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2.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3.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4.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C:\Users\DIMATTEI\Documents\Offline Records (2P)\Model\"/>
    </mc:Choice>
  </mc:AlternateContent>
  <xr:revisionPtr revIDLastSave="0" documentId="13_ncr:1_{4D3873D3-E817-4CFC-B065-AFA9C6526584}" xr6:coauthVersionLast="47" xr6:coauthVersionMax="47" xr10:uidLastSave="{00000000-0000-0000-0000-000000000000}"/>
  <bookViews>
    <workbookView xWindow="28680" yWindow="-120" windowWidth="38640" windowHeight="15720" firstSheet="4" activeTab="4" xr2:uid="{00000000-000D-0000-FFFF-FFFF00000000}"/>
  </bookViews>
  <sheets>
    <sheet name="Examples" sheetId="20" state="hidden" r:id="rId1"/>
    <sheet name="Building block QA scope" sheetId="21" state="hidden" r:id="rId2"/>
    <sheet name="Other QA scope" sheetId="22" state="hidden" r:id="rId3"/>
    <sheet name="Journal" sheetId="11" state="hidden" r:id="rId4"/>
    <sheet name="Cover" sheetId="12" r:id="rId5"/>
    <sheet name="Summary" sheetId="37" r:id="rId6"/>
    <sheet name="Total project costs" sheetId="41" r:id="rId7"/>
    <sheet name="Transport" sheetId="17" r:id="rId8"/>
    <sheet name="Transport (cost breakdown)" sheetId="36" r:id="rId9"/>
    <sheet name="Stormwater" sheetId="33" r:id="rId10"/>
    <sheet name="Stormwater (cost breakdown)" sheetId="38" r:id="rId11"/>
    <sheet name="Open space" sheetId="34" r:id="rId12"/>
    <sheet name="Open space (cost breakdown)" sheetId="39" r:id="rId13"/>
    <sheet name="Lists" sheetId="35" r:id="rId14"/>
    <sheet name="Variable index" sheetId="15" r:id="rId15"/>
    <sheet name="Rawlinsons regional indices" sheetId="24" r:id="rId16"/>
  </sheets>
  <definedNames>
    <definedName name="_xlnm._FilterDatabase" localSheetId="15" hidden="1">'Rawlinsons regional indices'!$A$1:$C$1</definedName>
    <definedName name="_xlnm._FilterDatabase" localSheetId="6" hidden="1">'Total project costs'!#REF!</definedName>
    <definedName name="Amenities_building">Lists!$E$69:$G$69</definedName>
    <definedName name="Basic_landscaping">Lists!$E$91:$K$91</definedName>
    <definedName name="BBQ_area">Lists!$E$83:$F$83</definedName>
    <definedName name="BioRetention_basin_grassed_swale">Lists!$E$47:$G$47</definedName>
    <definedName name="Box_culvert_headwall_headwall_single">Lists!$E$10:$H$10</definedName>
    <definedName name="Box_culvert_headwall_headwall_twin">Lists!$E$11:$H$11</definedName>
    <definedName name="Box_culvert_headwall_single_cell">Lists!$E$12:$H$12</definedName>
    <definedName name="Box_culvert_headwall_twin_cell">Lists!$E$13:$H$13</definedName>
    <definedName name="Demolition">Lists!$E$98:$K$98</definedName>
    <definedName name="ExampleData1" localSheetId="0">Examples!$A$35:$I$43</definedName>
    <definedName name="ExampleData2" localSheetId="0">Examples!$K$35:$Q$43</definedName>
    <definedName name="ExampleData3" localSheetId="0">Examples!$S$35:$U$40</definedName>
    <definedName name="ExampleData4" localSheetId="0">Examples!$W$35:$AA$43</definedName>
    <definedName name="Gross_pollutant_trap">Lists!$E$57:$G$57</definedName>
    <definedName name="No">'Other QA scope'!$J$74:$J$75</definedName>
    <definedName name="OpenSpaceProjectSum">SUMIF(TableOpenSpace[Work project],TableProjectLevelWorksSchedule[[#This Row],[Work project]],TableOpenSpace[Total benchmark cost])</definedName>
    <definedName name="Paved_area_hard">Lists!$E$94:$J$94</definedName>
    <definedName name="Picnic_area">Lists!$E$84:$F$84</definedName>
    <definedName name="Playground_equipment">Lists!$E$87:$L$87</definedName>
    <definedName name="Playing_lighting">Lists!$E$80:$G$80</definedName>
    <definedName name="_xlnm.Print_Area" localSheetId="1">'Building block QA scope'!$B$1:$G$99</definedName>
    <definedName name="_xlnm.Print_Area" localSheetId="4">Cover!$A$1:$D$97</definedName>
    <definedName name="_xlnm.Print_Area" localSheetId="2">'Other QA scope'!$B$1:$G$103</definedName>
    <definedName name="Retaining_wall">Lists!$E$95:$F$95</definedName>
    <definedName name="Seating_area">Lists!$E$89:$H$89</definedName>
    <definedName name="Signalised_intersection_2_lane">Lists!$E$34:$F$34</definedName>
    <definedName name="Signalised_intersection_single_lane">Lists!$E$35:$F$35</definedName>
    <definedName name="Spectator_seat">Lists!$E$90:$H$90</definedName>
    <definedName name="Stormwater_headwalls">Lists!$E$61:$J$61</definedName>
    <definedName name="Stormwater_pipe_reinforced_concrete">Lists!$E$62:$J$62</definedName>
    <definedName name="Stormwater_pit">Lists!$E$63:$J$63</definedName>
    <definedName name="StormwaterProjectSum">SUMIF(TableStormwater[Work project],TableProjectLevelWorksSchedule[[#This Row],[Work project]],TableStormwater[Total benchmark cost])</definedName>
    <definedName name="TransportProjectSum">SUMIF(TableTransport[Work project],TableProjectLevelWorksSchedule[[#This Row],[Work project]],TableTransport[Total benchmark cost])</definedName>
    <definedName name="Turfing">Lists!$E$97:$F$97</definedName>
    <definedName name="WorkProjects">OFFSET('Total project costs'!$H$20,0,0,COUNTA('Total project costs'!$E$20:$E$179),1)</definedName>
    <definedName name="wrn.MyTestReport." hidden="1">{"Alberta",#N/A,FALSE,"Pivot Data";#N/A,#N/A,FALSE,"Pivot Data";"HiddenColumns",#N/A,FALSE,"Pivot Data"}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6" i="41" l="1" a="1"/>
  <c r="G26" i="41" s="1"/>
  <c r="G27" i="41" a="1"/>
  <c r="G27" i="41" s="1"/>
  <c r="G28" i="41" a="1"/>
  <c r="G28" i="41" s="1"/>
  <c r="G29" i="41" a="1"/>
  <c r="G29" i="41" s="1"/>
  <c r="G30" i="41" a="1"/>
  <c r="G30" i="41" s="1"/>
  <c r="G31" i="41" a="1"/>
  <c r="G31" i="41" s="1"/>
  <c r="G32" i="41" a="1"/>
  <c r="G32" i="41" s="1"/>
  <c r="G33" i="41" a="1"/>
  <c r="G33" i="41" s="1"/>
  <c r="G34" i="41" a="1"/>
  <c r="G34" i="41" s="1"/>
  <c r="G35" i="41" a="1"/>
  <c r="G35" i="41" s="1"/>
  <c r="G36" i="41" a="1"/>
  <c r="G36" i="41" s="1"/>
  <c r="G37" i="41" a="1"/>
  <c r="G37" i="41" s="1"/>
  <c r="G38" i="41" a="1"/>
  <c r="G38" i="41" s="1"/>
  <c r="G39" i="41" a="1"/>
  <c r="G39" i="41" s="1"/>
  <c r="G40" i="41" a="1"/>
  <c r="G40" i="41" s="1"/>
  <c r="G41" i="41" a="1"/>
  <c r="G41" i="41" s="1"/>
  <c r="G42" i="41" a="1"/>
  <c r="G42" i="41" s="1"/>
  <c r="G43" i="41" a="1"/>
  <c r="G43" i="41" s="1"/>
  <c r="G44" i="41" a="1"/>
  <c r="G44" i="41" s="1"/>
  <c r="G45" i="41" a="1"/>
  <c r="G45" i="41" s="1"/>
  <c r="G46" i="41" a="1"/>
  <c r="G46" i="41" s="1"/>
  <c r="G47" i="41" a="1"/>
  <c r="G47" i="41" s="1"/>
  <c r="G48" i="41" a="1"/>
  <c r="G48" i="41" s="1"/>
  <c r="G49" i="41" a="1"/>
  <c r="G49" i="41" s="1"/>
  <c r="G50" i="41" a="1"/>
  <c r="G50" i="41" s="1"/>
  <c r="G51" i="41" a="1"/>
  <c r="G51" i="41" s="1"/>
  <c r="G52" i="41" a="1"/>
  <c r="G52" i="41" s="1"/>
  <c r="G53" i="41" a="1"/>
  <c r="G53" i="41" s="1"/>
  <c r="G54" i="41" a="1"/>
  <c r="G54" i="41" s="1"/>
  <c r="G55" i="41" a="1"/>
  <c r="G55" i="41" s="1"/>
  <c r="G56" i="41" a="1"/>
  <c r="G56" i="41" s="1"/>
  <c r="G57" i="41" a="1"/>
  <c r="G57" i="41" s="1"/>
  <c r="G58" i="41" a="1"/>
  <c r="G58" i="41" s="1"/>
  <c r="G59" i="41" a="1"/>
  <c r="G59" i="41" s="1"/>
  <c r="G60" i="41" a="1"/>
  <c r="G60" i="41" s="1"/>
  <c r="G61" i="41" a="1"/>
  <c r="G61" i="41" s="1"/>
  <c r="G62" i="41" a="1"/>
  <c r="G62" i="41" s="1"/>
  <c r="G63" i="41" a="1"/>
  <c r="G63" i="41" s="1"/>
  <c r="G64" i="41" a="1"/>
  <c r="G64" i="41" s="1"/>
  <c r="G65" i="41" a="1"/>
  <c r="G65" i="41" s="1"/>
  <c r="G66" i="41" a="1"/>
  <c r="G66" i="41" s="1"/>
  <c r="G67" i="41" a="1"/>
  <c r="G67" i="41" s="1"/>
  <c r="G68" i="41" a="1"/>
  <c r="G68" i="41" s="1"/>
  <c r="G69" i="41" a="1"/>
  <c r="G69" i="41" s="1"/>
  <c r="G70" i="41" a="1"/>
  <c r="G70" i="41" s="1"/>
  <c r="G71" i="41" a="1"/>
  <c r="G71" i="41" s="1"/>
  <c r="G72" i="41" a="1"/>
  <c r="G72" i="41" s="1"/>
  <c r="G73" i="41" a="1"/>
  <c r="G73" i="41" s="1"/>
  <c r="G74" i="41" a="1"/>
  <c r="G74" i="41" s="1"/>
  <c r="G75" i="41" a="1"/>
  <c r="G75" i="41" s="1"/>
  <c r="G76" i="41" a="1"/>
  <c r="G76" i="41" s="1"/>
  <c r="G77" i="41" a="1"/>
  <c r="G77" i="41" s="1"/>
  <c r="G78" i="41" a="1"/>
  <c r="G78" i="41" s="1"/>
  <c r="G79" i="41" a="1"/>
  <c r="G79" i="41" s="1"/>
  <c r="G80" i="41" a="1"/>
  <c r="G80" i="41" s="1"/>
  <c r="G81" i="41" a="1"/>
  <c r="G81" i="41" s="1"/>
  <c r="G82" i="41" a="1"/>
  <c r="G82" i="41" s="1"/>
  <c r="G83" i="41" a="1"/>
  <c r="G83" i="41" s="1"/>
  <c r="G84" i="41" a="1"/>
  <c r="G84" i="41" s="1"/>
  <c r="G85" i="41" a="1"/>
  <c r="G85" i="41" s="1"/>
  <c r="G86" i="41" a="1"/>
  <c r="G86" i="41" s="1"/>
  <c r="G87" i="41" a="1"/>
  <c r="G87" i="41" s="1"/>
  <c r="G88" i="41" a="1"/>
  <c r="G88" i="41" s="1"/>
  <c r="G89" i="41" a="1"/>
  <c r="G89" i="41" s="1"/>
  <c r="G90" i="41" a="1"/>
  <c r="G90" i="41" s="1"/>
  <c r="G91" i="41" a="1"/>
  <c r="G91" i="41" s="1"/>
  <c r="G92" i="41" a="1"/>
  <c r="G92" i="41" s="1"/>
  <c r="G93" i="41" a="1"/>
  <c r="G93" i="41" s="1"/>
  <c r="G94" i="41" a="1"/>
  <c r="G94" i="41" s="1"/>
  <c r="G95" i="41" a="1"/>
  <c r="G95" i="41" s="1"/>
  <c r="G96" i="41" a="1"/>
  <c r="G96" i="41" s="1"/>
  <c r="G97" i="41" a="1"/>
  <c r="G97" i="41" s="1"/>
  <c r="G98" i="41" a="1"/>
  <c r="G98" i="41" s="1"/>
  <c r="G99" i="41" a="1"/>
  <c r="G99" i="41" s="1"/>
  <c r="G100" i="41" a="1"/>
  <c r="G100" i="41" s="1"/>
  <c r="G101" i="41" a="1"/>
  <c r="G101" i="41" s="1"/>
  <c r="G102" i="41" a="1"/>
  <c r="G102" i="41" s="1"/>
  <c r="G103" i="41" a="1"/>
  <c r="G103" i="41" s="1"/>
  <c r="G104" i="41" a="1"/>
  <c r="G104" i="41" s="1"/>
  <c r="G105" i="41" a="1"/>
  <c r="G105" i="41" s="1"/>
  <c r="G106" i="41" a="1"/>
  <c r="G106" i="41" s="1"/>
  <c r="G107" i="41" a="1"/>
  <c r="G107" i="41" s="1"/>
  <c r="G108" i="41" a="1"/>
  <c r="G108" i="41" s="1"/>
  <c r="G109" i="41" a="1"/>
  <c r="G109" i="41" s="1"/>
  <c r="G110" i="41" a="1"/>
  <c r="G110" i="41" s="1"/>
  <c r="G111" i="41" a="1"/>
  <c r="G111" i="41" s="1"/>
  <c r="G112" i="41" a="1"/>
  <c r="G112" i="41" s="1"/>
  <c r="G113" i="41" a="1"/>
  <c r="G113" i="41" s="1"/>
  <c r="G114" i="41" a="1"/>
  <c r="G114" i="41" s="1"/>
  <c r="G115" i="41" a="1"/>
  <c r="G115" i="41" s="1"/>
  <c r="G116" i="41" a="1"/>
  <c r="G116" i="41" s="1"/>
  <c r="G117" i="41" a="1"/>
  <c r="G117" i="41" s="1"/>
  <c r="G118" i="41" a="1"/>
  <c r="G118" i="41" s="1"/>
  <c r="G119" i="41" a="1"/>
  <c r="G119" i="41" s="1"/>
  <c r="G120" i="41" a="1"/>
  <c r="G120" i="41" s="1"/>
  <c r="G121" i="41" a="1"/>
  <c r="G121" i="41" s="1"/>
  <c r="G122" i="41" a="1"/>
  <c r="G122" i="41" s="1"/>
  <c r="G123" i="41" a="1"/>
  <c r="G123" i="41" s="1"/>
  <c r="G124" i="41" a="1"/>
  <c r="G124" i="41" s="1"/>
  <c r="G125" i="41" a="1"/>
  <c r="G125" i="41" s="1"/>
  <c r="G126" i="41" a="1"/>
  <c r="G126" i="41" s="1"/>
  <c r="G127" i="41" a="1"/>
  <c r="G127" i="41" s="1"/>
  <c r="G128" i="41" a="1"/>
  <c r="G128" i="41" s="1"/>
  <c r="G129" i="41" a="1"/>
  <c r="G129" i="41" s="1"/>
  <c r="G130" i="41" a="1"/>
  <c r="G130" i="41" s="1"/>
  <c r="G131" i="41" a="1"/>
  <c r="G131" i="41" s="1"/>
  <c r="G132" i="41" a="1"/>
  <c r="G132" i="41" s="1"/>
  <c r="G133" i="41" a="1"/>
  <c r="G133" i="41" s="1"/>
  <c r="G134" i="41" a="1"/>
  <c r="G134" i="41" s="1"/>
  <c r="G135" i="41" a="1"/>
  <c r="G135" i="41" s="1"/>
  <c r="G136" i="41" a="1"/>
  <c r="G136" i="41" s="1"/>
  <c r="G137" i="41" a="1"/>
  <c r="G137" i="41" s="1"/>
  <c r="G138" i="41" a="1"/>
  <c r="G138" i="41" s="1"/>
  <c r="G139" i="41" a="1"/>
  <c r="G139" i="41" s="1"/>
  <c r="G140" i="41" a="1"/>
  <c r="G140" i="41" s="1"/>
  <c r="G141" i="41" a="1"/>
  <c r="G141" i="41" s="1"/>
  <c r="G142" i="41" a="1"/>
  <c r="G142" i="41" s="1"/>
  <c r="G143" i="41" a="1"/>
  <c r="G143" i="41" s="1"/>
  <c r="G144" i="41" a="1"/>
  <c r="G144" i="41" s="1"/>
  <c r="G145" i="41" a="1"/>
  <c r="G145" i="41" s="1"/>
  <c r="G146" i="41" a="1"/>
  <c r="G146" i="41" s="1"/>
  <c r="G147" i="41" a="1"/>
  <c r="G147" i="41" s="1"/>
  <c r="G148" i="41" a="1"/>
  <c r="G148" i="41" s="1"/>
  <c r="G149" i="41" a="1"/>
  <c r="G149" i="41" s="1"/>
  <c r="G150" i="41" a="1"/>
  <c r="G150" i="41" s="1"/>
  <c r="G151" i="41" a="1"/>
  <c r="G151" i="41" s="1"/>
  <c r="G152" i="41" a="1"/>
  <c r="G152" i="41" s="1"/>
  <c r="G153" i="41" a="1"/>
  <c r="G153" i="41" s="1"/>
  <c r="G154" i="41" a="1"/>
  <c r="G154" i="41" s="1"/>
  <c r="G155" i="41" a="1"/>
  <c r="G155" i="41" s="1"/>
  <c r="G156" i="41" a="1"/>
  <c r="G156" i="41" s="1"/>
  <c r="G157" i="41" a="1"/>
  <c r="G157" i="41" s="1"/>
  <c r="G158" i="41" a="1"/>
  <c r="G158" i="41" s="1"/>
  <c r="G159" i="41" a="1"/>
  <c r="G159" i="41" s="1"/>
  <c r="G160" i="41" a="1"/>
  <c r="G160" i="41" s="1"/>
  <c r="G161" i="41" a="1"/>
  <c r="G161" i="41" s="1"/>
  <c r="G162" i="41" a="1"/>
  <c r="G162" i="41" s="1"/>
  <c r="G163" i="41" a="1"/>
  <c r="G163" i="41" s="1"/>
  <c r="G164" i="41" a="1"/>
  <c r="G164" i="41" s="1"/>
  <c r="G165" i="41" a="1"/>
  <c r="G165" i="41" s="1"/>
  <c r="G166" i="41" a="1"/>
  <c r="G166" i="41" s="1"/>
  <c r="G167" i="41" a="1"/>
  <c r="G167" i="41" s="1"/>
  <c r="G168" i="41" a="1"/>
  <c r="G168" i="41" s="1"/>
  <c r="G169" i="41" a="1"/>
  <c r="G169" i="41" s="1"/>
  <c r="G170" i="41" a="1"/>
  <c r="G170" i="41" s="1"/>
  <c r="G171" i="41" a="1"/>
  <c r="G171" i="41" s="1"/>
  <c r="G172" i="41" a="1"/>
  <c r="G172" i="41" s="1"/>
  <c r="G173" i="41" a="1"/>
  <c r="G173" i="41" s="1"/>
  <c r="G174" i="41" a="1"/>
  <c r="G174" i="41" s="1"/>
  <c r="G175" i="41" a="1"/>
  <c r="G175" i="41" s="1"/>
  <c r="G176" i="41" a="1"/>
  <c r="G176" i="41" s="1"/>
  <c r="G177" i="41" a="1"/>
  <c r="G177" i="41" s="1"/>
  <c r="G178" i="41" a="1"/>
  <c r="G178" i="41" s="1"/>
  <c r="G179" i="41" a="1"/>
  <c r="G179" i="41" s="1"/>
  <c r="F26" i="41" a="1"/>
  <c r="F26" i="41" s="1"/>
  <c r="F27" i="41" a="1"/>
  <c r="F27" i="41" s="1"/>
  <c r="F28" i="41" a="1"/>
  <c r="F28" i="41" s="1"/>
  <c r="F29" i="41" a="1"/>
  <c r="F29" i="41" s="1"/>
  <c r="F30" i="41" a="1"/>
  <c r="F30" i="41" s="1"/>
  <c r="F31" i="41" a="1"/>
  <c r="F31" i="41" s="1"/>
  <c r="F32" i="41" a="1"/>
  <c r="F32" i="41" s="1"/>
  <c r="F33" i="41" a="1"/>
  <c r="F33" i="41" s="1"/>
  <c r="F34" i="41" a="1"/>
  <c r="F34" i="41" s="1"/>
  <c r="F35" i="41" a="1"/>
  <c r="F35" i="41" s="1"/>
  <c r="F36" i="41" a="1"/>
  <c r="F36" i="41" s="1"/>
  <c r="F37" i="41" a="1"/>
  <c r="F37" i="41" s="1"/>
  <c r="F38" i="41" a="1"/>
  <c r="F38" i="41" s="1"/>
  <c r="F39" i="41" a="1"/>
  <c r="F39" i="41" s="1"/>
  <c r="F40" i="41" a="1"/>
  <c r="F40" i="41" s="1"/>
  <c r="F41" i="41" a="1"/>
  <c r="F41" i="41" s="1"/>
  <c r="F42" i="41" a="1"/>
  <c r="F42" i="41" s="1"/>
  <c r="F43" i="41" a="1"/>
  <c r="F43" i="41" s="1"/>
  <c r="F44" i="41" a="1"/>
  <c r="F44" i="41" s="1"/>
  <c r="F45" i="41" a="1"/>
  <c r="F45" i="41" s="1"/>
  <c r="F46" i="41" a="1"/>
  <c r="F46" i="41" s="1"/>
  <c r="F47" i="41" a="1"/>
  <c r="F47" i="41" s="1"/>
  <c r="F48" i="41" a="1"/>
  <c r="F48" i="41" s="1"/>
  <c r="F49" i="41" a="1"/>
  <c r="F49" i="41" s="1"/>
  <c r="F50" i="41" a="1"/>
  <c r="F50" i="41" s="1"/>
  <c r="F51" i="41" a="1"/>
  <c r="F51" i="41" s="1"/>
  <c r="F52" i="41" a="1"/>
  <c r="F52" i="41" s="1"/>
  <c r="F53" i="41" a="1"/>
  <c r="F53" i="41" s="1"/>
  <c r="F54" i="41" a="1"/>
  <c r="F54" i="41" s="1"/>
  <c r="F55" i="41" a="1"/>
  <c r="F55" i="41" s="1"/>
  <c r="F56" i="41" a="1"/>
  <c r="F56" i="41" s="1"/>
  <c r="F57" i="41" a="1"/>
  <c r="F57" i="41" s="1"/>
  <c r="F58" i="41" a="1"/>
  <c r="F58" i="41" s="1"/>
  <c r="F59" i="41" a="1"/>
  <c r="F59" i="41" s="1"/>
  <c r="F60" i="41" a="1"/>
  <c r="F60" i="41" s="1"/>
  <c r="F61" i="41" a="1"/>
  <c r="F61" i="41" s="1"/>
  <c r="F62" i="41" a="1"/>
  <c r="F62" i="41" s="1"/>
  <c r="F63" i="41" a="1"/>
  <c r="F63" i="41" s="1"/>
  <c r="F64" i="41" a="1"/>
  <c r="F64" i="41" s="1"/>
  <c r="F65" i="41" a="1"/>
  <c r="F65" i="41" s="1"/>
  <c r="F66" i="41" a="1"/>
  <c r="F66" i="41" s="1"/>
  <c r="F67" i="41" a="1"/>
  <c r="F67" i="41" s="1"/>
  <c r="F68" i="41" a="1"/>
  <c r="F68" i="41" s="1"/>
  <c r="F69" i="41" a="1"/>
  <c r="F69" i="41" s="1"/>
  <c r="F70" i="41" a="1"/>
  <c r="F70" i="41" s="1"/>
  <c r="F71" i="41" a="1"/>
  <c r="F71" i="41" s="1"/>
  <c r="F72" i="41" a="1"/>
  <c r="F72" i="41" s="1"/>
  <c r="F73" i="41" a="1"/>
  <c r="F73" i="41" s="1"/>
  <c r="F74" i="41" a="1"/>
  <c r="F74" i="41" s="1"/>
  <c r="F75" i="41" a="1"/>
  <c r="F75" i="41" s="1"/>
  <c r="F76" i="41" a="1"/>
  <c r="F76" i="41" s="1"/>
  <c r="F77" i="41" a="1"/>
  <c r="F77" i="41" s="1"/>
  <c r="F78" i="41" a="1"/>
  <c r="F78" i="41" s="1"/>
  <c r="F79" i="41" a="1"/>
  <c r="F79" i="41" s="1"/>
  <c r="F80" i="41" a="1"/>
  <c r="F80" i="41" s="1"/>
  <c r="F81" i="41" a="1"/>
  <c r="F81" i="41" s="1"/>
  <c r="F82" i="41" a="1"/>
  <c r="F82" i="41" s="1"/>
  <c r="F83" i="41" a="1"/>
  <c r="F83" i="41" s="1"/>
  <c r="F84" i="41" a="1"/>
  <c r="F84" i="41" s="1"/>
  <c r="F85" i="41" a="1"/>
  <c r="F85" i="41" s="1"/>
  <c r="F86" i="41" a="1"/>
  <c r="F86" i="41" s="1"/>
  <c r="F87" i="41" a="1"/>
  <c r="F87" i="41" s="1"/>
  <c r="F88" i="41" a="1"/>
  <c r="F88" i="41" s="1"/>
  <c r="F89" i="41" a="1"/>
  <c r="F89" i="41" s="1"/>
  <c r="F90" i="41" a="1"/>
  <c r="F90" i="41" s="1"/>
  <c r="F91" i="41" a="1"/>
  <c r="F91" i="41" s="1"/>
  <c r="F92" i="41" a="1"/>
  <c r="F92" i="41" s="1"/>
  <c r="F93" i="41" a="1"/>
  <c r="F93" i="41" s="1"/>
  <c r="F94" i="41" a="1"/>
  <c r="F94" i="41" s="1"/>
  <c r="F95" i="41" a="1"/>
  <c r="F95" i="41" s="1"/>
  <c r="F96" i="41" a="1"/>
  <c r="F96" i="41" s="1"/>
  <c r="F97" i="41" a="1"/>
  <c r="F97" i="41" s="1"/>
  <c r="F98" i="41" a="1"/>
  <c r="F98" i="41" s="1"/>
  <c r="F99" i="41" a="1"/>
  <c r="F99" i="41" s="1"/>
  <c r="F100" i="41" a="1"/>
  <c r="F100" i="41" s="1"/>
  <c r="F101" i="41" a="1"/>
  <c r="F101" i="41" s="1"/>
  <c r="F102" i="41" a="1"/>
  <c r="F102" i="41" s="1"/>
  <c r="F103" i="41" a="1"/>
  <c r="F103" i="41" s="1"/>
  <c r="F104" i="41" a="1"/>
  <c r="F104" i="41" s="1"/>
  <c r="F105" i="41" a="1"/>
  <c r="F105" i="41" s="1"/>
  <c r="F106" i="41" a="1"/>
  <c r="F106" i="41" s="1"/>
  <c r="F107" i="41" a="1"/>
  <c r="F107" i="41" s="1"/>
  <c r="F108" i="41" a="1"/>
  <c r="F108" i="41" s="1"/>
  <c r="F109" i="41" a="1"/>
  <c r="F109" i="41" s="1"/>
  <c r="F110" i="41" a="1"/>
  <c r="F110" i="41" s="1"/>
  <c r="F111" i="41" a="1"/>
  <c r="F111" i="41" s="1"/>
  <c r="F112" i="41" a="1"/>
  <c r="F112" i="41" s="1"/>
  <c r="F113" i="41" a="1"/>
  <c r="F113" i="41" s="1"/>
  <c r="F114" i="41" a="1"/>
  <c r="F114" i="41" s="1"/>
  <c r="F115" i="41" a="1"/>
  <c r="F115" i="41" s="1"/>
  <c r="F116" i="41" a="1"/>
  <c r="F116" i="41" s="1"/>
  <c r="F117" i="41" a="1"/>
  <c r="F117" i="41" s="1"/>
  <c r="F118" i="41" a="1"/>
  <c r="F118" i="41" s="1"/>
  <c r="F119" i="41" a="1"/>
  <c r="F119" i="41" s="1"/>
  <c r="F120" i="41" a="1"/>
  <c r="F120" i="41" s="1"/>
  <c r="F121" i="41" a="1"/>
  <c r="F121" i="41" s="1"/>
  <c r="F122" i="41" a="1"/>
  <c r="F122" i="41" s="1"/>
  <c r="F123" i="41" a="1"/>
  <c r="F123" i="41" s="1"/>
  <c r="F124" i="41" a="1"/>
  <c r="F124" i="41" s="1"/>
  <c r="F125" i="41" a="1"/>
  <c r="F125" i="41" s="1"/>
  <c r="F126" i="41" a="1"/>
  <c r="F126" i="41" s="1"/>
  <c r="F127" i="41" a="1"/>
  <c r="F127" i="41" s="1"/>
  <c r="F128" i="41" a="1"/>
  <c r="F128" i="41" s="1"/>
  <c r="F129" i="41" a="1"/>
  <c r="F129" i="41" s="1"/>
  <c r="F130" i="41" a="1"/>
  <c r="F130" i="41" s="1"/>
  <c r="F131" i="41" a="1"/>
  <c r="F131" i="41" s="1"/>
  <c r="F132" i="41" a="1"/>
  <c r="F132" i="41" s="1"/>
  <c r="F133" i="41" a="1"/>
  <c r="F133" i="41" s="1"/>
  <c r="F134" i="41" a="1"/>
  <c r="F134" i="41" s="1"/>
  <c r="F135" i="41" a="1"/>
  <c r="F135" i="41" s="1"/>
  <c r="F136" i="41" a="1"/>
  <c r="F136" i="41" s="1"/>
  <c r="F137" i="41" a="1"/>
  <c r="F137" i="41" s="1"/>
  <c r="F138" i="41" a="1"/>
  <c r="F138" i="41" s="1"/>
  <c r="F139" i="41" a="1"/>
  <c r="F139" i="41" s="1"/>
  <c r="F140" i="41" a="1"/>
  <c r="F140" i="41" s="1"/>
  <c r="F141" i="41" a="1"/>
  <c r="F141" i="41" s="1"/>
  <c r="F142" i="41" a="1"/>
  <c r="F142" i="41" s="1"/>
  <c r="F143" i="41" a="1"/>
  <c r="F143" i="41" s="1"/>
  <c r="F144" i="41" a="1"/>
  <c r="F144" i="41" s="1"/>
  <c r="F145" i="41" a="1"/>
  <c r="F145" i="41" s="1"/>
  <c r="F146" i="41" a="1"/>
  <c r="F146" i="41" s="1"/>
  <c r="F147" i="41" a="1"/>
  <c r="F147" i="41" s="1"/>
  <c r="F148" i="41" a="1"/>
  <c r="F148" i="41" s="1"/>
  <c r="F149" i="41" a="1"/>
  <c r="F149" i="41" s="1"/>
  <c r="F150" i="41" a="1"/>
  <c r="F150" i="41" s="1"/>
  <c r="F151" i="41" a="1"/>
  <c r="F151" i="41" s="1"/>
  <c r="F152" i="41" a="1"/>
  <c r="F152" i="41" s="1"/>
  <c r="F153" i="41" a="1"/>
  <c r="F153" i="41" s="1"/>
  <c r="F154" i="41" a="1"/>
  <c r="F154" i="41" s="1"/>
  <c r="F155" i="41" a="1"/>
  <c r="F155" i="41" s="1"/>
  <c r="F156" i="41" a="1"/>
  <c r="F156" i="41" s="1"/>
  <c r="F157" i="41" a="1"/>
  <c r="F157" i="41" s="1"/>
  <c r="F158" i="41" a="1"/>
  <c r="F158" i="41" s="1"/>
  <c r="F159" i="41" a="1"/>
  <c r="F159" i="41" s="1"/>
  <c r="F160" i="41" a="1"/>
  <c r="F160" i="41" s="1"/>
  <c r="F161" i="41" a="1"/>
  <c r="F161" i="41" s="1"/>
  <c r="F162" i="41" a="1"/>
  <c r="F162" i="41" s="1"/>
  <c r="F163" i="41" a="1"/>
  <c r="F163" i="41" s="1"/>
  <c r="F164" i="41" a="1"/>
  <c r="F164" i="41" s="1"/>
  <c r="F165" i="41" a="1"/>
  <c r="F165" i="41" s="1"/>
  <c r="F166" i="41" a="1"/>
  <c r="F166" i="41" s="1"/>
  <c r="F167" i="41" a="1"/>
  <c r="F167" i="41" s="1"/>
  <c r="F168" i="41" a="1"/>
  <c r="F168" i="41" s="1"/>
  <c r="F169" i="41" a="1"/>
  <c r="F169" i="41" s="1"/>
  <c r="F170" i="41" a="1"/>
  <c r="F170" i="41" s="1"/>
  <c r="F171" i="41" a="1"/>
  <c r="F171" i="41" s="1"/>
  <c r="F172" i="41" a="1"/>
  <c r="F172" i="41" s="1"/>
  <c r="F173" i="41" a="1"/>
  <c r="F173" i="41" s="1"/>
  <c r="F174" i="41" a="1"/>
  <c r="F174" i="41" s="1"/>
  <c r="F175" i="41" a="1"/>
  <c r="F175" i="41" s="1"/>
  <c r="F176" i="41" a="1"/>
  <c r="F176" i="41" s="1"/>
  <c r="F177" i="41" a="1"/>
  <c r="F177" i="41" s="1"/>
  <c r="F178" i="41" a="1"/>
  <c r="F178" i="41" s="1"/>
  <c r="F179" i="41" a="1"/>
  <c r="F179" i="41" s="1"/>
  <c r="N21" i="34" l="1"/>
  <c r="N22" i="34"/>
  <c r="N23" i="34"/>
  <c r="N24" i="34"/>
  <c r="N25" i="34"/>
  <c r="N26" i="34"/>
  <c r="N27" i="34"/>
  <c r="N28" i="34"/>
  <c r="N29" i="34"/>
  <c r="N30" i="34"/>
  <c r="N31" i="34"/>
  <c r="N32" i="34"/>
  <c r="N33" i="34"/>
  <c r="N34" i="34"/>
  <c r="N35" i="34"/>
  <c r="N36" i="34"/>
  <c r="N37" i="34"/>
  <c r="N38" i="34"/>
  <c r="N39" i="34"/>
  <c r="N40" i="34"/>
  <c r="N41" i="34"/>
  <c r="N42" i="34"/>
  <c r="N43" i="34"/>
  <c r="N44" i="34"/>
  <c r="N45" i="34"/>
  <c r="N46" i="34"/>
  <c r="N47" i="34"/>
  <c r="N48" i="34"/>
  <c r="N49" i="34"/>
  <c r="N50" i="34"/>
  <c r="N51" i="34"/>
  <c r="N52" i="34"/>
  <c r="N53" i="34"/>
  <c r="N54" i="34"/>
  <c r="N55" i="34"/>
  <c r="N56" i="34"/>
  <c r="N57" i="34"/>
  <c r="N58" i="34"/>
  <c r="N59" i="34"/>
  <c r="N60" i="34"/>
  <c r="N61" i="34"/>
  <c r="N62" i="34"/>
  <c r="N63" i="34"/>
  <c r="N64" i="34"/>
  <c r="N65" i="34"/>
  <c r="N66" i="34"/>
  <c r="N21" i="33"/>
  <c r="N22" i="33"/>
  <c r="N23" i="33"/>
  <c r="N24" i="33"/>
  <c r="N25" i="33"/>
  <c r="N26" i="33"/>
  <c r="N27" i="33"/>
  <c r="N28" i="33"/>
  <c r="N29" i="33"/>
  <c r="N30" i="33"/>
  <c r="N31" i="33"/>
  <c r="N32" i="33"/>
  <c r="N33" i="33"/>
  <c r="N34" i="33"/>
  <c r="N35" i="33"/>
  <c r="N36" i="33"/>
  <c r="N37" i="33"/>
  <c r="N38" i="33"/>
  <c r="N39" i="33"/>
  <c r="N40" i="33"/>
  <c r="N41" i="33"/>
  <c r="N42" i="33"/>
  <c r="N43" i="33"/>
  <c r="N44" i="33"/>
  <c r="N45" i="33"/>
  <c r="N46" i="33"/>
  <c r="N47" i="33"/>
  <c r="N48" i="33"/>
  <c r="N49" i="33"/>
  <c r="N50" i="33"/>
  <c r="N51" i="33"/>
  <c r="N53" i="33"/>
  <c r="N54" i="33"/>
  <c r="N55" i="33"/>
  <c r="N56" i="33"/>
  <c r="N57" i="33"/>
  <c r="N58" i="33"/>
  <c r="N59" i="33"/>
  <c r="N60" i="33"/>
  <c r="N61" i="33"/>
  <c r="N62" i="33"/>
  <c r="N63" i="33"/>
  <c r="N64" i="33"/>
  <c r="N65" i="33"/>
  <c r="N66" i="33"/>
  <c r="N22" i="17"/>
  <c r="N23" i="17"/>
  <c r="N24" i="17"/>
  <c r="N25" i="17"/>
  <c r="N26" i="17"/>
  <c r="N27" i="17"/>
  <c r="N29" i="17"/>
  <c r="N30" i="17"/>
  <c r="N31" i="17"/>
  <c r="N32" i="17"/>
  <c r="N33" i="17"/>
  <c r="N34" i="17"/>
  <c r="N35" i="17"/>
  <c r="N36" i="17"/>
  <c r="N37" i="17"/>
  <c r="N38" i="17"/>
  <c r="N39" i="17"/>
  <c r="N40" i="17"/>
  <c r="N42" i="17"/>
  <c r="N43" i="17"/>
  <c r="N44" i="17"/>
  <c r="N45" i="17"/>
  <c r="N46" i="17"/>
  <c r="N47" i="17"/>
  <c r="N48" i="17"/>
  <c r="N49" i="17"/>
  <c r="N50" i="17"/>
  <c r="N51" i="17"/>
  <c r="N52" i="17"/>
  <c r="N53" i="17"/>
  <c r="N54" i="17"/>
  <c r="N55" i="17"/>
  <c r="N56" i="17"/>
  <c r="N57" i="17"/>
  <c r="N58" i="17"/>
  <c r="N60" i="17"/>
  <c r="N61" i="17"/>
  <c r="N62" i="17"/>
  <c r="N63" i="17"/>
  <c r="N64" i="17"/>
  <c r="N65" i="17"/>
  <c r="N66" i="17"/>
  <c r="H20" i="41" l="1" a="1"/>
  <c r="H20" i="41" s="1"/>
  <c r="H39" i="39" l="1"/>
  <c r="Z17" i="17" a="1"/>
  <c r="Z17" i="17" s="1"/>
  <c r="GT14" i="36" l="1"/>
  <c r="FV14" i="36"/>
  <c r="EX14" i="36"/>
  <c r="DZ14" i="36"/>
  <c r="DB14" i="36"/>
  <c r="CD14" i="36"/>
  <c r="BF14" i="36"/>
  <c r="AH14" i="36"/>
  <c r="AD14" i="36"/>
  <c r="Z14" i="36"/>
  <c r="V14" i="36"/>
  <c r="R14" i="36"/>
  <c r="N14" i="36"/>
  <c r="GT30" i="38"/>
  <c r="GU30" i="38" s="1" a="1"/>
  <c r="GU30" i="38" s="1"/>
  <c r="GT26" i="38"/>
  <c r="GT14" i="38"/>
  <c r="GT25" i="38" s="1"/>
  <c r="FV28" i="38"/>
  <c r="FV25" i="38"/>
  <c r="FV20" i="38"/>
  <c r="FV18" i="38"/>
  <c r="FV16" i="38"/>
  <c r="FZ14" i="38"/>
  <c r="FV14" i="38"/>
  <c r="EX18" i="38"/>
  <c r="EX14" i="38"/>
  <c r="DZ28" i="38"/>
  <c r="DZ25" i="38"/>
  <c r="DZ18" i="38"/>
  <c r="DZ16" i="38"/>
  <c r="ED14" i="38"/>
  <c r="EH14" i="38" s="1"/>
  <c r="DZ14" i="38"/>
  <c r="DB20" i="38"/>
  <c r="DB16" i="38"/>
  <c r="DB14" i="38"/>
  <c r="DB28" i="38" s="1"/>
  <c r="CD30" i="38"/>
  <c r="CE30" i="38" s="1" a="1"/>
  <c r="CE30" i="38" s="1"/>
  <c r="CD27" i="38"/>
  <c r="CD26" i="38"/>
  <c r="CD24" i="38"/>
  <c r="CE24" i="38" s="1"/>
  <c r="CD20" i="38"/>
  <c r="CD18" i="38"/>
  <c r="CD16" i="38"/>
  <c r="CD14" i="38"/>
  <c r="CD31" i="38" s="1"/>
  <c r="CE32" i="38" s="1" a="1"/>
  <c r="CE32" i="38" s="1"/>
  <c r="BF16" i="38"/>
  <c r="BF14" i="38"/>
  <c r="BH39" i="38" s="1"/>
  <c r="AH28" i="38"/>
  <c r="AH20" i="38"/>
  <c r="AH14" i="38"/>
  <c r="AF39" i="38"/>
  <c r="AD27" i="38"/>
  <c r="AD26" i="38"/>
  <c r="AD14" i="38"/>
  <c r="AD30" i="38" s="1"/>
  <c r="AE30" i="38" s="1" a="1"/>
  <c r="AE30" i="38" s="1"/>
  <c r="Z26" i="38"/>
  <c r="Z14" i="38"/>
  <c r="Z30" i="38" s="1"/>
  <c r="AA30" i="38" s="1" a="1"/>
  <c r="AA30" i="38" s="1"/>
  <c r="V26" i="38"/>
  <c r="V14" i="38"/>
  <c r="V30" i="38" s="1"/>
  <c r="W30" i="38" s="1" a="1"/>
  <c r="W30" i="38" s="1"/>
  <c r="R26" i="38"/>
  <c r="R14" i="38"/>
  <c r="R30" i="38" s="1"/>
  <c r="N28" i="38"/>
  <c r="N26" i="38"/>
  <c r="N24" i="38"/>
  <c r="O24" i="38" s="1"/>
  <c r="N18" i="38"/>
  <c r="N14" i="38"/>
  <c r="N30" i="38" s="1"/>
  <c r="F24" i="38"/>
  <c r="J24" i="38"/>
  <c r="GV39" i="39"/>
  <c r="GT31" i="39"/>
  <c r="GU32" i="39" s="1" a="1"/>
  <c r="GU32" i="39" s="1"/>
  <c r="GT30" i="39"/>
  <c r="GU30" i="39" s="1" a="1"/>
  <c r="GU30" i="39" s="1"/>
  <c r="GT28" i="39"/>
  <c r="GT27" i="39"/>
  <c r="GT26" i="39"/>
  <c r="GT25" i="39"/>
  <c r="GT24" i="39"/>
  <c r="GU24" i="39" s="1"/>
  <c r="GT23" i="39"/>
  <c r="GT20" i="39"/>
  <c r="GT18" i="39"/>
  <c r="GT16" i="39"/>
  <c r="GT15" i="39"/>
  <c r="GT17" i="39" s="1"/>
  <c r="GT14" i="39"/>
  <c r="FV28" i="39"/>
  <c r="FV25" i="39"/>
  <c r="GP23" i="39"/>
  <c r="GL23" i="39"/>
  <c r="GH23" i="39"/>
  <c r="GD23" i="39"/>
  <c r="FZ23" i="39"/>
  <c r="FV23" i="39"/>
  <c r="FV15" i="39"/>
  <c r="FV17" i="39" s="1"/>
  <c r="FV19" i="39" s="1"/>
  <c r="FV14" i="39"/>
  <c r="FX39" i="39" s="1"/>
  <c r="EX28" i="39"/>
  <c r="EX25" i="39"/>
  <c r="FR23" i="39"/>
  <c r="FN23" i="39"/>
  <c r="FJ23" i="39"/>
  <c r="FF23" i="39"/>
  <c r="FB23" i="39"/>
  <c r="EX23" i="39"/>
  <c r="EX15" i="39"/>
  <c r="EX17" i="39" s="1"/>
  <c r="EX14" i="39"/>
  <c r="DZ28" i="39"/>
  <c r="DZ25" i="39"/>
  <c r="ET23" i="39"/>
  <c r="EP23" i="39"/>
  <c r="EL23" i="39"/>
  <c r="EH23" i="39"/>
  <c r="ED23" i="39"/>
  <c r="DZ23" i="39"/>
  <c r="DZ15" i="39"/>
  <c r="DZ17" i="39" s="1"/>
  <c r="DZ14" i="39"/>
  <c r="DB28" i="39"/>
  <c r="DB25" i="39"/>
  <c r="DV23" i="39"/>
  <c r="DR23" i="39"/>
  <c r="DN23" i="39"/>
  <c r="DJ23" i="39"/>
  <c r="DF23" i="39"/>
  <c r="DB23" i="39"/>
  <c r="DB15" i="39"/>
  <c r="DB17" i="39" s="1"/>
  <c r="DB14" i="39"/>
  <c r="CD31" i="39"/>
  <c r="CE32" i="39" s="1" a="1"/>
  <c r="CE32" i="39" s="1"/>
  <c r="CD27" i="39"/>
  <c r="CD26" i="39"/>
  <c r="CD24" i="39"/>
  <c r="CE24" i="39" s="1"/>
  <c r="CX23" i="39"/>
  <c r="CT23" i="39"/>
  <c r="CP23" i="39"/>
  <c r="CL23" i="39"/>
  <c r="CH23" i="39"/>
  <c r="CD23" i="39"/>
  <c r="CD18" i="39"/>
  <c r="CD14" i="39"/>
  <c r="CH14" i="39" s="1"/>
  <c r="BF28" i="39"/>
  <c r="BF25" i="39"/>
  <c r="BZ23" i="39"/>
  <c r="BV23" i="39"/>
  <c r="BR23" i="39"/>
  <c r="BN23" i="39"/>
  <c r="BJ23" i="39"/>
  <c r="BF23" i="39"/>
  <c r="BF15" i="39"/>
  <c r="BF17" i="39" s="1"/>
  <c r="BF14" i="39"/>
  <c r="BH39" i="39" s="1"/>
  <c r="AH28" i="39"/>
  <c r="AH25" i="39"/>
  <c r="BB23" i="39"/>
  <c r="AX23" i="39"/>
  <c r="AT23" i="39"/>
  <c r="AP23" i="39"/>
  <c r="AL23" i="39"/>
  <c r="AH23" i="39"/>
  <c r="AH15" i="39"/>
  <c r="AH17" i="39" s="1"/>
  <c r="AH14" i="39"/>
  <c r="AJ39" i="39" s="1"/>
  <c r="AD30" i="39"/>
  <c r="AE30" i="39" s="1" a="1"/>
  <c r="AE30" i="39" s="1"/>
  <c r="AD25" i="39"/>
  <c r="AD23" i="39"/>
  <c r="AD14" i="39"/>
  <c r="AF39" i="39" s="1"/>
  <c r="Z31" i="39"/>
  <c r="AA32" i="39" s="1" a="1"/>
  <c r="AA32" i="39" s="1"/>
  <c r="Z27" i="39"/>
  <c r="Z26" i="39"/>
  <c r="Z23" i="39"/>
  <c r="Z20" i="39"/>
  <c r="Z14" i="39"/>
  <c r="Z30" i="39" s="1"/>
  <c r="AA30" i="39" s="1" a="1"/>
  <c r="AA30" i="39" s="1"/>
  <c r="V23" i="39"/>
  <c r="V14" i="39"/>
  <c r="V30" i="39" s="1"/>
  <c r="W30" i="39" s="1" a="1"/>
  <c r="W30" i="39" s="1"/>
  <c r="R31" i="39"/>
  <c r="S32" i="39" s="1" a="1"/>
  <c r="S32" i="39" s="1"/>
  <c r="R27" i="39"/>
  <c r="R26" i="39"/>
  <c r="R23" i="39"/>
  <c r="R20" i="39"/>
  <c r="R14" i="39"/>
  <c r="R30" i="39" s="1"/>
  <c r="N31" i="39"/>
  <c r="O32" i="39" s="1" a="1"/>
  <c r="O32" i="39" s="1"/>
  <c r="N27" i="39"/>
  <c r="N26" i="39"/>
  <c r="N23" i="39"/>
  <c r="N20" i="39"/>
  <c r="N14" i="39"/>
  <c r="N30" i="39" s="1"/>
  <c r="H66" i="34"/>
  <c r="H17" i="34"/>
  <c r="H18" i="34"/>
  <c r="H19" i="34"/>
  <c r="H20" i="34"/>
  <c r="H21" i="34"/>
  <c r="H22" i="34"/>
  <c r="H23" i="34"/>
  <c r="H24" i="34"/>
  <c r="H25" i="34"/>
  <c r="H26" i="34"/>
  <c r="H27" i="34"/>
  <c r="H28" i="34"/>
  <c r="H29" i="34"/>
  <c r="H17" i="17"/>
  <c r="H18" i="17"/>
  <c r="H19" i="17"/>
  <c r="H20" i="17"/>
  <c r="H21" i="17"/>
  <c r="H22" i="17"/>
  <c r="H23" i="17"/>
  <c r="H24" i="17"/>
  <c r="H25" i="17"/>
  <c r="H26" i="17"/>
  <c r="H27" i="17"/>
  <c r="H28" i="17"/>
  <c r="FZ14" i="36" l="1"/>
  <c r="FB14" i="36"/>
  <c r="ED14" i="36"/>
  <c r="DF14" i="36"/>
  <c r="CH14" i="36"/>
  <c r="BJ14" i="36"/>
  <c r="AL14" i="36"/>
  <c r="GT15" i="38"/>
  <c r="GT17" i="38" s="1"/>
  <c r="GT31" i="38"/>
  <c r="GU32" i="38" s="1" a="1"/>
  <c r="GU32" i="38" s="1"/>
  <c r="GT18" i="38"/>
  <c r="GT28" i="38"/>
  <c r="GT24" i="38"/>
  <c r="GU24" i="38" s="1"/>
  <c r="GT27" i="38"/>
  <c r="GT16" i="38"/>
  <c r="GV39" i="38"/>
  <c r="GT20" i="38"/>
  <c r="GB39" i="38"/>
  <c r="FZ28" i="38"/>
  <c r="GD14" i="38"/>
  <c r="FZ18" i="38"/>
  <c r="FZ30" i="38"/>
  <c r="GA30" i="38" s="1" a="1"/>
  <c r="GA30" i="38" s="1"/>
  <c r="FZ26" i="38"/>
  <c r="FZ27" i="38"/>
  <c r="FZ24" i="38"/>
  <c r="GA24" i="38" s="1"/>
  <c r="FZ31" i="38"/>
  <c r="GA32" i="38" s="1" a="1"/>
  <c r="GA32" i="38" s="1"/>
  <c r="FZ15" i="38"/>
  <c r="FZ17" i="38" s="1"/>
  <c r="FZ25" i="38"/>
  <c r="FZ20" i="38"/>
  <c r="FZ16" i="38"/>
  <c r="FV31" i="38"/>
  <c r="FW32" i="38" s="1" a="1"/>
  <c r="FW32" i="38" s="1"/>
  <c r="FV30" i="38"/>
  <c r="FW30" i="38" s="1" a="1"/>
  <c r="FW30" i="38" s="1"/>
  <c r="FV26" i="38"/>
  <c r="FV24" i="38"/>
  <c r="FW24" i="38" s="1"/>
  <c r="FX39" i="38"/>
  <c r="FV27" i="38"/>
  <c r="FV15" i="38"/>
  <c r="FV17" i="38" s="1"/>
  <c r="EX31" i="38"/>
  <c r="EY32" i="38" s="1" a="1"/>
  <c r="EY32" i="38" s="1"/>
  <c r="EX15" i="38"/>
  <c r="EX17" i="38" s="1"/>
  <c r="EZ39" i="38"/>
  <c r="EX30" i="38"/>
  <c r="EY30" i="38" s="1" a="1"/>
  <c r="EY30" i="38" s="1"/>
  <c r="EX27" i="38"/>
  <c r="EX26" i="38"/>
  <c r="EX24" i="38"/>
  <c r="EY24" i="38" s="1"/>
  <c r="FB14" i="38"/>
  <c r="EX25" i="38"/>
  <c r="EX28" i="38"/>
  <c r="EX16" i="38"/>
  <c r="EX20" i="38"/>
  <c r="EL14" i="38"/>
  <c r="EH26" i="38"/>
  <c r="EJ39" i="38"/>
  <c r="EH31" i="38"/>
  <c r="EI32" i="38" s="1" a="1"/>
  <c r="EI32" i="38" s="1"/>
  <c r="EH15" i="38"/>
  <c r="EH17" i="38" s="1"/>
  <c r="EH25" i="38"/>
  <c r="EH28" i="38"/>
  <c r="EH30" i="38"/>
  <c r="EI30" i="38" s="1" a="1"/>
  <c r="EI30" i="38" s="1"/>
  <c r="EH18" i="38"/>
  <c r="EH16" i="38"/>
  <c r="EH24" i="38"/>
  <c r="EI24" i="38" s="1"/>
  <c r="EH27" i="38"/>
  <c r="EH20" i="38"/>
  <c r="ED25" i="38"/>
  <c r="ED30" i="38"/>
  <c r="EE30" i="38" s="1" a="1"/>
  <c r="EE30" i="38" s="1"/>
  <c r="ED26" i="38"/>
  <c r="EF39" i="38"/>
  <c r="ED15" i="38"/>
  <c r="ED17" i="38" s="1"/>
  <c r="ED28" i="38"/>
  <c r="ED27" i="38"/>
  <c r="ED24" i="38"/>
  <c r="EE24" i="38" s="1"/>
  <c r="ED31" i="38"/>
  <c r="EE32" i="38" s="1" a="1"/>
  <c r="EE32" i="38" s="1"/>
  <c r="ED20" i="38"/>
  <c r="ED16" i="38"/>
  <c r="ED18" i="38"/>
  <c r="DZ15" i="38"/>
  <c r="DZ17" i="38" s="1"/>
  <c r="EB39" i="38"/>
  <c r="DZ30" i="38"/>
  <c r="EA30" i="38" s="1" a="1"/>
  <c r="EA30" i="38" s="1"/>
  <c r="DZ27" i="38"/>
  <c r="DZ31" i="38"/>
  <c r="EA32" i="38" s="1" a="1"/>
  <c r="EA32" i="38" s="1"/>
  <c r="DZ26" i="38"/>
  <c r="DZ24" i="38"/>
  <c r="EA24" i="38" s="1"/>
  <c r="DZ20" i="38"/>
  <c r="DB18" i="38"/>
  <c r="DD39" i="38"/>
  <c r="DB31" i="38"/>
  <c r="DC32" i="38" s="1" a="1"/>
  <c r="DC32" i="38" s="1"/>
  <c r="DB30" i="38"/>
  <c r="DC30" i="38" s="1" a="1"/>
  <c r="DC30" i="38" s="1"/>
  <c r="DB27" i="38"/>
  <c r="DB26" i="38"/>
  <c r="DB24" i="38"/>
  <c r="DC24" i="38" s="1"/>
  <c r="DB15" i="38"/>
  <c r="DB17" i="38" s="1"/>
  <c r="DF14" i="38"/>
  <c r="DB25" i="38"/>
  <c r="CF39" i="38"/>
  <c r="CH14" i="38"/>
  <c r="CD25" i="38"/>
  <c r="CD28" i="38"/>
  <c r="CD15" i="38"/>
  <c r="CD17" i="38" s="1"/>
  <c r="BF28" i="38"/>
  <c r="BF25" i="38"/>
  <c r="BF18" i="38"/>
  <c r="BF15" i="38"/>
  <c r="BF17" i="38" s="1"/>
  <c r="BF24" i="38"/>
  <c r="BG24" i="38" s="1"/>
  <c r="BF26" i="38"/>
  <c r="BF20" i="38"/>
  <c r="BJ14" i="38"/>
  <c r="BF27" i="38"/>
  <c r="BF30" i="38"/>
  <c r="BG30" i="38" s="1" a="1"/>
  <c r="BG30" i="38" s="1"/>
  <c r="BF31" i="38"/>
  <c r="BG32" i="38" s="1" a="1"/>
  <c r="BG32" i="38" s="1"/>
  <c r="AH15" i="38"/>
  <c r="AH17" i="38" s="1"/>
  <c r="AH24" i="38"/>
  <c r="AI24" i="38" s="1"/>
  <c r="AJ39" i="38"/>
  <c r="AH30" i="38"/>
  <c r="AI30" i="38" s="1" a="1"/>
  <c r="AI30" i="38" s="1"/>
  <c r="AH16" i="38"/>
  <c r="AH18" i="38"/>
  <c r="AL14" i="38"/>
  <c r="AH26" i="38"/>
  <c r="AH25" i="38"/>
  <c r="AH31" i="38"/>
  <c r="AI32" i="38" s="1" a="1"/>
  <c r="AI32" i="38" s="1"/>
  <c r="AH27" i="38"/>
  <c r="AD15" i="38"/>
  <c r="AD17" i="38" s="1"/>
  <c r="AD31" i="38"/>
  <c r="AE32" i="38" s="1" a="1"/>
  <c r="AE32" i="38" s="1"/>
  <c r="AD16" i="38"/>
  <c r="AD18" i="38"/>
  <c r="AD28" i="38"/>
  <c r="AD24" i="38"/>
  <c r="AE24" i="38" s="1"/>
  <c r="AD20" i="38"/>
  <c r="AD25" i="38"/>
  <c r="Z15" i="38"/>
  <c r="Z17" i="38" s="1"/>
  <c r="Z27" i="38"/>
  <c r="Z31" i="38"/>
  <c r="AA32" i="38" s="1" a="1"/>
  <c r="AA32" i="38" s="1"/>
  <c r="Z16" i="38"/>
  <c r="Z18" i="38"/>
  <c r="Z28" i="38"/>
  <c r="Z24" i="38"/>
  <c r="AA24" i="38" s="1"/>
  <c r="AB39" i="38"/>
  <c r="Z20" i="38"/>
  <c r="Z25" i="38"/>
  <c r="V15" i="38"/>
  <c r="V17" i="38" s="1"/>
  <c r="V31" i="38"/>
  <c r="W32" i="38" s="1" a="1"/>
  <c r="W32" i="38" s="1"/>
  <c r="V16" i="38"/>
  <c r="V18" i="38"/>
  <c r="V24" i="38"/>
  <c r="W24" i="38" s="1"/>
  <c r="X39" i="38"/>
  <c r="V20" i="38"/>
  <c r="V25" i="38"/>
  <c r="V27" i="38"/>
  <c r="V28" i="38"/>
  <c r="R15" i="38"/>
  <c r="R17" i="38" s="1"/>
  <c r="R27" i="38"/>
  <c r="R31" i="38"/>
  <c r="S32" i="38" s="1" a="1"/>
  <c r="S32" i="38" s="1"/>
  <c r="R16" i="38"/>
  <c r="R18" i="38"/>
  <c r="R28" i="38"/>
  <c r="R24" i="38"/>
  <c r="S24" i="38" s="1"/>
  <c r="T39" i="38"/>
  <c r="R20" i="38"/>
  <c r="R25" i="38"/>
  <c r="N15" i="38"/>
  <c r="N17" i="38" s="1"/>
  <c r="N27" i="38"/>
  <c r="N31" i="38"/>
  <c r="O32" i="38" s="1" a="1"/>
  <c r="O32" i="38" s="1"/>
  <c r="N16" i="38"/>
  <c r="P39" i="38"/>
  <c r="N20" i="38"/>
  <c r="N25" i="38"/>
  <c r="GT19" i="39"/>
  <c r="FV20" i="39"/>
  <c r="FV24" i="39"/>
  <c r="FW24" i="39" s="1"/>
  <c r="FV26" i="39"/>
  <c r="FV30" i="39"/>
  <c r="FW30" i="39" s="1" a="1"/>
  <c r="FW30" i="39" s="1"/>
  <c r="FV31" i="39"/>
  <c r="FW32" i="39" s="1" a="1"/>
  <c r="FW32" i="39" s="1"/>
  <c r="FZ14" i="39"/>
  <c r="FV18" i="39"/>
  <c r="FV27" i="39"/>
  <c r="FV16" i="39"/>
  <c r="EX19" i="39"/>
  <c r="EX27" i="39"/>
  <c r="EX18" i="39"/>
  <c r="EX20" i="39"/>
  <c r="EX26" i="39"/>
  <c r="EX30" i="39"/>
  <c r="EY30" i="39" s="1" a="1"/>
  <c r="EY30" i="39" s="1"/>
  <c r="EX31" i="39"/>
  <c r="EY32" i="39" s="1" a="1"/>
  <c r="EY32" i="39" s="1"/>
  <c r="FB14" i="39"/>
  <c r="EZ39" i="39"/>
  <c r="EX16" i="39"/>
  <c r="EX24" i="39"/>
  <c r="EY24" i="39" s="1"/>
  <c r="DZ19" i="39"/>
  <c r="DZ16" i="39"/>
  <c r="DZ20" i="39"/>
  <c r="DZ27" i="39"/>
  <c r="DZ30" i="39"/>
  <c r="EA30" i="39" s="1" a="1"/>
  <c r="EA30" i="39" s="1"/>
  <c r="DZ31" i="39"/>
  <c r="EA32" i="39" s="1" a="1"/>
  <c r="EA32" i="39" s="1"/>
  <c r="ED14" i="39"/>
  <c r="DZ26" i="39"/>
  <c r="EB39" i="39"/>
  <c r="DZ18" i="39"/>
  <c r="DZ24" i="39"/>
  <c r="EA24" i="39" s="1"/>
  <c r="DB19" i="39"/>
  <c r="DB18" i="39"/>
  <c r="DD39" i="39"/>
  <c r="DB27" i="39"/>
  <c r="DB31" i="39"/>
  <c r="DC32" i="39" s="1" a="1"/>
  <c r="DC32" i="39" s="1"/>
  <c r="DF14" i="39"/>
  <c r="DB16" i="39"/>
  <c r="DB20" i="39"/>
  <c r="DB24" i="39"/>
  <c r="DC24" i="39" s="1"/>
  <c r="DB26" i="39"/>
  <c r="DB30" i="39"/>
  <c r="DC30" i="39" s="1" a="1"/>
  <c r="DC30" i="39" s="1"/>
  <c r="CH30" i="39"/>
  <c r="CI30" i="39" s="1" a="1"/>
  <c r="CI30" i="39" s="1"/>
  <c r="CH26" i="39"/>
  <c r="CH31" i="39"/>
  <c r="CI32" i="39" s="1" a="1"/>
  <c r="CI32" i="39" s="1"/>
  <c r="CH20" i="39"/>
  <c r="CJ39" i="39"/>
  <c r="CH25" i="39"/>
  <c r="CH15" i="39"/>
  <c r="CH17" i="39" s="1"/>
  <c r="CL14" i="39"/>
  <c r="CH28" i="39"/>
  <c r="CH27" i="39"/>
  <c r="CH24" i="39"/>
  <c r="CI24" i="39" s="1"/>
  <c r="CH16" i="39"/>
  <c r="CH18" i="39"/>
  <c r="CD20" i="39"/>
  <c r="CD28" i="39"/>
  <c r="CD25" i="39"/>
  <c r="CD15" i="39"/>
  <c r="CD17" i="39" s="1"/>
  <c r="CF39" i="39"/>
  <c r="CD16" i="39"/>
  <c r="CD30" i="39"/>
  <c r="CE30" i="39" s="1" a="1"/>
  <c r="CE30" i="39" s="1"/>
  <c r="BF19" i="39"/>
  <c r="BF24" i="39"/>
  <c r="BG24" i="39" s="1"/>
  <c r="BF26" i="39"/>
  <c r="BF30" i="39"/>
  <c r="BG30" i="39" s="1" a="1"/>
  <c r="BG30" i="39" s="1"/>
  <c r="BF31" i="39"/>
  <c r="BG32" i="39" s="1" a="1"/>
  <c r="BG32" i="39" s="1"/>
  <c r="BJ14" i="39"/>
  <c r="BF16" i="39"/>
  <c r="BF18" i="39"/>
  <c r="BF20" i="39"/>
  <c r="BF27" i="39"/>
  <c r="AH19" i="39"/>
  <c r="AH18" i="39"/>
  <c r="AH20" i="39"/>
  <c r="AH31" i="39"/>
  <c r="AI32" i="39" s="1" a="1"/>
  <c r="AI32" i="39" s="1"/>
  <c r="AL14" i="39"/>
  <c r="AH16" i="39"/>
  <c r="AH24" i="39"/>
  <c r="AI24" i="39" s="1"/>
  <c r="AH26" i="39"/>
  <c r="AH27" i="39"/>
  <c r="AH30" i="39"/>
  <c r="AI30" i="39" s="1" a="1"/>
  <c r="AI30" i="39" s="1"/>
  <c r="AD20" i="39"/>
  <c r="AD26" i="39"/>
  <c r="AD27" i="39"/>
  <c r="AD31" i="39"/>
  <c r="AE32" i="39" s="1" a="1"/>
  <c r="AE32" i="39" s="1"/>
  <c r="AD16" i="39"/>
  <c r="AD24" i="39"/>
  <c r="AE24" i="39" s="1"/>
  <c r="AD15" i="39"/>
  <c r="AD17" i="39" s="1"/>
  <c r="AD28" i="39"/>
  <c r="AD18" i="39"/>
  <c r="Z28" i="39"/>
  <c r="Z15" i="39"/>
  <c r="Z17" i="39" s="1"/>
  <c r="Z16" i="39"/>
  <c r="Z18" i="39"/>
  <c r="AB39" i="39"/>
  <c r="Z25" i="39"/>
  <c r="Z24" i="39"/>
  <c r="AA24" i="39" s="1"/>
  <c r="V20" i="39"/>
  <c r="V26" i="39"/>
  <c r="V27" i="39"/>
  <c r="V31" i="39"/>
  <c r="W32" i="39" s="1" a="1"/>
  <c r="W32" i="39" s="1"/>
  <c r="V15" i="39"/>
  <c r="V17" i="39" s="1"/>
  <c r="V28" i="39"/>
  <c r="V16" i="39"/>
  <c r="V24" i="39"/>
  <c r="W24" i="39" s="1"/>
  <c r="V18" i="39"/>
  <c r="X39" i="39"/>
  <c r="V25" i="39"/>
  <c r="R15" i="39"/>
  <c r="R17" i="39" s="1"/>
  <c r="R28" i="39"/>
  <c r="R16" i="39"/>
  <c r="R24" i="39"/>
  <c r="S24" i="39" s="1"/>
  <c r="R18" i="39"/>
  <c r="T39" i="39"/>
  <c r="R25" i="39"/>
  <c r="N15" i="39"/>
  <c r="N17" i="39" s="1"/>
  <c r="N28" i="39"/>
  <c r="N16" i="39"/>
  <c r="N24" i="39"/>
  <c r="O24" i="39" s="1"/>
  <c r="N18" i="39"/>
  <c r="P39" i="39"/>
  <c r="N25" i="39"/>
  <c r="GD14" i="36" l="1"/>
  <c r="FF14" i="36"/>
  <c r="EH14" i="36"/>
  <c r="DJ14" i="36"/>
  <c r="CL14" i="36"/>
  <c r="BN14" i="36"/>
  <c r="AP14" i="36"/>
  <c r="GT19" i="38"/>
  <c r="GD31" i="38"/>
  <c r="GE32" i="38" s="1" a="1"/>
  <c r="GE32" i="38" s="1"/>
  <c r="GD20" i="38"/>
  <c r="GD18" i="38"/>
  <c r="GD26" i="38"/>
  <c r="GF39" i="38"/>
  <c r="GD15" i="38"/>
  <c r="GD17" i="38" s="1"/>
  <c r="GD25" i="38"/>
  <c r="GD16" i="38"/>
  <c r="GH14" i="38"/>
  <c r="GD30" i="38"/>
  <c r="GE30" i="38" s="1" a="1"/>
  <c r="GE30" i="38" s="1"/>
  <c r="GD28" i="38"/>
  <c r="GD24" i="38"/>
  <c r="GE24" i="38" s="1"/>
  <c r="GD27" i="38"/>
  <c r="FV19" i="38"/>
  <c r="FZ19" i="38"/>
  <c r="FB30" i="38"/>
  <c r="FC30" i="38" s="1" a="1"/>
  <c r="FC30" i="38" s="1"/>
  <c r="FB26" i="38"/>
  <c r="FB31" i="38"/>
  <c r="FC32" i="38" s="1" a="1"/>
  <c r="FC32" i="38" s="1"/>
  <c r="FB15" i="38"/>
  <c r="FB17" i="38" s="1"/>
  <c r="FB27" i="38"/>
  <c r="FB24" i="38"/>
  <c r="FC24" i="38" s="1"/>
  <c r="FD39" i="38"/>
  <c r="FB25" i="38"/>
  <c r="FB28" i="38"/>
  <c r="FB20" i="38"/>
  <c r="FB16" i="38"/>
  <c r="FF14" i="38"/>
  <c r="FB18" i="38"/>
  <c r="EX19" i="38"/>
  <c r="ED19" i="38"/>
  <c r="DZ19" i="38"/>
  <c r="EH19" i="38"/>
  <c r="EL18" i="38"/>
  <c r="EP14" i="38"/>
  <c r="EL24" i="38"/>
  <c r="EM24" i="38" s="1"/>
  <c r="EN39" i="38"/>
  <c r="EL31" i="38"/>
  <c r="EM32" i="38" s="1" a="1"/>
  <c r="EM32" i="38" s="1"/>
  <c r="EL25" i="38"/>
  <c r="EL15" i="38"/>
  <c r="EL17" i="38" s="1"/>
  <c r="EL30" i="38"/>
  <c r="EM30" i="38" s="1" a="1"/>
  <c r="EM30" i="38" s="1"/>
  <c r="EL28" i="38"/>
  <c r="EL27" i="38"/>
  <c r="EL20" i="38"/>
  <c r="EL16" i="38"/>
  <c r="EL26" i="38"/>
  <c r="DF30" i="38"/>
  <c r="DG30" i="38" s="1" a="1"/>
  <c r="DG30" i="38" s="1"/>
  <c r="DF15" i="38"/>
  <c r="DF17" i="38" s="1"/>
  <c r="DF27" i="38"/>
  <c r="DF24" i="38"/>
  <c r="DG24" i="38" s="1"/>
  <c r="DF26" i="38"/>
  <c r="DH39" i="38"/>
  <c r="DF31" i="38"/>
  <c r="DG32" i="38" s="1" a="1"/>
  <c r="DG32" i="38" s="1"/>
  <c r="DF25" i="38"/>
  <c r="DF28" i="38"/>
  <c r="DJ14" i="38"/>
  <c r="DF18" i="38"/>
  <c r="DF20" i="38"/>
  <c r="DF16" i="38"/>
  <c r="DB19" i="38"/>
  <c r="CD19" i="38"/>
  <c r="CH26" i="38"/>
  <c r="CJ39" i="38"/>
  <c r="CH30" i="38"/>
  <c r="CI30" i="38" s="1" a="1"/>
  <c r="CI30" i="38" s="1"/>
  <c r="CH27" i="38"/>
  <c r="CH24" i="38"/>
  <c r="CI24" i="38" s="1"/>
  <c r="CH31" i="38"/>
  <c r="CI32" i="38" s="1" a="1"/>
  <c r="CI32" i="38" s="1"/>
  <c r="CH15" i="38"/>
  <c r="CH17" i="38" s="1"/>
  <c r="CH25" i="38"/>
  <c r="CH28" i="38"/>
  <c r="CH18" i="38"/>
  <c r="CL14" i="38"/>
  <c r="CH20" i="38"/>
  <c r="CH16" i="38"/>
  <c r="BJ27" i="38"/>
  <c r="BJ26" i="38"/>
  <c r="BJ31" i="38"/>
  <c r="BK32" i="38" s="1" a="1"/>
  <c r="BK32" i="38" s="1"/>
  <c r="BJ15" i="38"/>
  <c r="BJ17" i="38" s="1"/>
  <c r="BJ30" i="38"/>
  <c r="BK30" i="38" s="1" a="1"/>
  <c r="BK30" i="38" s="1"/>
  <c r="BJ18" i="38"/>
  <c r="BJ24" i="38"/>
  <c r="BK24" i="38" s="1"/>
  <c r="BL39" i="38"/>
  <c r="BJ28" i="38"/>
  <c r="BJ25" i="38"/>
  <c r="BN14" i="38"/>
  <c r="BJ20" i="38"/>
  <c r="BJ16" i="38"/>
  <c r="BF19" i="38"/>
  <c r="AL30" i="38"/>
  <c r="AM30" i="38" s="1" a="1"/>
  <c r="AM30" i="38" s="1"/>
  <c r="AL27" i="38"/>
  <c r="AL24" i="38"/>
  <c r="AM24" i="38" s="1"/>
  <c r="AL26" i="38"/>
  <c r="AN39" i="38"/>
  <c r="AL31" i="38"/>
  <c r="AM32" i="38" s="1" a="1"/>
  <c r="AM32" i="38" s="1"/>
  <c r="AL16" i="38"/>
  <c r="AL25" i="38"/>
  <c r="AL20" i="38"/>
  <c r="AL18" i="38"/>
  <c r="AL15" i="38"/>
  <c r="AL17" i="38" s="1"/>
  <c r="AP14" i="38"/>
  <c r="AL28" i="38"/>
  <c r="AH19" i="38"/>
  <c r="AD19" i="38"/>
  <c r="Z19" i="38"/>
  <c r="V19" i="38"/>
  <c r="R19" i="38"/>
  <c r="N19" i="38"/>
  <c r="FZ30" i="39"/>
  <c r="GA30" i="39" s="1" a="1"/>
  <c r="GA30" i="39" s="1"/>
  <c r="FZ27" i="39"/>
  <c r="FZ24" i="39"/>
  <c r="GA24" i="39" s="1"/>
  <c r="FZ26" i="39"/>
  <c r="GD14" i="39"/>
  <c r="GB39" i="39"/>
  <c r="FZ31" i="39"/>
  <c r="GA32" i="39" s="1" a="1"/>
  <c r="GA32" i="39" s="1"/>
  <c r="FZ20" i="39"/>
  <c r="FZ18" i="39"/>
  <c r="FZ16" i="39"/>
  <c r="FZ25" i="39"/>
  <c r="FZ15" i="39"/>
  <c r="FZ17" i="39" s="1"/>
  <c r="FZ28" i="39"/>
  <c r="FB16" i="39"/>
  <c r="FB30" i="39"/>
  <c r="FC30" i="39" s="1" a="1"/>
  <c r="FC30" i="39" s="1"/>
  <c r="FB20" i="39"/>
  <c r="FB18" i="39"/>
  <c r="FB15" i="39"/>
  <c r="FB17" i="39" s="1"/>
  <c r="FB27" i="39"/>
  <c r="FB24" i="39"/>
  <c r="FC24" i="39" s="1"/>
  <c r="FD39" i="39"/>
  <c r="FB31" i="39"/>
  <c r="FC32" i="39" s="1" a="1"/>
  <c r="FC32" i="39" s="1"/>
  <c r="FB25" i="39"/>
  <c r="FB28" i="39"/>
  <c r="FB26" i="39"/>
  <c r="FF14" i="39"/>
  <c r="ED30" i="39"/>
  <c r="EE30" i="39" s="1" a="1"/>
  <c r="EE30" i="39" s="1"/>
  <c r="ED27" i="39"/>
  <c r="ED24" i="39"/>
  <c r="EE24" i="39" s="1"/>
  <c r="ED26" i="39"/>
  <c r="EH14" i="39"/>
  <c r="EF39" i="39"/>
  <c r="ED31" i="39"/>
  <c r="EE32" i="39" s="1" a="1"/>
  <c r="EE32" i="39" s="1"/>
  <c r="ED20" i="39"/>
  <c r="ED18" i="39"/>
  <c r="ED16" i="39"/>
  <c r="ED25" i="39"/>
  <c r="ED28" i="39"/>
  <c r="ED15" i="39"/>
  <c r="ED17" i="39" s="1"/>
  <c r="DF31" i="39"/>
  <c r="DG32" i="39" s="1" a="1"/>
  <c r="DG32" i="39" s="1"/>
  <c r="DF25" i="39"/>
  <c r="DF15" i="39"/>
  <c r="DF17" i="39" s="1"/>
  <c r="DF30" i="39"/>
  <c r="DG30" i="39" s="1" a="1"/>
  <c r="DG30" i="39" s="1"/>
  <c r="DF27" i="39"/>
  <c r="DF24" i="39"/>
  <c r="DG24" i="39" s="1"/>
  <c r="DH39" i="39"/>
  <c r="DF20" i="39"/>
  <c r="DF16" i="39"/>
  <c r="DF28" i="39"/>
  <c r="DF26" i="39"/>
  <c r="DJ14" i="39"/>
  <c r="DF18" i="39"/>
  <c r="CH19" i="39"/>
  <c r="CD19" i="39"/>
  <c r="CL26" i="39"/>
  <c r="CL31" i="39"/>
  <c r="CM32" i="39" s="1" a="1"/>
  <c r="CM32" i="39" s="1"/>
  <c r="CL18" i="39"/>
  <c r="CL28" i="39"/>
  <c r="CN39" i="39"/>
  <c r="CL20" i="39"/>
  <c r="CL27" i="39"/>
  <c r="CL24" i="39"/>
  <c r="CM24" i="39" s="1"/>
  <c r="CP14" i="39"/>
  <c r="CL30" i="39"/>
  <c r="CM30" i="39" s="1" a="1"/>
  <c r="CM30" i="39" s="1"/>
  <c r="CL15" i="39"/>
  <c r="CL17" i="39" s="1"/>
  <c r="CL16" i="39"/>
  <c r="CL25" i="39"/>
  <c r="BJ30" i="39"/>
  <c r="BK30" i="39" s="1" a="1"/>
  <c r="BK30" i="39" s="1"/>
  <c r="BJ26" i="39"/>
  <c r="BL39" i="39"/>
  <c r="BJ16" i="39"/>
  <c r="BJ27" i="39"/>
  <c r="BJ24" i="39"/>
  <c r="BK24" i="39" s="1"/>
  <c r="BN14" i="39"/>
  <c r="BJ31" i="39"/>
  <c r="BK32" i="39" s="1" a="1"/>
  <c r="BK32" i="39" s="1"/>
  <c r="BJ20" i="39"/>
  <c r="BJ18" i="39"/>
  <c r="BJ25" i="39"/>
  <c r="BJ15" i="39"/>
  <c r="BJ17" i="39" s="1"/>
  <c r="BJ28" i="39"/>
  <c r="AL30" i="39"/>
  <c r="AM30" i="39" s="1" a="1"/>
  <c r="AM30" i="39" s="1"/>
  <c r="AL25" i="39"/>
  <c r="AL28" i="39"/>
  <c r="AL27" i="39"/>
  <c r="AL24" i="39"/>
  <c r="AM24" i="39" s="1"/>
  <c r="AL20" i="39"/>
  <c r="AL16" i="39"/>
  <c r="AL26" i="39"/>
  <c r="AP14" i="39"/>
  <c r="AN39" i="39"/>
  <c r="AL31" i="39"/>
  <c r="AM32" i="39" s="1" a="1"/>
  <c r="AM32" i="39" s="1"/>
  <c r="AL18" i="39"/>
  <c r="AL15" i="39"/>
  <c r="AL17" i="39" s="1"/>
  <c r="AD19" i="39"/>
  <c r="Z19" i="39"/>
  <c r="V19" i="39"/>
  <c r="R19" i="39"/>
  <c r="N19" i="39"/>
  <c r="C51" i="24"/>
  <c r="C60" i="24"/>
  <c r="GH14" i="36" l="1"/>
  <c r="FJ14" i="36"/>
  <c r="EL14" i="36"/>
  <c r="DN14" i="36"/>
  <c r="CP14" i="36"/>
  <c r="BR14" i="36"/>
  <c r="AT14" i="36"/>
  <c r="GD19" i="38"/>
  <c r="GH15" i="38"/>
  <c r="GH17" i="38" s="1"/>
  <c r="GH28" i="38"/>
  <c r="GH27" i="38"/>
  <c r="GH24" i="38"/>
  <c r="GI24" i="38" s="1"/>
  <c r="GJ39" i="38"/>
  <c r="GH31" i="38"/>
  <c r="GI32" i="38" s="1" a="1"/>
  <c r="GI32" i="38" s="1"/>
  <c r="GH25" i="38"/>
  <c r="GH30" i="38"/>
  <c r="GI30" i="38" s="1" a="1"/>
  <c r="GI30" i="38" s="1"/>
  <c r="GH20" i="38"/>
  <c r="GH16" i="38"/>
  <c r="GL14" i="38"/>
  <c r="GH18" i="38"/>
  <c r="GH26" i="38"/>
  <c r="FB19" i="38"/>
  <c r="FF26" i="38"/>
  <c r="FF31" i="38"/>
  <c r="FG32" i="38" s="1" a="1"/>
  <c r="FG32" i="38" s="1"/>
  <c r="FF15" i="38"/>
  <c r="FF17" i="38" s="1"/>
  <c r="FF25" i="38"/>
  <c r="FH39" i="38"/>
  <c r="FF28" i="38"/>
  <c r="FF27" i="38"/>
  <c r="FJ14" i="38"/>
  <c r="FF30" i="38"/>
  <c r="FG30" i="38" s="1" a="1"/>
  <c r="FG30" i="38" s="1"/>
  <c r="FF20" i="38"/>
  <c r="FF16" i="38"/>
  <c r="FF24" i="38"/>
  <c r="FG24" i="38" s="1"/>
  <c r="FF18" i="38"/>
  <c r="EL19" i="38"/>
  <c r="EP28" i="38"/>
  <c r="EP27" i="38"/>
  <c r="EP24" i="38"/>
  <c r="EQ24" i="38" s="1"/>
  <c r="ER39" i="38"/>
  <c r="EP31" i="38"/>
  <c r="EQ32" i="38" s="1" a="1"/>
  <c r="EQ32" i="38" s="1"/>
  <c r="EP30" i="38"/>
  <c r="EP15" i="38"/>
  <c r="EP17" i="38" s="1"/>
  <c r="EP18" i="38"/>
  <c r="ET14" i="38"/>
  <c r="EP20" i="38"/>
  <c r="EP16" i="38"/>
  <c r="EP26" i="38"/>
  <c r="EP25" i="38"/>
  <c r="DF19" i="38"/>
  <c r="DJ26" i="38"/>
  <c r="DJ25" i="38"/>
  <c r="DJ28" i="38"/>
  <c r="DL39" i="38"/>
  <c r="DJ31" i="38"/>
  <c r="DK32" i="38" s="1" a="1"/>
  <c r="DK32" i="38" s="1"/>
  <c r="DJ15" i="38"/>
  <c r="DJ17" i="38" s="1"/>
  <c r="DN14" i="38"/>
  <c r="DJ24" i="38"/>
  <c r="DK24" i="38" s="1"/>
  <c r="DJ30" i="38"/>
  <c r="DK30" i="38" s="1" a="1"/>
  <c r="DK30" i="38" s="1"/>
  <c r="DJ27" i="38"/>
  <c r="DJ18" i="38"/>
  <c r="DJ20" i="38"/>
  <c r="DJ16" i="38"/>
  <c r="CH19" i="38"/>
  <c r="CL26" i="38"/>
  <c r="CN39" i="38"/>
  <c r="CL31" i="38"/>
  <c r="CM32" i="38" s="1" a="1"/>
  <c r="CM32" i="38" s="1"/>
  <c r="CL15" i="38"/>
  <c r="CL17" i="38" s="1"/>
  <c r="CL28" i="38"/>
  <c r="CP14" i="38"/>
  <c r="CL30" i="38"/>
  <c r="CM30" i="38" s="1" a="1"/>
  <c r="CM30" i="38" s="1"/>
  <c r="CL25" i="38"/>
  <c r="CL20" i="38"/>
  <c r="CL16" i="38"/>
  <c r="CL27" i="38"/>
  <c r="CL24" i="38"/>
  <c r="CM24" i="38" s="1"/>
  <c r="CL18" i="38"/>
  <c r="BJ19" i="38"/>
  <c r="BP39" i="38"/>
  <c r="BN15" i="38"/>
  <c r="BN17" i="38" s="1"/>
  <c r="BN26" i="38"/>
  <c r="BN31" i="38"/>
  <c r="BO32" i="38" s="1" a="1"/>
  <c r="BO32" i="38" s="1"/>
  <c r="BN27" i="38"/>
  <c r="BN25" i="38"/>
  <c r="BR14" i="38"/>
  <c r="BN30" i="38"/>
  <c r="BO30" i="38" s="1" a="1"/>
  <c r="BO30" i="38" s="1"/>
  <c r="BN20" i="38"/>
  <c r="BN18" i="38"/>
  <c r="BN16" i="38"/>
  <c r="BN28" i="38"/>
  <c r="BN24" i="38"/>
  <c r="BO24" i="38" s="1"/>
  <c r="AP26" i="38"/>
  <c r="AR39" i="38"/>
  <c r="AP31" i="38"/>
  <c r="AQ32" i="38" s="1" a="1"/>
  <c r="AQ32" i="38" s="1"/>
  <c r="AP15" i="38"/>
  <c r="AP17" i="38" s="1"/>
  <c r="AP25" i="38"/>
  <c r="AP18" i="38"/>
  <c r="AP24" i="38"/>
  <c r="AQ24" i="38" s="1"/>
  <c r="AP28" i="38"/>
  <c r="AP27" i="38"/>
  <c r="AT14" i="38"/>
  <c r="AP20" i="38"/>
  <c r="AP30" i="38"/>
  <c r="AQ30" i="38" s="1" a="1"/>
  <c r="AQ30" i="38" s="1"/>
  <c r="AP16" i="38"/>
  <c r="AL19" i="38"/>
  <c r="FZ19" i="39"/>
  <c r="GD25" i="39"/>
  <c r="GD26" i="39"/>
  <c r="GH14" i="39"/>
  <c r="GF39" i="39"/>
  <c r="GD31" i="39"/>
  <c r="GE32" i="39" s="1" a="1"/>
  <c r="GE32" i="39" s="1"/>
  <c r="GD20" i="39"/>
  <c r="GD18" i="39"/>
  <c r="GD16" i="39"/>
  <c r="GD28" i="39"/>
  <c r="GD27" i="39"/>
  <c r="GD24" i="39"/>
  <c r="GE24" i="39" s="1"/>
  <c r="GD30" i="39"/>
  <c r="GE30" i="39" s="1" a="1"/>
  <c r="GE30" i="39" s="1"/>
  <c r="GD15" i="39"/>
  <c r="GD17" i="39" s="1"/>
  <c r="FB19" i="39"/>
  <c r="FF30" i="39"/>
  <c r="FG30" i="39" s="1" a="1"/>
  <c r="FG30" i="39" s="1"/>
  <c r="FF26" i="39"/>
  <c r="FJ14" i="39"/>
  <c r="FF25" i="39"/>
  <c r="FF28" i="39"/>
  <c r="FF15" i="39"/>
  <c r="FF17" i="39" s="1"/>
  <c r="FH39" i="39"/>
  <c r="FF31" i="39"/>
  <c r="FG32" i="39" s="1" a="1"/>
  <c r="FG32" i="39" s="1"/>
  <c r="FF20" i="39"/>
  <c r="FF18" i="39"/>
  <c r="FF16" i="39"/>
  <c r="FF27" i="39"/>
  <c r="FF24" i="39"/>
  <c r="FG24" i="39" s="1"/>
  <c r="EH26" i="39"/>
  <c r="EL14" i="39"/>
  <c r="EJ39" i="39"/>
  <c r="EH31" i="39"/>
  <c r="EI32" i="39" s="1" a="1"/>
  <c r="EI32" i="39" s="1"/>
  <c r="EH20" i="39"/>
  <c r="EH18" i="39"/>
  <c r="EH16" i="39"/>
  <c r="EH25" i="39"/>
  <c r="EH24" i="39"/>
  <c r="EI24" i="39" s="1"/>
  <c r="EH28" i="39"/>
  <c r="EH30" i="39"/>
  <c r="EI30" i="39" s="1" a="1"/>
  <c r="EI30" i="39" s="1"/>
  <c r="EH27" i="39"/>
  <c r="EH15" i="39"/>
  <c r="EH17" i="39" s="1"/>
  <c r="ED19" i="39"/>
  <c r="DJ27" i="39"/>
  <c r="DJ26" i="39"/>
  <c r="DN14" i="39"/>
  <c r="DJ28" i="39"/>
  <c r="DJ30" i="39"/>
  <c r="DK30" i="39" s="1" a="1"/>
  <c r="DK30" i="39" s="1"/>
  <c r="DJ24" i="39"/>
  <c r="DK24" i="39" s="1"/>
  <c r="DL39" i="39"/>
  <c r="DJ31" i="39"/>
  <c r="DK32" i="39" s="1" a="1"/>
  <c r="DK32" i="39" s="1"/>
  <c r="DJ20" i="39"/>
  <c r="DJ18" i="39"/>
  <c r="DJ16" i="39"/>
  <c r="DJ25" i="39"/>
  <c r="DJ15" i="39"/>
  <c r="DJ17" i="39" s="1"/>
  <c r="DF19" i="39"/>
  <c r="CL19" i="39"/>
  <c r="CT14" i="39"/>
  <c r="CP27" i="39"/>
  <c r="CP24" i="39"/>
  <c r="CQ24" i="39" s="1"/>
  <c r="CP15" i="39"/>
  <c r="CP17" i="39" s="1"/>
  <c r="CP26" i="39"/>
  <c r="CR39" i="39"/>
  <c r="CP31" i="39"/>
  <c r="CQ32" i="39" s="1" a="1"/>
  <c r="CQ32" i="39" s="1"/>
  <c r="CP25" i="39"/>
  <c r="CP20" i="39"/>
  <c r="CP18" i="39"/>
  <c r="CP16" i="39"/>
  <c r="CP30" i="39"/>
  <c r="CQ30" i="39" s="1" a="1"/>
  <c r="CQ30" i="39" s="1"/>
  <c r="CP28" i="39"/>
  <c r="BN26" i="39"/>
  <c r="BP39" i="39"/>
  <c r="BN16" i="39"/>
  <c r="BR14" i="39"/>
  <c r="BN31" i="39"/>
  <c r="BO32" i="39" s="1" a="1"/>
  <c r="BO32" i="39" s="1"/>
  <c r="BN20" i="39"/>
  <c r="BN18" i="39"/>
  <c r="BN25" i="39"/>
  <c r="BN28" i="39"/>
  <c r="BN27" i="39"/>
  <c r="BN15" i="39"/>
  <c r="BN17" i="39" s="1"/>
  <c r="BN24" i="39"/>
  <c r="BO24" i="39" s="1"/>
  <c r="BN30" i="39"/>
  <c r="BO30" i="39" s="1" a="1"/>
  <c r="BO30" i="39" s="1"/>
  <c r="BJ19" i="39"/>
  <c r="AL19" i="39"/>
  <c r="AP26" i="39"/>
  <c r="AT14" i="39"/>
  <c r="AP30" i="39"/>
  <c r="AQ30" i="39" s="1" a="1"/>
  <c r="AQ30" i="39" s="1"/>
  <c r="AR39" i="39"/>
  <c r="AP31" i="39"/>
  <c r="AQ32" i="39" s="1" a="1"/>
  <c r="AQ32" i="39" s="1"/>
  <c r="AP20" i="39"/>
  <c r="AP18" i="39"/>
  <c r="AP16" i="39"/>
  <c r="AP25" i="39"/>
  <c r="AP28" i="39"/>
  <c r="AP15" i="39"/>
  <c r="AP17" i="39" s="1"/>
  <c r="AP27" i="39"/>
  <c r="AP24" i="39"/>
  <c r="AQ24" i="39" s="1"/>
  <c r="GL14" i="36" l="1"/>
  <c r="FN14" i="36"/>
  <c r="EP14" i="36"/>
  <c r="DR14" i="36"/>
  <c r="CT14" i="36"/>
  <c r="BV14" i="36"/>
  <c r="AX14" i="36"/>
  <c r="GH19" i="38"/>
  <c r="GL28" i="38"/>
  <c r="GL27" i="38"/>
  <c r="GN39" i="38"/>
  <c r="GL31" i="38"/>
  <c r="GM32" i="38" s="1" a="1"/>
  <c r="GM32" i="38" s="1"/>
  <c r="GL30" i="38"/>
  <c r="GM30" i="38" s="1" a="1"/>
  <c r="GM30" i="38" s="1"/>
  <c r="GL15" i="38"/>
  <c r="GL17" i="38" s="1"/>
  <c r="GL24" i="38"/>
  <c r="GM24" i="38" s="1"/>
  <c r="GL26" i="38"/>
  <c r="GP14" i="38"/>
  <c r="GL20" i="38"/>
  <c r="GL18" i="38"/>
  <c r="GL16" i="38"/>
  <c r="GL25" i="38"/>
  <c r="FJ30" i="38"/>
  <c r="FK30" i="38" s="1" a="1"/>
  <c r="FK30" i="38" s="1"/>
  <c r="FL39" i="38"/>
  <c r="FJ31" i="38"/>
  <c r="FK32" i="38" s="1" a="1"/>
  <c r="FK32" i="38" s="1"/>
  <c r="FJ25" i="38"/>
  <c r="FJ15" i="38"/>
  <c r="FJ17" i="38" s="1"/>
  <c r="FJ28" i="38"/>
  <c r="FN14" i="38"/>
  <c r="FJ27" i="38"/>
  <c r="FJ24" i="38"/>
  <c r="FK24" i="38" s="1"/>
  <c r="FJ26" i="38"/>
  <c r="FJ20" i="38"/>
  <c r="FJ16" i="38"/>
  <c r="FJ18" i="38"/>
  <c r="FF19" i="38"/>
  <c r="EV39" i="38"/>
  <c r="ET31" i="38"/>
  <c r="EU32" i="38" s="1" a="1"/>
  <c r="EU32" i="38" s="1"/>
  <c r="ET15" i="38"/>
  <c r="ET17" i="38" s="1"/>
  <c r="ET28" i="38"/>
  <c r="ET16" i="38"/>
  <c r="ET26" i="38"/>
  <c r="ET30" i="38"/>
  <c r="EU30" i="38" s="1" a="1"/>
  <c r="EU30" i="38" s="1"/>
  <c r="ET27" i="38"/>
  <c r="ET24" i="38"/>
  <c r="EU24" i="38" s="1"/>
  <c r="ET20" i="38"/>
  <c r="ET18" i="38"/>
  <c r="ET25" i="38"/>
  <c r="EP19" i="38"/>
  <c r="DN30" i="38"/>
  <c r="DO30" i="38" s="1" a="1"/>
  <c r="DO30" i="38" s="1"/>
  <c r="DN28" i="38"/>
  <c r="DR14" i="38"/>
  <c r="DP39" i="38"/>
  <c r="DN31" i="38"/>
  <c r="DO32" i="38" s="1" a="1"/>
  <c r="DO32" i="38" s="1"/>
  <c r="DN25" i="38"/>
  <c r="DN15" i="38"/>
  <c r="DN17" i="38" s="1"/>
  <c r="DN24" i="38"/>
  <c r="DO24" i="38" s="1"/>
  <c r="DN27" i="38"/>
  <c r="DN18" i="38"/>
  <c r="DN26" i="38"/>
  <c r="DN20" i="38"/>
  <c r="DN16" i="38"/>
  <c r="DJ19" i="38"/>
  <c r="CL19" i="38"/>
  <c r="CR39" i="38"/>
  <c r="CP15" i="38"/>
  <c r="CP17" i="38" s="1"/>
  <c r="CP31" i="38"/>
  <c r="CQ32" i="38" s="1" a="1"/>
  <c r="CQ32" i="38" s="1"/>
  <c r="CP25" i="38"/>
  <c r="CT14" i="38"/>
  <c r="CP27" i="38"/>
  <c r="CP24" i="38"/>
  <c r="CQ24" i="38" s="1"/>
  <c r="CP20" i="38"/>
  <c r="CP18" i="38"/>
  <c r="CP16" i="38"/>
  <c r="CP28" i="38"/>
  <c r="CP30" i="38"/>
  <c r="CQ30" i="38" s="1" a="1"/>
  <c r="CQ30" i="38" s="1"/>
  <c r="CP26" i="38"/>
  <c r="BT39" i="38"/>
  <c r="BR26" i="38"/>
  <c r="BR31" i="38"/>
  <c r="BS32" i="38" s="1" a="1"/>
  <c r="BS32" i="38" s="1"/>
  <c r="BR30" i="38"/>
  <c r="BS30" i="38" s="1" a="1"/>
  <c r="BS30" i="38" s="1"/>
  <c r="BR28" i="38"/>
  <c r="BR25" i="38"/>
  <c r="BR15" i="38"/>
  <c r="BR17" i="38" s="1"/>
  <c r="BV14" i="38"/>
  <c r="BR27" i="38"/>
  <c r="BR24" i="38"/>
  <c r="BS24" i="38" s="1"/>
  <c r="BR20" i="38"/>
  <c r="BR18" i="38"/>
  <c r="BR16" i="38"/>
  <c r="BN19" i="38"/>
  <c r="AV39" i="38"/>
  <c r="AT31" i="38"/>
  <c r="AU32" i="38" s="1" a="1"/>
  <c r="AU32" i="38" s="1"/>
  <c r="AT25" i="38"/>
  <c r="AT15" i="38"/>
  <c r="AT17" i="38" s="1"/>
  <c r="AT24" i="38"/>
  <c r="AU24" i="38" s="1"/>
  <c r="AT26" i="38"/>
  <c r="AX14" i="38"/>
  <c r="AT18" i="38"/>
  <c r="AT27" i="38"/>
  <c r="AT30" i="38"/>
  <c r="AU30" i="38" s="1" a="1"/>
  <c r="AU30" i="38" s="1"/>
  <c r="AT28" i="38"/>
  <c r="AT20" i="38"/>
  <c r="AT16" i="38"/>
  <c r="AP19" i="38"/>
  <c r="GD19" i="39"/>
  <c r="GH28" i="39"/>
  <c r="GL14" i="39"/>
  <c r="GJ39" i="39"/>
  <c r="GH31" i="39"/>
  <c r="GI32" i="39" s="1" a="1"/>
  <c r="GI32" i="39" s="1"/>
  <c r="GH25" i="39"/>
  <c r="GH20" i="39"/>
  <c r="GH18" i="39"/>
  <c r="GH16" i="39"/>
  <c r="GH27" i="39"/>
  <c r="GH24" i="39"/>
  <c r="GI24" i="39" s="1"/>
  <c r="GH15" i="39"/>
  <c r="GH17" i="39" s="1"/>
  <c r="GH30" i="39"/>
  <c r="GI30" i="39" s="1" a="1"/>
  <c r="GI30" i="39" s="1"/>
  <c r="GH26" i="39"/>
  <c r="FF19" i="39"/>
  <c r="FN14" i="39"/>
  <c r="FJ28" i="39"/>
  <c r="FJ24" i="39"/>
  <c r="FK24" i="39" s="1"/>
  <c r="FL39" i="39"/>
  <c r="FJ31" i="39"/>
  <c r="FK32" i="39" s="1" a="1"/>
  <c r="FK32" i="39" s="1"/>
  <c r="FJ25" i="39"/>
  <c r="FJ20" i="39"/>
  <c r="FJ18" i="39"/>
  <c r="FJ16" i="39"/>
  <c r="FJ30" i="39"/>
  <c r="FK30" i="39" s="1" a="1"/>
  <c r="FK30" i="39" s="1"/>
  <c r="FJ27" i="39"/>
  <c r="FJ26" i="39"/>
  <c r="FJ15" i="39"/>
  <c r="FJ17" i="39" s="1"/>
  <c r="EP14" i="39"/>
  <c r="EN39" i="39"/>
  <c r="EL31" i="39"/>
  <c r="EM32" i="39" s="1" a="1"/>
  <c r="EM32" i="39" s="1"/>
  <c r="EL25" i="39"/>
  <c r="EL20" i="39"/>
  <c r="EL18" i="39"/>
  <c r="EL16" i="39"/>
  <c r="EL30" i="39"/>
  <c r="EM30" i="39" s="1" a="1"/>
  <c r="EM30" i="39" s="1"/>
  <c r="EL28" i="39"/>
  <c r="EL26" i="39"/>
  <c r="EL27" i="39"/>
  <c r="EL24" i="39"/>
  <c r="EM24" i="39" s="1"/>
  <c r="EL15" i="39"/>
  <c r="EL17" i="39" s="1"/>
  <c r="EH19" i="39"/>
  <c r="DN28" i="39"/>
  <c r="DN27" i="39"/>
  <c r="DN24" i="39"/>
  <c r="DO24" i="39" s="1"/>
  <c r="DR14" i="39"/>
  <c r="DP39" i="39"/>
  <c r="DN31" i="39"/>
  <c r="DO32" i="39" s="1" a="1"/>
  <c r="DO32" i="39" s="1"/>
  <c r="DN25" i="39"/>
  <c r="DN20" i="39"/>
  <c r="DN18" i="39"/>
  <c r="DN16" i="39"/>
  <c r="DN30" i="39"/>
  <c r="DO30" i="39" s="1" a="1"/>
  <c r="DO30" i="39" s="1"/>
  <c r="DN15" i="39"/>
  <c r="DN17" i="39" s="1"/>
  <c r="DN26" i="39"/>
  <c r="DJ19" i="39"/>
  <c r="CP19" i="39"/>
  <c r="CX14" i="39"/>
  <c r="CV39" i="39"/>
  <c r="CT31" i="39"/>
  <c r="CU32" i="39" s="1" a="1"/>
  <c r="CU32" i="39" s="1"/>
  <c r="CT30" i="39"/>
  <c r="CU30" i="39" s="1" a="1"/>
  <c r="CU30" i="39" s="1"/>
  <c r="CT20" i="39"/>
  <c r="CT18" i="39"/>
  <c r="CT16" i="39"/>
  <c r="CT15" i="39"/>
  <c r="CT17" i="39" s="1"/>
  <c r="CT25" i="39"/>
  <c r="CT28" i="39"/>
  <c r="CT26" i="39"/>
  <c r="CT27" i="39"/>
  <c r="CT24" i="39"/>
  <c r="CU24" i="39" s="1"/>
  <c r="BV14" i="39"/>
  <c r="BR30" i="39"/>
  <c r="BS30" i="39" s="1" a="1"/>
  <c r="BS30" i="39" s="1"/>
  <c r="BR28" i="39"/>
  <c r="BR24" i="39"/>
  <c r="BS24" i="39" s="1"/>
  <c r="BT39" i="39"/>
  <c r="BR31" i="39"/>
  <c r="BS32" i="39" s="1" a="1"/>
  <c r="BS32" i="39" s="1"/>
  <c r="BR25" i="39"/>
  <c r="BR20" i="39"/>
  <c r="BR18" i="39"/>
  <c r="BR16" i="39"/>
  <c r="BR27" i="39"/>
  <c r="BR15" i="39"/>
  <c r="BR17" i="39" s="1"/>
  <c r="BR26" i="39"/>
  <c r="BN19" i="39"/>
  <c r="AX14" i="39"/>
  <c r="AV39" i="39"/>
  <c r="AT31" i="39"/>
  <c r="AU32" i="39" s="1" a="1"/>
  <c r="AU32" i="39" s="1"/>
  <c r="AT25" i="39"/>
  <c r="AT20" i="39"/>
  <c r="AT18" i="39"/>
  <c r="AT16" i="39"/>
  <c r="AT30" i="39"/>
  <c r="AU30" i="39" s="1" a="1"/>
  <c r="AU30" i="39" s="1"/>
  <c r="AT28" i="39"/>
  <c r="AT24" i="39"/>
  <c r="AU24" i="39" s="1"/>
  <c r="AT15" i="39"/>
  <c r="AT17" i="39" s="1"/>
  <c r="AT27" i="39"/>
  <c r="AT26" i="39"/>
  <c r="AP19" i="39"/>
  <c r="GP14" i="36" l="1"/>
  <c r="FR14" i="36"/>
  <c r="ET14" i="36"/>
  <c r="DV14" i="36"/>
  <c r="CX14" i="36"/>
  <c r="BZ14" i="36"/>
  <c r="BB14" i="36"/>
  <c r="GR39" i="38"/>
  <c r="GP31" i="38"/>
  <c r="GQ32" i="38" s="1" a="1"/>
  <c r="GQ32" i="38" s="1"/>
  <c r="GP15" i="38"/>
  <c r="GP17" i="38" s="1"/>
  <c r="GP27" i="38"/>
  <c r="GP30" i="38"/>
  <c r="GQ30" i="38" s="1" a="1"/>
  <c r="GQ30" i="38" s="1"/>
  <c r="GP28" i="38"/>
  <c r="GP24" i="38"/>
  <c r="GQ24" i="38" s="1"/>
  <c r="GP20" i="38"/>
  <c r="GP18" i="38"/>
  <c r="GP16" i="38"/>
  <c r="GP26" i="38"/>
  <c r="GP25" i="38"/>
  <c r="GL19" i="38"/>
  <c r="FN24" i="38"/>
  <c r="FO24" i="38" s="1"/>
  <c r="FN18" i="38"/>
  <c r="FP39" i="38"/>
  <c r="FN31" i="38"/>
  <c r="FO32" i="38" s="1" a="1"/>
  <c r="FO32" i="38" s="1"/>
  <c r="FN30" i="38"/>
  <c r="FO30" i="38" s="1" a="1"/>
  <c r="FO30" i="38" s="1"/>
  <c r="FN15" i="38"/>
  <c r="FN17" i="38" s="1"/>
  <c r="FN28" i="38"/>
  <c r="FN27" i="38"/>
  <c r="FR14" i="38"/>
  <c r="FN20" i="38"/>
  <c r="FN16" i="38"/>
  <c r="FN26" i="38"/>
  <c r="FN25" i="38"/>
  <c r="FJ19" i="38"/>
  <c r="ET19" i="38"/>
  <c r="DN19" i="38"/>
  <c r="DT39" i="38"/>
  <c r="DR31" i="38"/>
  <c r="DS32" i="38" s="1" a="1"/>
  <c r="DS32" i="38" s="1"/>
  <c r="DR30" i="38"/>
  <c r="DS30" i="38" s="1" a="1"/>
  <c r="DS30" i="38" s="1"/>
  <c r="DR15" i="38"/>
  <c r="DR17" i="38" s="1"/>
  <c r="DR27" i="38"/>
  <c r="DR24" i="38"/>
  <c r="DS24" i="38" s="1"/>
  <c r="DR18" i="38"/>
  <c r="DR20" i="38"/>
  <c r="DR16" i="38"/>
  <c r="DR28" i="38"/>
  <c r="DV14" i="38"/>
  <c r="DR25" i="38"/>
  <c r="DR26" i="38"/>
  <c r="CV39" i="38"/>
  <c r="CT31" i="38"/>
  <c r="CU32" i="38" s="1" a="1"/>
  <c r="CU32" i="38" s="1"/>
  <c r="CT30" i="38"/>
  <c r="CU30" i="38" s="1" a="1"/>
  <c r="CU30" i="38" s="1"/>
  <c r="CT15" i="38"/>
  <c r="CT17" i="38" s="1"/>
  <c r="CT28" i="38"/>
  <c r="CX14" i="38"/>
  <c r="CT20" i="38"/>
  <c r="CT18" i="38"/>
  <c r="CT16" i="38"/>
  <c r="CT26" i="38"/>
  <c r="CT27" i="38"/>
  <c r="CT24" i="38"/>
  <c r="CU24" i="38" s="1"/>
  <c r="CT25" i="38"/>
  <c r="CP19" i="38"/>
  <c r="BV27" i="38"/>
  <c r="BV24" i="38"/>
  <c r="BW24" i="38" s="1"/>
  <c r="BX39" i="38"/>
  <c r="BV31" i="38"/>
  <c r="BW32" i="38" s="1" a="1"/>
  <c r="BW32" i="38" s="1"/>
  <c r="BV30" i="38"/>
  <c r="BW30" i="38" s="1" a="1"/>
  <c r="BW30" i="38" s="1"/>
  <c r="BV15" i="38"/>
  <c r="BV17" i="38" s="1"/>
  <c r="BV28" i="38"/>
  <c r="BZ14" i="38"/>
  <c r="BV20" i="38"/>
  <c r="BV18" i="38"/>
  <c r="BV16" i="38"/>
  <c r="BV26" i="38"/>
  <c r="BV25" i="38"/>
  <c r="BR19" i="38"/>
  <c r="AZ39" i="38"/>
  <c r="AX31" i="38"/>
  <c r="AY32" i="38" s="1" a="1"/>
  <c r="AY32" i="38" s="1"/>
  <c r="AX30" i="38"/>
  <c r="AY30" i="38" s="1" a="1"/>
  <c r="AY30" i="38" s="1"/>
  <c r="AX15" i="38"/>
  <c r="AX17" i="38" s="1"/>
  <c r="AX28" i="38"/>
  <c r="AX18" i="38"/>
  <c r="BB14" i="38"/>
  <c r="AX20" i="38"/>
  <c r="AX16" i="38"/>
  <c r="AX27" i="38"/>
  <c r="AX26" i="38"/>
  <c r="AX24" i="38"/>
  <c r="AY24" i="38" s="1"/>
  <c r="AX25" i="38"/>
  <c r="AT19" i="38"/>
  <c r="GH19" i="39"/>
  <c r="GP14" i="39"/>
  <c r="GN39" i="39"/>
  <c r="GL31" i="39"/>
  <c r="GM32" i="39" s="1" a="1"/>
  <c r="GM32" i="39" s="1"/>
  <c r="GL30" i="39"/>
  <c r="GM30" i="39" s="1" a="1"/>
  <c r="GM30" i="39" s="1"/>
  <c r="GL20" i="39"/>
  <c r="GL18" i="39"/>
  <c r="GL16" i="39"/>
  <c r="GL28" i="39"/>
  <c r="GL27" i="39"/>
  <c r="GL24" i="39"/>
  <c r="GM24" i="39" s="1"/>
  <c r="GL15" i="39"/>
  <c r="GL17" i="39" s="1"/>
  <c r="GL26" i="39"/>
  <c r="GL25" i="39"/>
  <c r="FJ19" i="39"/>
  <c r="FR14" i="39"/>
  <c r="FP39" i="39"/>
  <c r="FN31" i="39"/>
  <c r="FO32" i="39" s="1" a="1"/>
  <c r="FO32" i="39" s="1"/>
  <c r="FN30" i="39"/>
  <c r="FO30" i="39" s="1" a="1"/>
  <c r="FO30" i="39" s="1"/>
  <c r="FN20" i="39"/>
  <c r="FN18" i="39"/>
  <c r="FN16" i="39"/>
  <c r="FN24" i="39"/>
  <c r="FO24" i="39" s="1"/>
  <c r="FN15" i="39"/>
  <c r="FN17" i="39" s="1"/>
  <c r="FN25" i="39"/>
  <c r="FN27" i="39"/>
  <c r="FN28" i="39"/>
  <c r="FN26" i="39"/>
  <c r="EL19" i="39"/>
  <c r="ET14" i="39"/>
  <c r="EP18" i="39"/>
  <c r="EP27" i="39"/>
  <c r="ER39" i="39"/>
  <c r="EP31" i="39"/>
  <c r="EQ32" i="39" s="1" a="1"/>
  <c r="EQ32" i="39" s="1"/>
  <c r="EP30" i="39"/>
  <c r="EQ30" i="39" s="1" a="1"/>
  <c r="EQ30" i="39" s="1"/>
  <c r="EP20" i="39"/>
  <c r="EP16" i="39"/>
  <c r="EP24" i="39"/>
  <c r="EQ24" i="39" s="1"/>
  <c r="EP28" i="39"/>
  <c r="EP15" i="39"/>
  <c r="EP17" i="39" s="1"/>
  <c r="EP26" i="39"/>
  <c r="EP25" i="39"/>
  <c r="DN19" i="39"/>
  <c r="DV14" i="39"/>
  <c r="DR25" i="39"/>
  <c r="DT39" i="39"/>
  <c r="DR31" i="39"/>
  <c r="DS32" i="39" s="1" a="1"/>
  <c r="DS32" i="39" s="1"/>
  <c r="DR30" i="39"/>
  <c r="DS30" i="39" s="1" a="1"/>
  <c r="DS30" i="39" s="1"/>
  <c r="DR20" i="39"/>
  <c r="DR18" i="39"/>
  <c r="DR16" i="39"/>
  <c r="DR24" i="39"/>
  <c r="DS24" i="39" s="1"/>
  <c r="DR15" i="39"/>
  <c r="DR17" i="39" s="1"/>
  <c r="DR28" i="39"/>
  <c r="DR27" i="39"/>
  <c r="DR26" i="39"/>
  <c r="CZ39" i="39"/>
  <c r="CX31" i="39"/>
  <c r="CY32" i="39" s="1" a="1"/>
  <c r="CY32" i="39" s="1"/>
  <c r="CX20" i="39"/>
  <c r="CX18" i="39"/>
  <c r="CX16" i="39"/>
  <c r="CX28" i="39"/>
  <c r="CX26" i="39"/>
  <c r="CX25" i="39"/>
  <c r="CX27" i="39"/>
  <c r="CX24" i="39"/>
  <c r="CY24" i="39" s="1"/>
  <c r="CX30" i="39"/>
  <c r="CY30" i="39" s="1" a="1"/>
  <c r="CY30" i="39" s="1"/>
  <c r="CX15" i="39"/>
  <c r="CX17" i="39" s="1"/>
  <c r="CT19" i="39"/>
  <c r="BR19" i="39"/>
  <c r="BX39" i="39"/>
  <c r="BV31" i="39"/>
  <c r="BW32" i="39" s="1" a="1"/>
  <c r="BW32" i="39" s="1"/>
  <c r="BV30" i="39"/>
  <c r="BW30" i="39" s="1" a="1"/>
  <c r="BW30" i="39" s="1"/>
  <c r="BV20" i="39"/>
  <c r="BV18" i="39"/>
  <c r="BV16" i="39"/>
  <c r="BV28" i="39"/>
  <c r="BV24" i="39"/>
  <c r="BW24" i="39" s="1"/>
  <c r="BV27" i="39"/>
  <c r="BV15" i="39"/>
  <c r="BV17" i="39" s="1"/>
  <c r="BV26" i="39"/>
  <c r="BZ14" i="39"/>
  <c r="BV25" i="39"/>
  <c r="AT19" i="39"/>
  <c r="BB14" i="39"/>
  <c r="AZ39" i="39"/>
  <c r="AX31" i="39"/>
  <c r="AY32" i="39" s="1" a="1"/>
  <c r="AY32" i="39" s="1"/>
  <c r="AX30" i="39"/>
  <c r="AY30" i="39" s="1" a="1"/>
  <c r="AY30" i="39" s="1"/>
  <c r="AX20" i="39"/>
  <c r="AX18" i="39"/>
  <c r="AX16" i="39"/>
  <c r="AX27" i="39"/>
  <c r="AX24" i="39"/>
  <c r="AY24" i="39" s="1"/>
  <c r="AX28" i="39"/>
  <c r="AX15" i="39"/>
  <c r="AX17" i="39" s="1"/>
  <c r="AX26" i="39"/>
  <c r="AX25" i="39"/>
  <c r="D15" i="41"/>
  <c r="D16" i="41" s="1"/>
  <c r="GP19" i="38" l="1"/>
  <c r="FN19" i="38"/>
  <c r="FT39" i="38"/>
  <c r="FR31" i="38"/>
  <c r="FS32" i="38" s="1" a="1"/>
  <c r="FS32" i="38" s="1"/>
  <c r="FR15" i="38"/>
  <c r="FR17" i="38" s="1"/>
  <c r="FR18" i="38"/>
  <c r="FR25" i="38"/>
  <c r="FR28" i="38"/>
  <c r="FR20" i="38"/>
  <c r="FR27" i="38"/>
  <c r="FR24" i="38"/>
  <c r="FS24" i="38" s="1"/>
  <c r="FR16" i="38"/>
  <c r="FR26" i="38"/>
  <c r="FR30" i="38"/>
  <c r="FS30" i="38" s="1" a="1"/>
  <c r="FS30" i="38" s="1"/>
  <c r="DR19" i="38"/>
  <c r="DX39" i="38"/>
  <c r="DV31" i="38"/>
  <c r="DW32" i="38" s="1" a="1"/>
  <c r="DW32" i="38" s="1"/>
  <c r="DV15" i="38"/>
  <c r="DV17" i="38" s="1"/>
  <c r="DV28" i="38"/>
  <c r="DV18" i="38"/>
  <c r="DV25" i="38"/>
  <c r="DV27" i="38"/>
  <c r="DV24" i="38"/>
  <c r="DW24" i="38" s="1"/>
  <c r="DV20" i="38"/>
  <c r="DV16" i="38"/>
  <c r="DV26" i="38"/>
  <c r="DV30" i="38"/>
  <c r="DW30" i="38" s="1" a="1"/>
  <c r="DW30" i="38" s="1"/>
  <c r="CT19" i="38"/>
  <c r="CZ39" i="38"/>
  <c r="CX31" i="38"/>
  <c r="CY32" i="38" s="1" a="1"/>
  <c r="CY32" i="38" s="1"/>
  <c r="CX15" i="38"/>
  <c r="CX17" i="38" s="1"/>
  <c r="CX27" i="38"/>
  <c r="CX24" i="38"/>
  <c r="CY24" i="38" s="1"/>
  <c r="CX28" i="38"/>
  <c r="CX20" i="38"/>
  <c r="CX18" i="38"/>
  <c r="CX16" i="38"/>
  <c r="CX26" i="38"/>
  <c r="CX25" i="38"/>
  <c r="CX30" i="38"/>
  <c r="CY30" i="38" s="1" a="1"/>
  <c r="CY30" i="38" s="1"/>
  <c r="CB39" i="38"/>
  <c r="BZ31" i="38"/>
  <c r="CA32" i="38" s="1" a="1"/>
  <c r="CA32" i="38" s="1"/>
  <c r="BZ15" i="38"/>
  <c r="BZ17" i="38" s="1"/>
  <c r="BZ24" i="38"/>
  <c r="CA24" i="38" s="1"/>
  <c r="BZ28" i="38"/>
  <c r="BZ27" i="38"/>
  <c r="BZ20" i="38"/>
  <c r="BZ18" i="38"/>
  <c r="BZ16" i="38"/>
  <c r="BZ26" i="38"/>
  <c r="BZ25" i="38"/>
  <c r="BZ30" i="38"/>
  <c r="CA30" i="38" s="1" a="1"/>
  <c r="CA30" i="38" s="1"/>
  <c r="BV19" i="38"/>
  <c r="AX19" i="38"/>
  <c r="BB28" i="38"/>
  <c r="BB27" i="38"/>
  <c r="BB24" i="38"/>
  <c r="BC24" i="38" s="1"/>
  <c r="BB30" i="38"/>
  <c r="BC30" i="38" s="1" a="1"/>
  <c r="BC30" i="38" s="1"/>
  <c r="BD39" i="38"/>
  <c r="BB15" i="38"/>
  <c r="BB17" i="38" s="1"/>
  <c r="BB20" i="38"/>
  <c r="BB31" i="38"/>
  <c r="BC32" i="38" s="1" a="1"/>
  <c r="BC32" i="38" s="1"/>
  <c r="BB25" i="38"/>
  <c r="BB16" i="38"/>
  <c r="BB26" i="38"/>
  <c r="BB18" i="38"/>
  <c r="GL19" i="39"/>
  <c r="GR39" i="39"/>
  <c r="GP31" i="39"/>
  <c r="GQ32" i="39" s="1" a="1"/>
  <c r="GQ32" i="39" s="1"/>
  <c r="GP20" i="39"/>
  <c r="GP18" i="39"/>
  <c r="GP16" i="39"/>
  <c r="GP25" i="39"/>
  <c r="GP28" i="39"/>
  <c r="GP27" i="39"/>
  <c r="GP24" i="39"/>
  <c r="GQ24" i="39" s="1"/>
  <c r="GP15" i="39"/>
  <c r="GP17" i="39" s="1"/>
  <c r="GP26" i="39"/>
  <c r="GP30" i="39"/>
  <c r="GQ30" i="39" s="1" a="1"/>
  <c r="GQ30" i="39" s="1"/>
  <c r="FN19" i="39"/>
  <c r="FT39" i="39"/>
  <c r="FR31" i="39"/>
  <c r="FS32" i="39" s="1" a="1"/>
  <c r="FS32" i="39" s="1"/>
  <c r="FR20" i="39"/>
  <c r="FR18" i="39"/>
  <c r="FR16" i="39"/>
  <c r="FR15" i="39"/>
  <c r="FR17" i="39" s="1"/>
  <c r="FR25" i="39"/>
  <c r="FR28" i="39"/>
  <c r="FR27" i="39"/>
  <c r="FR24" i="39"/>
  <c r="FS24" i="39" s="1"/>
  <c r="FR26" i="39"/>
  <c r="FR30" i="39"/>
  <c r="FS30" i="39" s="1" a="1"/>
  <c r="FS30" i="39" s="1"/>
  <c r="EP19" i="39"/>
  <c r="EV39" i="39"/>
  <c r="ET31" i="39"/>
  <c r="EU32" i="39" s="1" a="1"/>
  <c r="EU32" i="39" s="1"/>
  <c r="ET20" i="39"/>
  <c r="ET18" i="39"/>
  <c r="ET16" i="39"/>
  <c r="ET28" i="39"/>
  <c r="ET15" i="39"/>
  <c r="ET17" i="39" s="1"/>
  <c r="ET27" i="39"/>
  <c r="ET24" i="39"/>
  <c r="EU24" i="39" s="1"/>
  <c r="ET26" i="39"/>
  <c r="ET25" i="39"/>
  <c r="ET30" i="39"/>
  <c r="EU30" i="39" s="1" a="1"/>
  <c r="EU30" i="39" s="1"/>
  <c r="DR19" i="39"/>
  <c r="DX39" i="39"/>
  <c r="DV31" i="39"/>
  <c r="DW32" i="39" s="1" a="1"/>
  <c r="DW32" i="39" s="1"/>
  <c r="DV20" i="39"/>
  <c r="DV18" i="39"/>
  <c r="DV16" i="39"/>
  <c r="DV30" i="39"/>
  <c r="DW30" i="39" s="1" a="1"/>
  <c r="DW30" i="39" s="1"/>
  <c r="DV28" i="39"/>
  <c r="DV15" i="39"/>
  <c r="DV17" i="39" s="1"/>
  <c r="DV27" i="39"/>
  <c r="DV24" i="39"/>
  <c r="DW24" i="39" s="1"/>
  <c r="DV26" i="39"/>
  <c r="DV25" i="39"/>
  <c r="CX19" i="39"/>
  <c r="BZ28" i="39"/>
  <c r="BZ25" i="39"/>
  <c r="BZ27" i="39"/>
  <c r="BZ24" i="39"/>
  <c r="CA24" i="39" s="1"/>
  <c r="BZ15" i="39"/>
  <c r="BZ17" i="39" s="1"/>
  <c r="BZ26" i="39"/>
  <c r="BZ18" i="39"/>
  <c r="BZ20" i="39"/>
  <c r="CB39" i="39"/>
  <c r="BZ31" i="39"/>
  <c r="CA32" i="39" s="1" a="1"/>
  <c r="CA32" i="39" s="1"/>
  <c r="BZ30" i="39"/>
  <c r="CA30" i="39" s="1" a="1"/>
  <c r="CA30" i="39" s="1"/>
  <c r="BZ16" i="39"/>
  <c r="BV19" i="39"/>
  <c r="AX19" i="39"/>
  <c r="BD39" i="39"/>
  <c r="BB31" i="39"/>
  <c r="BC32" i="39" s="1" a="1"/>
  <c r="BC32" i="39" s="1"/>
  <c r="BB20" i="39"/>
  <c r="BB18" i="39"/>
  <c r="BB16" i="39"/>
  <c r="BB28" i="39"/>
  <c r="BB27" i="39"/>
  <c r="BB24" i="39"/>
  <c r="BC24" i="39" s="1"/>
  <c r="BB15" i="39"/>
  <c r="BB17" i="39" s="1"/>
  <c r="BB26" i="39"/>
  <c r="BB25" i="39"/>
  <c r="BB30" i="39"/>
  <c r="BC30" i="39" s="1" a="1"/>
  <c r="BC30" i="39" s="1"/>
  <c r="FR19" i="38" l="1"/>
  <c r="DV19" i="38"/>
  <c r="CX19" i="38"/>
  <c r="BZ19" i="38"/>
  <c r="BB19" i="38"/>
  <c r="GP19" i="39"/>
  <c r="FR19" i="39"/>
  <c r="ET19" i="39"/>
  <c r="DV19" i="39"/>
  <c r="BZ19" i="39"/>
  <c r="BB19" i="39"/>
  <c r="O66" i="34" l="1"/>
  <c r="GT22" i="39" s="1"/>
  <c r="GU22" i="39" s="1"/>
  <c r="D18" i="33"/>
  <c r="D19" i="33"/>
  <c r="D20" i="33"/>
  <c r="D21" i="33"/>
  <c r="D22" i="33"/>
  <c r="D23" i="33"/>
  <c r="D24" i="33"/>
  <c r="D25" i="33"/>
  <c r="D26" i="33"/>
  <c r="D27" i="33"/>
  <c r="D28" i="33"/>
  <c r="D29" i="33"/>
  <c r="D30" i="33"/>
  <c r="D31" i="33"/>
  <c r="D32" i="33"/>
  <c r="D33" i="33"/>
  <c r="D34" i="33"/>
  <c r="D35" i="33"/>
  <c r="D36" i="33"/>
  <c r="D37" i="33"/>
  <c r="D38" i="33"/>
  <c r="D39" i="33"/>
  <c r="D40" i="33"/>
  <c r="D41" i="33"/>
  <c r="D42" i="33"/>
  <c r="D43" i="33"/>
  <c r="D44" i="33"/>
  <c r="D45" i="33"/>
  <c r="D46" i="33"/>
  <c r="D47" i="33"/>
  <c r="D48" i="33"/>
  <c r="D49" i="33"/>
  <c r="D50" i="33"/>
  <c r="D51" i="33"/>
  <c r="D52" i="33"/>
  <c r="D53" i="33"/>
  <c r="D54" i="33"/>
  <c r="D55" i="33"/>
  <c r="D56" i="33"/>
  <c r="D57" i="33"/>
  <c r="D58" i="33"/>
  <c r="D59" i="33"/>
  <c r="D60" i="33"/>
  <c r="D61" i="33"/>
  <c r="D62" i="33"/>
  <c r="D63" i="33"/>
  <c r="D64" i="33"/>
  <c r="D65" i="33"/>
  <c r="D66" i="33"/>
  <c r="AB16" i="34" l="1"/>
  <c r="Z18" i="34" a="1"/>
  <c r="Z18" i="34" s="1"/>
  <c r="Z19" i="34" a="1"/>
  <c r="Z19" i="34" s="1"/>
  <c r="Z20" i="34" a="1"/>
  <c r="Z20" i="34" s="1"/>
  <c r="Z21" i="34" a="1"/>
  <c r="Z21" i="34"/>
  <c r="Z22" i="34" a="1"/>
  <c r="Z22" i="34" s="1"/>
  <c r="Z23" i="34" a="1"/>
  <c r="Z23" i="34"/>
  <c r="Z24" i="34" a="1"/>
  <c r="Z24" i="34" s="1"/>
  <c r="Z25" i="34" a="1"/>
  <c r="Z25" i="34"/>
  <c r="Z26" i="34" a="1"/>
  <c r="Z26" i="34"/>
  <c r="Z27" i="34" a="1"/>
  <c r="Z27" i="34"/>
  <c r="Z28" i="34" a="1"/>
  <c r="Z28" i="34"/>
  <c r="Z29" i="34" a="1"/>
  <c r="Z29" i="34"/>
  <c r="Z30" i="34" a="1"/>
  <c r="Z30" i="34" s="1"/>
  <c r="Z31" i="34" a="1"/>
  <c r="Z31" i="34" s="1"/>
  <c r="Z32" i="34" a="1"/>
  <c r="Z32" i="34" s="1"/>
  <c r="Z33" i="34" a="1"/>
  <c r="Z33" i="34" s="1"/>
  <c r="Z34" i="34" a="1"/>
  <c r="Z34" i="34"/>
  <c r="Z35" i="34" a="1"/>
  <c r="Z35" i="34" s="1"/>
  <c r="Z36" i="34" a="1"/>
  <c r="Z36" i="34" s="1"/>
  <c r="Z37" i="34" a="1"/>
  <c r="Z37" i="34"/>
  <c r="Z38" i="34" a="1"/>
  <c r="Z38" i="34"/>
  <c r="Z39" i="34" a="1"/>
  <c r="Z39" i="34" s="1"/>
  <c r="Z40" i="34" a="1"/>
  <c r="Z40" i="34"/>
  <c r="Z41" i="34" a="1"/>
  <c r="Z41" i="34"/>
  <c r="Z42" i="34" a="1"/>
  <c r="Z42" i="34" s="1"/>
  <c r="Z43" i="34" a="1"/>
  <c r="Z43" i="34"/>
  <c r="Z44" i="34" a="1"/>
  <c r="Z44" i="34" s="1"/>
  <c r="Z45" i="34" a="1"/>
  <c r="Z45" i="34"/>
  <c r="Z46" i="34" a="1"/>
  <c r="Z46" i="34" s="1"/>
  <c r="Z47" i="34" a="1"/>
  <c r="Z47" i="34" s="1"/>
  <c r="Z48" i="34" a="1"/>
  <c r="Z48" i="34" s="1"/>
  <c r="Z49" i="34" a="1"/>
  <c r="Z49" i="34" s="1"/>
  <c r="Z50" i="34" a="1"/>
  <c r="Z50" i="34"/>
  <c r="Z51" i="34" a="1"/>
  <c r="Z51" i="34"/>
  <c r="Z52" i="34" a="1"/>
  <c r="Z52" i="34" s="1"/>
  <c r="Z53" i="34" a="1"/>
  <c r="Z53" i="34"/>
  <c r="Z54" i="34" a="1"/>
  <c r="Z54" i="34" s="1"/>
  <c r="Z55" i="34" a="1"/>
  <c r="Z55" i="34" s="1"/>
  <c r="Z56" i="34" a="1"/>
  <c r="Z56" i="34" s="1"/>
  <c r="Z57" i="34" a="1"/>
  <c r="Z57" i="34" s="1"/>
  <c r="Z58" i="34" a="1"/>
  <c r="Z58" i="34"/>
  <c r="Z59" i="34" a="1"/>
  <c r="Z59" i="34"/>
  <c r="Z60" i="34" a="1"/>
  <c r="Z60" i="34" s="1"/>
  <c r="Z61" i="34" a="1"/>
  <c r="Z61" i="34"/>
  <c r="Z62" i="34" a="1"/>
  <c r="Z62" i="34"/>
  <c r="Z63" i="34" a="1"/>
  <c r="Z63" i="34" s="1"/>
  <c r="Z64" i="34" a="1"/>
  <c r="Z64" i="34"/>
  <c r="Z65" i="34" a="1"/>
  <c r="Z65" i="34"/>
  <c r="Z66" i="34" a="1"/>
  <c r="Z66" i="34" s="1"/>
  <c r="Z17" i="34" a="1"/>
  <c r="Z17" i="34" s="1"/>
  <c r="Z18" i="33" a="1"/>
  <c r="Z18" i="33" s="1"/>
  <c r="Z19" i="33" a="1"/>
  <c r="Z19" i="33" s="1"/>
  <c r="Z20" i="33" a="1"/>
  <c r="Z20" i="33" s="1"/>
  <c r="Z21" i="33" a="1"/>
  <c r="Z21" i="33" s="1"/>
  <c r="Z22" i="33" a="1"/>
  <c r="Z22" i="33"/>
  <c r="Z23" i="33" a="1"/>
  <c r="Z23" i="33" s="1"/>
  <c r="Z24" i="33" a="1"/>
  <c r="Z24" i="33" s="1"/>
  <c r="Z25" i="33" a="1"/>
  <c r="Z25" i="33" s="1"/>
  <c r="Z26" i="33" a="1"/>
  <c r="Z26" i="33" s="1"/>
  <c r="Z27" i="33" a="1"/>
  <c r="Z27" i="33" s="1"/>
  <c r="Z28" i="33" a="1"/>
  <c r="Z28" i="33" s="1"/>
  <c r="Z29" i="33" a="1"/>
  <c r="Z29" i="33" s="1"/>
  <c r="Z30" i="33" a="1"/>
  <c r="Z30" i="33" s="1"/>
  <c r="Z31" i="33" a="1"/>
  <c r="Z31" i="33"/>
  <c r="Z32" i="33" a="1"/>
  <c r="Z32" i="33"/>
  <c r="Z33" i="33" a="1"/>
  <c r="Z33" i="33" s="1"/>
  <c r="Z34" i="33" a="1"/>
  <c r="Z34" i="33" s="1"/>
  <c r="Z35" i="33" a="1"/>
  <c r="Z35" i="33" s="1"/>
  <c r="Z36" i="33" a="1"/>
  <c r="Z36" i="33" s="1"/>
  <c r="Z37" i="33" a="1"/>
  <c r="Z37" i="33" s="1"/>
  <c r="Z38" i="33" a="1"/>
  <c r="Z38" i="33" s="1"/>
  <c r="Z39" i="33" a="1"/>
  <c r="Z39" i="33" s="1"/>
  <c r="Z40" i="33" a="1"/>
  <c r="Z40" i="33"/>
  <c r="Z41" i="33" a="1"/>
  <c r="Z41" i="33"/>
  <c r="Z42" i="33" a="1"/>
  <c r="Z42" i="33" s="1"/>
  <c r="Z43" i="33" a="1"/>
  <c r="Z43" i="33"/>
  <c r="Z44" i="33" a="1"/>
  <c r="Z44" i="33" s="1"/>
  <c r="Z45" i="33" a="1"/>
  <c r="Z45" i="33" s="1"/>
  <c r="Z46" i="33" a="1"/>
  <c r="Z46" i="33" s="1"/>
  <c r="Z47" i="33" a="1"/>
  <c r="Z47" i="33" s="1"/>
  <c r="Z48" i="33" a="1"/>
  <c r="Z48" i="33" s="1"/>
  <c r="Z49" i="33" a="1"/>
  <c r="Z49" i="33" s="1"/>
  <c r="Z50" i="33" a="1"/>
  <c r="Z50" i="33" s="1"/>
  <c r="Z51" i="33" a="1"/>
  <c r="Z51" i="33" s="1"/>
  <c r="Z52" i="33" a="1"/>
  <c r="Z52" i="33" s="1"/>
  <c r="Z53" i="33" a="1"/>
  <c r="Z53" i="33"/>
  <c r="Z54" i="33" a="1"/>
  <c r="Z54" i="33" s="1"/>
  <c r="Z55" i="33" a="1"/>
  <c r="Z55" i="33" s="1"/>
  <c r="Z56" i="33" a="1"/>
  <c r="Z56" i="33" s="1"/>
  <c r="Z57" i="33" a="1"/>
  <c r="Z57" i="33" s="1"/>
  <c r="Z58" i="33" a="1"/>
  <c r="Z58" i="33"/>
  <c r="Z59" i="33" a="1"/>
  <c r="Z59" i="33"/>
  <c r="Z60" i="33" a="1"/>
  <c r="Z60" i="33" s="1"/>
  <c r="Z61" i="33" a="1"/>
  <c r="Z61" i="33" s="1"/>
  <c r="Z62" i="33" a="1"/>
  <c r="Z62" i="33" s="1"/>
  <c r="Z63" i="33" a="1"/>
  <c r="Z63" i="33" s="1"/>
  <c r="Z64" i="33" a="1"/>
  <c r="Z64" i="33" s="1"/>
  <c r="Z65" i="33" a="1"/>
  <c r="Z65" i="33"/>
  <c r="Z66" i="33" a="1"/>
  <c r="Z66" i="33" s="1"/>
  <c r="Z17" i="33" a="1"/>
  <c r="Z17" i="33" s="1"/>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64" i="34"/>
  <c r="D65" i="34"/>
  <c r="D66" i="34"/>
  <c r="D17" i="34"/>
  <c r="L21" i="34"/>
  <c r="L23" i="34"/>
  <c r="L24" i="34"/>
  <c r="L25" i="34"/>
  <c r="L26" i="34"/>
  <c r="L27" i="34"/>
  <c r="L28" i="34"/>
  <c r="H30" i="34"/>
  <c r="H31" i="34"/>
  <c r="H32" i="34"/>
  <c r="H33" i="34"/>
  <c r="L33" i="34" s="1"/>
  <c r="H34" i="34"/>
  <c r="H35" i="34"/>
  <c r="L35" i="34" s="1"/>
  <c r="H36" i="34"/>
  <c r="L36" i="34" s="1"/>
  <c r="O18" i="34"/>
  <c r="J22" i="39" s="1"/>
  <c r="O19" i="34"/>
  <c r="N22" i="39" s="1"/>
  <c r="O22" i="39" s="1"/>
  <c r="O20" i="34"/>
  <c r="R22" i="39" s="1"/>
  <c r="S22" i="39" s="1"/>
  <c r="O21" i="34"/>
  <c r="V22" i="39" s="1"/>
  <c r="W22" i="39" s="1"/>
  <c r="O22" i="34"/>
  <c r="Z22" i="39" s="1"/>
  <c r="AA22" i="39" s="1"/>
  <c r="O23" i="34"/>
  <c r="AD22" i="39" s="1"/>
  <c r="AE22" i="39" s="1"/>
  <c r="O24" i="34"/>
  <c r="AH22" i="39" s="1"/>
  <c r="AI22" i="39" s="1"/>
  <c r="O25" i="34"/>
  <c r="AL22" i="39" s="1"/>
  <c r="AM22" i="39" s="1"/>
  <c r="O26" i="34"/>
  <c r="AP22" i="39" s="1"/>
  <c r="AQ22" i="39" s="1"/>
  <c r="O27" i="34"/>
  <c r="AT22" i="39" s="1"/>
  <c r="AU22" i="39" s="1"/>
  <c r="O28" i="34"/>
  <c r="AX22" i="39" s="1"/>
  <c r="AY22" i="39" s="1"/>
  <c r="O29" i="34"/>
  <c r="BB22" i="39" s="1"/>
  <c r="BC22" i="39" s="1"/>
  <c r="O30" i="34"/>
  <c r="BF22" i="39" s="1"/>
  <c r="BG22" i="39" s="1"/>
  <c r="O31" i="34"/>
  <c r="BJ22" i="39" s="1"/>
  <c r="BK22" i="39" s="1"/>
  <c r="O32" i="34"/>
  <c r="BN22" i="39" s="1"/>
  <c r="BO22" i="39" s="1"/>
  <c r="O33" i="34"/>
  <c r="BR22" i="39" s="1"/>
  <c r="BS22" i="39" s="1"/>
  <c r="O34" i="34"/>
  <c r="BV22" i="39" s="1"/>
  <c r="BW22" i="39" s="1"/>
  <c r="O35" i="34"/>
  <c r="BZ22" i="39" s="1"/>
  <c r="CA22" i="39" s="1"/>
  <c r="O36" i="34"/>
  <c r="CD22" i="39" s="1"/>
  <c r="CE22" i="39" s="1"/>
  <c r="P18" i="34"/>
  <c r="P19" i="34"/>
  <c r="P20" i="34"/>
  <c r="P21" i="34"/>
  <c r="P22" i="34"/>
  <c r="P23" i="34"/>
  <c r="P24" i="34"/>
  <c r="P25" i="34"/>
  <c r="P26" i="34"/>
  <c r="P27" i="34"/>
  <c r="P28" i="34"/>
  <c r="P29" i="34"/>
  <c r="P30" i="34"/>
  <c r="P31" i="34"/>
  <c r="P32" i="34"/>
  <c r="P33" i="34"/>
  <c r="P34" i="34"/>
  <c r="P35" i="34"/>
  <c r="P36" i="34"/>
  <c r="H37" i="34"/>
  <c r="L37" i="34" s="1"/>
  <c r="H38" i="34"/>
  <c r="H39" i="34"/>
  <c r="H40" i="34"/>
  <c r="L40" i="34" s="1"/>
  <c r="H41" i="34"/>
  <c r="L41" i="34" s="1"/>
  <c r="H42" i="34"/>
  <c r="L42" i="34" s="1"/>
  <c r="H43" i="34"/>
  <c r="L43" i="34" s="1"/>
  <c r="H44" i="34"/>
  <c r="L44" i="34" s="1"/>
  <c r="H45" i="34"/>
  <c r="L45" i="34" s="1"/>
  <c r="H46" i="34"/>
  <c r="L46" i="34" s="1"/>
  <c r="H47" i="34"/>
  <c r="L47" i="34" s="1"/>
  <c r="H48" i="34"/>
  <c r="H49" i="34"/>
  <c r="L49" i="34" s="1"/>
  <c r="H50" i="34"/>
  <c r="H51" i="34"/>
  <c r="H52" i="34"/>
  <c r="L52" i="34" s="1"/>
  <c r="H53" i="34"/>
  <c r="L53" i="34" s="1"/>
  <c r="H54" i="34"/>
  <c r="L54" i="34" s="1"/>
  <c r="H55" i="34"/>
  <c r="L55" i="34" s="1"/>
  <c r="O37" i="34"/>
  <c r="CH22" i="39" s="1"/>
  <c r="CI22" i="39" s="1"/>
  <c r="O38" i="34"/>
  <c r="CL22" i="39" s="1"/>
  <c r="CM22" i="39" s="1"/>
  <c r="O39" i="34"/>
  <c r="CP22" i="39" s="1"/>
  <c r="CQ22" i="39" s="1"/>
  <c r="O40" i="34"/>
  <c r="CT22" i="39" s="1"/>
  <c r="CU22" i="39" s="1"/>
  <c r="O41" i="34"/>
  <c r="CX22" i="39" s="1"/>
  <c r="CY22" i="39" s="1"/>
  <c r="O42" i="34"/>
  <c r="DB22" i="39" s="1"/>
  <c r="DC22" i="39" s="1"/>
  <c r="O43" i="34"/>
  <c r="DF22" i="39" s="1"/>
  <c r="DG22" i="39" s="1"/>
  <c r="O44" i="34"/>
  <c r="DJ22" i="39" s="1"/>
  <c r="DK22" i="39" s="1"/>
  <c r="O45" i="34"/>
  <c r="DN22" i="39" s="1"/>
  <c r="DO22" i="39" s="1"/>
  <c r="O46" i="34"/>
  <c r="DR22" i="39" s="1"/>
  <c r="DS22" i="39" s="1"/>
  <c r="O47" i="34"/>
  <c r="DV22" i="39" s="1"/>
  <c r="DW22" i="39" s="1"/>
  <c r="O48" i="34"/>
  <c r="DZ22" i="39" s="1"/>
  <c r="EA22" i="39" s="1"/>
  <c r="O49" i="34"/>
  <c r="ED22" i="39" s="1"/>
  <c r="EE22" i="39" s="1"/>
  <c r="O50" i="34"/>
  <c r="EH22" i="39" s="1"/>
  <c r="EI22" i="39" s="1"/>
  <c r="O51" i="34"/>
  <c r="EL22" i="39" s="1"/>
  <c r="EM22" i="39" s="1"/>
  <c r="O52" i="34"/>
  <c r="EP22" i="39" s="1"/>
  <c r="EQ22" i="39" s="1"/>
  <c r="O53" i="34"/>
  <c r="ET22" i="39" s="1"/>
  <c r="EU22" i="39" s="1"/>
  <c r="O54" i="34"/>
  <c r="EX22" i="39" s="1"/>
  <c r="EY22" i="39" s="1"/>
  <c r="O55" i="34"/>
  <c r="FB22" i="39" s="1"/>
  <c r="FC22" i="39" s="1"/>
  <c r="P37" i="34"/>
  <c r="P38" i="34"/>
  <c r="P39" i="34"/>
  <c r="P40" i="34"/>
  <c r="P41" i="34"/>
  <c r="P42" i="34"/>
  <c r="P43" i="34"/>
  <c r="P44" i="34"/>
  <c r="P45" i="34"/>
  <c r="P46" i="34"/>
  <c r="P47" i="34"/>
  <c r="P48" i="34"/>
  <c r="P49" i="34"/>
  <c r="P50" i="34"/>
  <c r="P51" i="34"/>
  <c r="P52" i="34"/>
  <c r="P53" i="34"/>
  <c r="P54" i="34"/>
  <c r="P55" i="34"/>
  <c r="AB16" i="33"/>
  <c r="H26" i="33"/>
  <c r="L26" i="33" s="1"/>
  <c r="H27" i="33"/>
  <c r="L27" i="33" s="1"/>
  <c r="H28" i="33"/>
  <c r="L28" i="33" s="1"/>
  <c r="H29" i="33"/>
  <c r="L29" i="33" s="1"/>
  <c r="H30" i="33"/>
  <c r="L30" i="33" s="1"/>
  <c r="H31" i="33"/>
  <c r="L31" i="33" s="1"/>
  <c r="H32" i="33"/>
  <c r="L32" i="33" s="1"/>
  <c r="H33" i="33"/>
  <c r="H34" i="33"/>
  <c r="H35" i="33"/>
  <c r="H36" i="33"/>
  <c r="O26" i="33"/>
  <c r="AP22" i="38" s="1"/>
  <c r="AQ22" i="38" s="1"/>
  <c r="O27" i="33"/>
  <c r="AT22" i="38" s="1"/>
  <c r="AU22" i="38" s="1"/>
  <c r="O28" i="33"/>
  <c r="AX22" i="38" s="1"/>
  <c r="AY22" i="38" s="1"/>
  <c r="O29" i="33"/>
  <c r="BB22" i="38" s="1"/>
  <c r="BC22" i="38" s="1"/>
  <c r="O30" i="33"/>
  <c r="BF22" i="38" s="1"/>
  <c r="BG22" i="38" s="1"/>
  <c r="O31" i="33"/>
  <c r="BJ22" i="38" s="1"/>
  <c r="BK22" i="38" s="1"/>
  <c r="O32" i="33"/>
  <c r="BN22" i="38" s="1"/>
  <c r="BO22" i="38" s="1"/>
  <c r="O33" i="33"/>
  <c r="BR22" i="38" s="1"/>
  <c r="BS22" i="38" s="1"/>
  <c r="O34" i="33"/>
  <c r="BV22" i="38" s="1"/>
  <c r="BW22" i="38" s="1"/>
  <c r="O35" i="33"/>
  <c r="BZ22" i="38" s="1"/>
  <c r="CA22" i="38" s="1"/>
  <c r="O36" i="33"/>
  <c r="CD22" i="38" s="1"/>
  <c r="CE22" i="38" s="1"/>
  <c r="P26" i="33"/>
  <c r="AP23" i="38" s="1"/>
  <c r="AQ23" i="38" s="1" a="1"/>
  <c r="AQ23" i="38" s="1"/>
  <c r="P27" i="33"/>
  <c r="AT23" i="38" s="1"/>
  <c r="AU23" i="38" s="1" a="1"/>
  <c r="AU23" i="38" s="1"/>
  <c r="P28" i="33"/>
  <c r="AX23" i="38" s="1"/>
  <c r="AY23" i="38" s="1" a="1"/>
  <c r="AY23" i="38" s="1"/>
  <c r="P29" i="33"/>
  <c r="BB23" i="38" s="1"/>
  <c r="BC23" i="38" s="1" a="1"/>
  <c r="BC23" i="38" s="1"/>
  <c r="P30" i="33"/>
  <c r="BF23" i="38" s="1"/>
  <c r="BG23" i="38" s="1" a="1"/>
  <c r="BG23" i="38" s="1"/>
  <c r="P31" i="33"/>
  <c r="BJ23" i="38" s="1"/>
  <c r="BK23" i="38" s="1" a="1"/>
  <c r="BK23" i="38" s="1"/>
  <c r="P32" i="33"/>
  <c r="BN23" i="38" s="1"/>
  <c r="BO23" i="38" s="1" a="1"/>
  <c r="BO23" i="38" s="1"/>
  <c r="P33" i="33"/>
  <c r="BR23" i="38" s="1"/>
  <c r="BS23" i="38" s="1" a="1"/>
  <c r="BS23" i="38" s="1"/>
  <c r="P34" i="33"/>
  <c r="BV23" i="38" s="1"/>
  <c r="BW23" i="38" s="1" a="1"/>
  <c r="BW23" i="38" s="1"/>
  <c r="P35" i="33"/>
  <c r="BZ23" i="38" s="1"/>
  <c r="CA23" i="38" s="1" a="1"/>
  <c r="CA23" i="38" s="1"/>
  <c r="P36" i="33"/>
  <c r="CD23" i="38" s="1"/>
  <c r="CE23" i="38" s="1" a="1"/>
  <c r="CE23" i="38" s="1"/>
  <c r="H37" i="33"/>
  <c r="L37" i="33" s="1"/>
  <c r="H38" i="33"/>
  <c r="L38" i="33" s="1"/>
  <c r="H39" i="33"/>
  <c r="L39" i="33" s="1"/>
  <c r="H40" i="33"/>
  <c r="L40" i="33" s="1"/>
  <c r="H41" i="33"/>
  <c r="L41" i="33" s="1"/>
  <c r="H42" i="33"/>
  <c r="L42" i="33" s="1"/>
  <c r="H43" i="33"/>
  <c r="L43" i="33" s="1"/>
  <c r="H44" i="33"/>
  <c r="L44" i="33" s="1"/>
  <c r="H45" i="33"/>
  <c r="L45" i="33" s="1"/>
  <c r="H46" i="33"/>
  <c r="L46" i="33" s="1"/>
  <c r="H47" i="33"/>
  <c r="O37" i="33"/>
  <c r="CH22" i="38" s="1"/>
  <c r="CI22" i="38" s="1"/>
  <c r="O38" i="33"/>
  <c r="CL22" i="38" s="1"/>
  <c r="CM22" i="38" s="1"/>
  <c r="O39" i="33"/>
  <c r="CP22" i="38" s="1"/>
  <c r="CQ22" i="38" s="1"/>
  <c r="O40" i="33"/>
  <c r="CT22" i="38" s="1"/>
  <c r="CU22" i="38" s="1"/>
  <c r="O41" i="33"/>
  <c r="CX22" i="38" s="1"/>
  <c r="CY22" i="38" s="1"/>
  <c r="O42" i="33"/>
  <c r="DB22" i="38" s="1"/>
  <c r="DC22" i="38" s="1"/>
  <c r="O43" i="33"/>
  <c r="DF22" i="38" s="1"/>
  <c r="DG22" i="38" s="1"/>
  <c r="O44" i="33"/>
  <c r="DJ22" i="38" s="1"/>
  <c r="DK22" i="38" s="1"/>
  <c r="O45" i="33"/>
  <c r="DN22" i="38" s="1"/>
  <c r="DO22" i="38" s="1"/>
  <c r="O46" i="33"/>
  <c r="DR22" i="38" s="1"/>
  <c r="DS22" i="38" s="1"/>
  <c r="O47" i="33"/>
  <c r="DV22" i="38" s="1"/>
  <c r="DW22" i="38" s="1"/>
  <c r="P37" i="33"/>
  <c r="CH23" i="38" s="1"/>
  <c r="CI23" i="38" s="1" a="1"/>
  <c r="CI23" i="38" s="1"/>
  <c r="P38" i="33"/>
  <c r="CL23" i="38" s="1"/>
  <c r="CM23" i="38" s="1" a="1"/>
  <c r="CM23" i="38" s="1"/>
  <c r="P39" i="33"/>
  <c r="CP23" i="38" s="1"/>
  <c r="CQ23" i="38" s="1" a="1"/>
  <c r="CQ23" i="38" s="1"/>
  <c r="P40" i="33"/>
  <c r="CT23" i="38" s="1"/>
  <c r="CU23" i="38" s="1" a="1"/>
  <c r="CU23" i="38" s="1"/>
  <c r="P41" i="33"/>
  <c r="CX23" i="38" s="1"/>
  <c r="CY23" i="38" s="1" a="1"/>
  <c r="CY23" i="38" s="1"/>
  <c r="P42" i="33"/>
  <c r="DB23" i="38" s="1"/>
  <c r="DC23" i="38" s="1" a="1"/>
  <c r="DC23" i="38" s="1"/>
  <c r="P43" i="33"/>
  <c r="DF23" i="38" s="1"/>
  <c r="DG23" i="38" s="1" a="1"/>
  <c r="DG23" i="38" s="1"/>
  <c r="P44" i="33"/>
  <c r="DJ23" i="38" s="1"/>
  <c r="DK23" i="38" s="1" a="1"/>
  <c r="DK23" i="38" s="1"/>
  <c r="P45" i="33"/>
  <c r="DN23" i="38" s="1"/>
  <c r="DO23" i="38" s="1" a="1"/>
  <c r="DO23" i="38" s="1"/>
  <c r="P46" i="33"/>
  <c r="DR23" i="38" s="1"/>
  <c r="DS23" i="38" s="1" a="1"/>
  <c r="DS23" i="38" s="1"/>
  <c r="P47" i="33"/>
  <c r="DV23" i="38" s="1"/>
  <c r="DW23" i="38" s="1" a="1"/>
  <c r="DW23" i="38" s="1"/>
  <c r="H48" i="33"/>
  <c r="L48" i="33" s="1"/>
  <c r="H49" i="33"/>
  <c r="L49" i="33" s="1"/>
  <c r="H50" i="33"/>
  <c r="L50" i="33" s="1"/>
  <c r="H51" i="33"/>
  <c r="L51" i="33" s="1"/>
  <c r="H52" i="33"/>
  <c r="L52" i="33" s="1"/>
  <c r="H53" i="33"/>
  <c r="L53" i="33" s="1"/>
  <c r="H54" i="33"/>
  <c r="L54" i="33" s="1"/>
  <c r="H55" i="33"/>
  <c r="H56" i="33"/>
  <c r="L56" i="33" s="1"/>
  <c r="H57" i="33"/>
  <c r="L57" i="33" s="1"/>
  <c r="H58" i="33"/>
  <c r="L58" i="33" s="1"/>
  <c r="O48" i="33"/>
  <c r="DZ22" i="38" s="1"/>
  <c r="EA22" i="38" s="1"/>
  <c r="O49" i="33"/>
  <c r="ED22" i="38" s="1"/>
  <c r="EE22" i="38" s="1"/>
  <c r="O50" i="33"/>
  <c r="EH22" i="38" s="1"/>
  <c r="EI22" i="38" s="1"/>
  <c r="O51" i="33"/>
  <c r="EL22" i="38" s="1"/>
  <c r="EM22" i="38" s="1"/>
  <c r="O52" i="33"/>
  <c r="EP22" i="38" s="1"/>
  <c r="EQ22" i="38" s="1"/>
  <c r="O53" i="33"/>
  <c r="ET22" i="38" s="1"/>
  <c r="EU22" i="38" s="1"/>
  <c r="O54" i="33"/>
  <c r="EX22" i="38" s="1"/>
  <c r="EY22" i="38" s="1"/>
  <c r="O55" i="33"/>
  <c r="FB22" i="38" s="1"/>
  <c r="FC22" i="38" s="1"/>
  <c r="O56" i="33"/>
  <c r="FF22" i="38" s="1"/>
  <c r="FG22" i="38" s="1"/>
  <c r="O57" i="33"/>
  <c r="FJ22" i="38" s="1"/>
  <c r="FK22" i="38" s="1"/>
  <c r="O58" i="33"/>
  <c r="FN22" i="38" s="1"/>
  <c r="FO22" i="38" s="1"/>
  <c r="P48" i="33"/>
  <c r="DZ23" i="38" s="1"/>
  <c r="EA23" i="38" s="1" a="1"/>
  <c r="EA23" i="38" s="1"/>
  <c r="P49" i="33"/>
  <c r="ED23" i="38" s="1"/>
  <c r="EE23" i="38" s="1" a="1"/>
  <c r="EE23" i="38" s="1"/>
  <c r="P50" i="33"/>
  <c r="EH23" i="38" s="1"/>
  <c r="EI23" i="38" s="1" a="1"/>
  <c r="EI23" i="38" s="1"/>
  <c r="P51" i="33"/>
  <c r="EL23" i="38" s="1"/>
  <c r="EM23" i="38" s="1" a="1"/>
  <c r="EM23" i="38" s="1"/>
  <c r="P52" i="33"/>
  <c r="EP23" i="38" s="1"/>
  <c r="EQ23" i="38" s="1" a="1"/>
  <c r="EQ23" i="38" s="1"/>
  <c r="P53" i="33"/>
  <c r="ET23" i="38" s="1"/>
  <c r="EU23" i="38" s="1" a="1"/>
  <c r="EU23" i="38" s="1"/>
  <c r="P54" i="33"/>
  <c r="EX23" i="38" s="1"/>
  <c r="EY23" i="38" s="1" a="1"/>
  <c r="EY23" i="38" s="1"/>
  <c r="P55" i="33"/>
  <c r="FB23" i="38" s="1"/>
  <c r="FC23" i="38" s="1" a="1"/>
  <c r="FC23" i="38" s="1"/>
  <c r="P56" i="33"/>
  <c r="FF23" i="38" s="1"/>
  <c r="FG23" i="38" s="1" a="1"/>
  <c r="FG23" i="38" s="1"/>
  <c r="P57" i="33"/>
  <c r="FJ23" i="38" s="1"/>
  <c r="FK23" i="38" s="1" a="1"/>
  <c r="FK23" i="38" s="1"/>
  <c r="P58" i="33"/>
  <c r="FN23" i="38" s="1"/>
  <c r="FO23" i="38" s="1" a="1"/>
  <c r="FO23" i="38" s="1"/>
  <c r="D17" i="33"/>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17" i="17"/>
  <c r="FV25" i="36" l="1"/>
  <c r="DZ28" i="36"/>
  <c r="BF28" i="36"/>
  <c r="AD18" i="36"/>
  <c r="N26" i="36"/>
  <c r="FV20" i="36"/>
  <c r="DZ18" i="36"/>
  <c r="BF20" i="36"/>
  <c r="FV18" i="36"/>
  <c r="Z26" i="36"/>
  <c r="J24" i="36"/>
  <c r="FV16" i="36"/>
  <c r="DB16" i="36"/>
  <c r="AH16" i="36"/>
  <c r="F24" i="36"/>
  <c r="FV15" i="36"/>
  <c r="FV17" i="36" s="1"/>
  <c r="V26" i="36"/>
  <c r="GT26" i="36"/>
  <c r="CD28" i="36"/>
  <c r="AD28" i="36"/>
  <c r="EX28" i="36"/>
  <c r="CD18" i="36"/>
  <c r="AD26" i="36"/>
  <c r="R26" i="36"/>
  <c r="FV28" i="36"/>
  <c r="AD24" i="36"/>
  <c r="AE24" i="36" s="1"/>
  <c r="R30" i="36"/>
  <c r="GT24" i="36"/>
  <c r="GU24" i="36" s="1"/>
  <c r="GT25" i="36"/>
  <c r="FV26" i="36"/>
  <c r="EX15" i="36"/>
  <c r="EX17" i="36" s="1"/>
  <c r="DZ30" i="36"/>
  <c r="EA30" i="36" s="1" a="1"/>
  <c r="EA30" i="36" s="1"/>
  <c r="DZ25" i="36"/>
  <c r="DB24" i="36"/>
  <c r="DC24" i="36" s="1"/>
  <c r="CD27" i="36"/>
  <c r="BF15" i="36"/>
  <c r="BF17" i="36" s="1"/>
  <c r="BF18" i="36"/>
  <c r="AJ39" i="36"/>
  <c r="AD31" i="36"/>
  <c r="AE32" i="36" s="1" a="1"/>
  <c r="AE32" i="36" s="1"/>
  <c r="Z18" i="36"/>
  <c r="V16" i="36"/>
  <c r="V31" i="36"/>
  <c r="W32" i="36" s="1" a="1"/>
  <c r="W32" i="36" s="1"/>
  <c r="R20" i="36"/>
  <c r="N24" i="36"/>
  <c r="O24" i="36" s="1"/>
  <c r="EX25" i="36"/>
  <c r="GV39" i="36"/>
  <c r="GT27" i="36"/>
  <c r="FV24" i="36"/>
  <c r="FW24" i="36" s="1"/>
  <c r="EX31" i="36"/>
  <c r="EY32" i="36" s="1" a="1"/>
  <c r="EY32" i="36" s="1"/>
  <c r="DZ27" i="36"/>
  <c r="DB28" i="36"/>
  <c r="DB15" i="36"/>
  <c r="DB17" i="36" s="1"/>
  <c r="CD26" i="36"/>
  <c r="BF31" i="36"/>
  <c r="BG32" i="36" s="1" a="1"/>
  <c r="BG32" i="36" s="1"/>
  <c r="BF16" i="36"/>
  <c r="AH18" i="36"/>
  <c r="AD16" i="36"/>
  <c r="Z24" i="36"/>
  <c r="AA24" i="36" s="1"/>
  <c r="V28" i="36"/>
  <c r="R15" i="36"/>
  <c r="R17" i="36" s="1"/>
  <c r="R25" i="36"/>
  <c r="N27" i="36"/>
  <c r="GT30" i="36"/>
  <c r="GU30" i="36" s="1" a="1"/>
  <c r="GU30" i="36" s="1"/>
  <c r="GT15" i="36"/>
  <c r="GT17" i="36" s="1"/>
  <c r="EX30" i="36"/>
  <c r="EY30" i="36" s="1" a="1"/>
  <c r="EY30" i="36" s="1"/>
  <c r="DZ26" i="36"/>
  <c r="DB18" i="36"/>
  <c r="DB20" i="36"/>
  <c r="CD15" i="36"/>
  <c r="CD17" i="36" s="1"/>
  <c r="BF30" i="36"/>
  <c r="BG30" i="36" s="1" a="1"/>
  <c r="BG30" i="36" s="1"/>
  <c r="AH31" i="36"/>
  <c r="AI32" i="36" s="1" a="1"/>
  <c r="AI32" i="36" s="1"/>
  <c r="AH20" i="36"/>
  <c r="AD20" i="36"/>
  <c r="AB39" i="36"/>
  <c r="X39" i="36"/>
  <c r="R27" i="36"/>
  <c r="R31" i="36"/>
  <c r="S32" i="36" s="1" a="1"/>
  <c r="S32" i="36" s="1"/>
  <c r="P39" i="36"/>
  <c r="V30" i="36"/>
  <c r="GT31" i="36"/>
  <c r="GU32" i="36" s="1" a="1"/>
  <c r="GU32" i="36" s="1"/>
  <c r="EX18" i="36"/>
  <c r="EX26" i="36"/>
  <c r="DZ24" i="36"/>
  <c r="EA24" i="36" s="1"/>
  <c r="DD39" i="36"/>
  <c r="BF27" i="36"/>
  <c r="AH30" i="36"/>
  <c r="AI30" i="36" s="1" a="1"/>
  <c r="AI30" i="36" s="1"/>
  <c r="AH25" i="36"/>
  <c r="AD25" i="36"/>
  <c r="Z20" i="36"/>
  <c r="V18" i="36"/>
  <c r="R16" i="36"/>
  <c r="N15" i="36"/>
  <c r="N17" i="36" s="1"/>
  <c r="N20" i="36"/>
  <c r="DB25" i="36"/>
  <c r="GT16" i="36"/>
  <c r="FX39" i="36"/>
  <c r="EX20" i="36"/>
  <c r="DZ15" i="36"/>
  <c r="DZ17" i="36" s="1"/>
  <c r="DB27" i="36"/>
  <c r="CD24" i="36"/>
  <c r="CE24" i="36" s="1"/>
  <c r="CD16" i="36"/>
  <c r="BF26" i="36"/>
  <c r="AH27" i="36"/>
  <c r="AH28" i="36"/>
  <c r="AF39" i="36"/>
  <c r="Z25" i="36"/>
  <c r="V24" i="36"/>
  <c r="W24" i="36" s="1"/>
  <c r="T39" i="36"/>
  <c r="N31" i="36"/>
  <c r="O32" i="36" s="1" a="1"/>
  <c r="O32" i="36" s="1"/>
  <c r="N25" i="36"/>
  <c r="Z30" i="36"/>
  <c r="AA30" i="36" s="1" a="1"/>
  <c r="AA30" i="36" s="1"/>
  <c r="GT18" i="36"/>
  <c r="FV30" i="36"/>
  <c r="FW30" i="36" s="1" a="1"/>
  <c r="FW30" i="36" s="1"/>
  <c r="EZ39" i="36"/>
  <c r="EX16" i="36"/>
  <c r="DZ20" i="36"/>
  <c r="DB31" i="36"/>
  <c r="DC32" i="36" s="1" a="1"/>
  <c r="DC32" i="36" s="1"/>
  <c r="CF39" i="36"/>
  <c r="CD20" i="36"/>
  <c r="BF24" i="36"/>
  <c r="BG24" i="36" s="1"/>
  <c r="AH26" i="36"/>
  <c r="Z15" i="36"/>
  <c r="Z17" i="36" s="1"/>
  <c r="Z27" i="36"/>
  <c r="V20" i="36"/>
  <c r="R18" i="36"/>
  <c r="N16" i="36"/>
  <c r="N30" i="36"/>
  <c r="GT28" i="36"/>
  <c r="FV27" i="36"/>
  <c r="EX27" i="36"/>
  <c r="EB39" i="36"/>
  <c r="DB30" i="36"/>
  <c r="DC30" i="36" s="1" a="1"/>
  <c r="DC30" i="36" s="1"/>
  <c r="CD31" i="36"/>
  <c r="CE32" i="36" s="1" a="1"/>
  <c r="CE32" i="36" s="1"/>
  <c r="CD25" i="36"/>
  <c r="AH24" i="36"/>
  <c r="AI24" i="36" s="1"/>
  <c r="AD15" i="36"/>
  <c r="AD17" i="36" s="1"/>
  <c r="Z31" i="36"/>
  <c r="AA32" i="36" s="1" a="1"/>
  <c r="AA32" i="36" s="1"/>
  <c r="Z28" i="36"/>
  <c r="V25" i="36"/>
  <c r="R28" i="36"/>
  <c r="N18" i="36"/>
  <c r="AD30" i="36"/>
  <c r="AE30" i="36" s="1" a="1"/>
  <c r="AE30" i="36" s="1"/>
  <c r="GT20" i="36"/>
  <c r="FV31" i="36"/>
  <c r="FW32" i="36" s="1" a="1"/>
  <c r="FW32" i="36" s="1"/>
  <c r="EX24" i="36"/>
  <c r="EY24" i="36" s="1"/>
  <c r="DZ31" i="36"/>
  <c r="EA32" i="36" s="1" a="1"/>
  <c r="EA32" i="36" s="1"/>
  <c r="DZ16" i="36"/>
  <c r="DB26" i="36"/>
  <c r="CD30" i="36"/>
  <c r="CE30" i="36" s="1" a="1"/>
  <c r="CE30" i="36" s="1"/>
  <c r="BH39" i="36"/>
  <c r="BF25" i="36"/>
  <c r="AH15" i="36"/>
  <c r="AH17" i="36" s="1"/>
  <c r="AD27" i="36"/>
  <c r="Z16" i="36"/>
  <c r="V27" i="36"/>
  <c r="V15" i="36"/>
  <c r="V17" i="36" s="1"/>
  <c r="R24" i="36"/>
  <c r="S24" i="36" s="1"/>
  <c r="N28" i="36"/>
  <c r="FZ25" i="36"/>
  <c r="FB26" i="36"/>
  <c r="FB16" i="36"/>
  <c r="ED31" i="36"/>
  <c r="EE32" i="36" s="1" a="1"/>
  <c r="EE32" i="36" s="1"/>
  <c r="DF31" i="36"/>
  <c r="DG32" i="36" s="1" a="1"/>
  <c r="DG32" i="36" s="1"/>
  <c r="CH25" i="36"/>
  <c r="BJ26" i="36"/>
  <c r="BJ28" i="36"/>
  <c r="AL31" i="36"/>
  <c r="AM32" i="36" s="1" a="1"/>
  <c r="AM32" i="36" s="1"/>
  <c r="FZ15" i="36"/>
  <c r="FZ17" i="36" s="1"/>
  <c r="FZ20" i="36"/>
  <c r="FB31" i="36"/>
  <c r="FC32" i="36" s="1" a="1"/>
  <c r="FC32" i="36" s="1"/>
  <c r="ED15" i="36"/>
  <c r="ED17" i="36" s="1"/>
  <c r="DF25" i="36"/>
  <c r="CJ39" i="36"/>
  <c r="CH20" i="36"/>
  <c r="BL39" i="36"/>
  <c r="AL15" i="36"/>
  <c r="AL17" i="36" s="1"/>
  <c r="AL20" i="36"/>
  <c r="FZ30" i="36"/>
  <c r="GA30" i="36" s="1" a="1"/>
  <c r="GA30" i="36" s="1"/>
  <c r="FZ16" i="36"/>
  <c r="FB15" i="36"/>
  <c r="FB17" i="36" s="1"/>
  <c r="ED25" i="36"/>
  <c r="DF30" i="36"/>
  <c r="DG30" i="36" s="1" a="1"/>
  <c r="DG30" i="36" s="1"/>
  <c r="CH30" i="36"/>
  <c r="CI30" i="36" s="1" a="1"/>
  <c r="CI30" i="36" s="1"/>
  <c r="CH16" i="36"/>
  <c r="BJ15" i="36"/>
  <c r="BJ17" i="36" s="1"/>
  <c r="BJ20" i="36"/>
  <c r="AL27" i="36"/>
  <c r="AL18" i="36"/>
  <c r="FZ27" i="36"/>
  <c r="FZ28" i="36"/>
  <c r="FB25" i="36"/>
  <c r="EF39" i="36"/>
  <c r="ED28" i="36"/>
  <c r="DH39" i="36"/>
  <c r="DF20" i="36"/>
  <c r="CH26" i="36"/>
  <c r="CH28" i="36"/>
  <c r="BJ30" i="36"/>
  <c r="BK30" i="36" s="1" a="1"/>
  <c r="BK30" i="36" s="1"/>
  <c r="BJ18" i="36"/>
  <c r="AL24" i="36"/>
  <c r="AM24" i="36" s="1"/>
  <c r="AL16" i="36"/>
  <c r="FZ24" i="36"/>
  <c r="GA24" i="36" s="1"/>
  <c r="FZ18" i="36"/>
  <c r="FB30" i="36"/>
  <c r="FC30" i="36" s="1" a="1"/>
  <c r="FC30" i="36" s="1"/>
  <c r="FB28" i="36"/>
  <c r="ED30" i="36"/>
  <c r="EE30" i="36" s="1" a="1"/>
  <c r="EE30" i="36" s="1"/>
  <c r="DF15" i="36"/>
  <c r="DF17" i="36" s="1"/>
  <c r="DF18" i="36"/>
  <c r="CH15" i="36"/>
  <c r="CH17" i="36" s="1"/>
  <c r="CH18" i="36"/>
  <c r="BJ31" i="36"/>
  <c r="BK32" i="36" s="1" a="1"/>
  <c r="BK32" i="36" s="1"/>
  <c r="BJ16" i="36"/>
  <c r="AL26" i="36"/>
  <c r="FZ26" i="36"/>
  <c r="FD39" i="36"/>
  <c r="ED27" i="36"/>
  <c r="ED16" i="36"/>
  <c r="DF27" i="36"/>
  <c r="DF28" i="36"/>
  <c r="CH27" i="36"/>
  <c r="BJ27" i="36"/>
  <c r="AN39" i="36"/>
  <c r="GB39" i="36"/>
  <c r="FB27" i="36"/>
  <c r="FB20" i="36"/>
  <c r="ED24" i="36"/>
  <c r="EE24" i="36" s="1"/>
  <c r="ED20" i="36"/>
  <c r="DF24" i="36"/>
  <c r="DG24" i="36" s="1"/>
  <c r="DF16" i="36"/>
  <c r="CH24" i="36"/>
  <c r="CI24" i="36" s="1"/>
  <c r="BJ24" i="36"/>
  <c r="BK24" i="36" s="1"/>
  <c r="AL25" i="36"/>
  <c r="FZ31" i="36"/>
  <c r="GA32" i="36" s="1" a="1"/>
  <c r="GA32" i="36" s="1"/>
  <c r="FB24" i="36"/>
  <c r="FC24" i="36" s="1"/>
  <c r="FB18" i="36"/>
  <c r="ED26" i="36"/>
  <c r="ED18" i="36"/>
  <c r="DF26" i="36"/>
  <c r="CH31" i="36"/>
  <c r="CI32" i="36" s="1" a="1"/>
  <c r="CI32" i="36" s="1"/>
  <c r="BJ25" i="36"/>
  <c r="AL30" i="36"/>
  <c r="AM30" i="36" s="1" a="1"/>
  <c r="AM30" i="36" s="1"/>
  <c r="AL28" i="36"/>
  <c r="GD26" i="36"/>
  <c r="GD16" i="36"/>
  <c r="FF31" i="36"/>
  <c r="FG32" i="36" s="1" a="1"/>
  <c r="FG32" i="36" s="1"/>
  <c r="FF24" i="36"/>
  <c r="FG24" i="36" s="1"/>
  <c r="EH28" i="36"/>
  <c r="DJ31" i="36"/>
  <c r="DK32" i="36" s="1" a="1"/>
  <c r="DK32" i="36" s="1"/>
  <c r="DJ20" i="36"/>
  <c r="CL16" i="36"/>
  <c r="BN31" i="36"/>
  <c r="BO32" i="36" s="1" a="1"/>
  <c r="BO32" i="36" s="1"/>
  <c r="BN16" i="36"/>
  <c r="AP20" i="36"/>
  <c r="GD31" i="36"/>
  <c r="GE32" i="36" s="1" a="1"/>
  <c r="GE32" i="36" s="1"/>
  <c r="GD24" i="36"/>
  <c r="GE24" i="36" s="1"/>
  <c r="FF15" i="36"/>
  <c r="FF17" i="36" s="1"/>
  <c r="FF27" i="36"/>
  <c r="DJ15" i="36"/>
  <c r="DJ17" i="36" s="1"/>
  <c r="DJ24" i="36"/>
  <c r="DK24" i="36" s="1"/>
  <c r="CL15" i="36"/>
  <c r="CL17" i="36" s="1"/>
  <c r="CL27" i="36"/>
  <c r="BN15" i="36"/>
  <c r="BN17" i="36" s="1"/>
  <c r="BN27" i="36"/>
  <c r="AP18" i="36"/>
  <c r="GD25" i="36"/>
  <c r="GD30" i="36"/>
  <c r="GE30" i="36" s="1" a="1"/>
  <c r="GE30" i="36" s="1"/>
  <c r="FF28" i="36"/>
  <c r="EH30" i="36"/>
  <c r="EI30" i="36" s="1" a="1"/>
  <c r="EI30" i="36" s="1"/>
  <c r="DJ25" i="36"/>
  <c r="DJ16" i="36"/>
  <c r="CL26" i="36"/>
  <c r="BN25" i="36"/>
  <c r="BN24" i="36"/>
  <c r="BO24" i="36" s="1"/>
  <c r="AP26" i="36"/>
  <c r="AP28" i="36"/>
  <c r="GD28" i="36"/>
  <c r="EH26" i="36"/>
  <c r="EH20" i="36"/>
  <c r="DJ28" i="36"/>
  <c r="CN39" i="36"/>
  <c r="CL24" i="36"/>
  <c r="CM24" i="36" s="1"/>
  <c r="BN28" i="36"/>
  <c r="AR39" i="36"/>
  <c r="AP30" i="36"/>
  <c r="AQ30" i="36" s="1" a="1"/>
  <c r="AQ30" i="36" s="1"/>
  <c r="GD27" i="36"/>
  <c r="FF30" i="36"/>
  <c r="FG30" i="36" s="1" a="1"/>
  <c r="FG30" i="36" s="1"/>
  <c r="EJ39" i="36"/>
  <c r="EH18" i="36"/>
  <c r="DJ27" i="36"/>
  <c r="CL31" i="36"/>
  <c r="CM32" i="36" s="1" a="1"/>
  <c r="CM32" i="36" s="1"/>
  <c r="CL30" i="36"/>
  <c r="CM30" i="36" s="1" a="1"/>
  <c r="CM30" i="36" s="1"/>
  <c r="AP25" i="36"/>
  <c r="AP16" i="36"/>
  <c r="GD20" i="36"/>
  <c r="FF26" i="36"/>
  <c r="FF20" i="36"/>
  <c r="EH15" i="36"/>
  <c r="EH17" i="36" s="1"/>
  <c r="EH16" i="36"/>
  <c r="CL25" i="36"/>
  <c r="CL18" i="36"/>
  <c r="BN30" i="36"/>
  <c r="BO30" i="36" s="1" a="1"/>
  <c r="BO30" i="36" s="1"/>
  <c r="AP31" i="36"/>
  <c r="AQ32" i="36" s="1" a="1"/>
  <c r="AQ32" i="36" s="1"/>
  <c r="AP27" i="36"/>
  <c r="GF39" i="36"/>
  <c r="FF25" i="36"/>
  <c r="FF18" i="36"/>
  <c r="EH25" i="36"/>
  <c r="EH24" i="36"/>
  <c r="EI24" i="36" s="1"/>
  <c r="DJ26" i="36"/>
  <c r="DJ18" i="36"/>
  <c r="CL28" i="36"/>
  <c r="BN26" i="36"/>
  <c r="BN20" i="36"/>
  <c r="AP15" i="36"/>
  <c r="AP17" i="36" s="1"/>
  <c r="AP24" i="36"/>
  <c r="AQ24" i="36" s="1"/>
  <c r="GD15" i="36"/>
  <c r="GD17" i="36" s="1"/>
  <c r="GD18" i="36"/>
  <c r="FH39" i="36"/>
  <c r="FF16" i="36"/>
  <c r="EH31" i="36"/>
  <c r="EI32" i="36" s="1" a="1"/>
  <c r="EI32" i="36" s="1"/>
  <c r="EH27" i="36"/>
  <c r="DL39" i="36"/>
  <c r="DJ30" i="36"/>
  <c r="DK30" i="36" s="1" a="1"/>
  <c r="DK30" i="36" s="1"/>
  <c r="CL20" i="36"/>
  <c r="BP39" i="36"/>
  <c r="BN18" i="36"/>
  <c r="GH31" i="36"/>
  <c r="GI32" i="36" s="1" a="1"/>
  <c r="GI32" i="36" s="1"/>
  <c r="GH26" i="36"/>
  <c r="FJ27" i="36"/>
  <c r="EN39" i="36"/>
  <c r="EL24" i="36"/>
  <c r="EM24" i="36" s="1"/>
  <c r="DN30" i="36"/>
  <c r="DO30" i="36" s="1" a="1"/>
  <c r="DO30" i="36" s="1"/>
  <c r="DN27" i="36"/>
  <c r="CP28" i="36"/>
  <c r="CP20" i="36"/>
  <c r="BR30" i="36"/>
  <c r="BS30" i="36" s="1" a="1"/>
  <c r="BS30" i="36" s="1"/>
  <c r="BR24" i="36"/>
  <c r="BS24" i="36" s="1"/>
  <c r="AT28" i="36"/>
  <c r="AT27" i="36"/>
  <c r="GH30" i="36"/>
  <c r="GI30" i="36" s="1" a="1"/>
  <c r="GI30" i="36" s="1"/>
  <c r="FJ30" i="36"/>
  <c r="FK30" i="36" s="1" a="1"/>
  <c r="FK30" i="36" s="1"/>
  <c r="FJ24" i="36"/>
  <c r="FK24" i="36" s="1"/>
  <c r="EL31" i="36"/>
  <c r="EM32" i="36" s="1" a="1"/>
  <c r="EM32" i="36" s="1"/>
  <c r="EL20" i="36"/>
  <c r="DN28" i="36"/>
  <c r="CP16" i="36"/>
  <c r="BR28" i="36"/>
  <c r="BR20" i="36"/>
  <c r="AV39" i="36"/>
  <c r="AT24" i="36"/>
  <c r="AU24" i="36" s="1"/>
  <c r="FL39" i="36"/>
  <c r="FJ20" i="36"/>
  <c r="EL25" i="36"/>
  <c r="EL18" i="36"/>
  <c r="DN26" i="36"/>
  <c r="CR39" i="36"/>
  <c r="CP24" i="36"/>
  <c r="CQ24" i="36" s="1"/>
  <c r="BT39" i="36"/>
  <c r="BR18" i="36"/>
  <c r="AT31" i="36"/>
  <c r="AU32" i="36" s="1" a="1"/>
  <c r="AU32" i="36" s="1"/>
  <c r="AT16" i="36"/>
  <c r="GH27" i="36"/>
  <c r="FJ31" i="36"/>
  <c r="FK32" i="36" s="1" a="1"/>
  <c r="FK32" i="36" s="1"/>
  <c r="FJ18" i="36"/>
  <c r="EL15" i="36"/>
  <c r="EL17" i="36" s="1"/>
  <c r="EL16" i="36"/>
  <c r="CP31" i="36"/>
  <c r="CQ32" i="36" s="1" a="1"/>
  <c r="CQ32" i="36" s="1"/>
  <c r="CP26" i="36"/>
  <c r="BR31" i="36"/>
  <c r="BS32" i="36" s="1" a="1"/>
  <c r="BS32" i="36" s="1"/>
  <c r="BR16" i="36"/>
  <c r="AT25" i="36"/>
  <c r="GJ39" i="36"/>
  <c r="GH18" i="36"/>
  <c r="FJ25" i="36"/>
  <c r="FJ16" i="36"/>
  <c r="EL30" i="36"/>
  <c r="EM30" i="36" s="1" a="1"/>
  <c r="EM30" i="36" s="1"/>
  <c r="EL26" i="36"/>
  <c r="DP39" i="36"/>
  <c r="DN20" i="36"/>
  <c r="CP25" i="36"/>
  <c r="CP18" i="36"/>
  <c r="BR25" i="36"/>
  <c r="BR26" i="36"/>
  <c r="AT15" i="36"/>
  <c r="AT17" i="36" s="1"/>
  <c r="GH25" i="36"/>
  <c r="GH20" i="36"/>
  <c r="FJ15" i="36"/>
  <c r="FJ17" i="36" s="1"/>
  <c r="FJ26" i="36"/>
  <c r="EL28" i="36"/>
  <c r="DN31" i="36"/>
  <c r="DO32" i="36" s="1" a="1"/>
  <c r="DO32" i="36" s="1"/>
  <c r="DN18" i="36"/>
  <c r="CP15" i="36"/>
  <c r="CP17" i="36" s="1"/>
  <c r="BR15" i="36"/>
  <c r="BR17" i="36" s="1"/>
  <c r="AT20" i="36"/>
  <c r="GH15" i="36"/>
  <c r="GH17" i="36" s="1"/>
  <c r="GH24" i="36"/>
  <c r="GI24" i="36" s="1"/>
  <c r="FJ28" i="36"/>
  <c r="DN25" i="36"/>
  <c r="DN24" i="36"/>
  <c r="DO24" i="36" s="1"/>
  <c r="CP30" i="36"/>
  <c r="CQ30" i="36" s="1" a="1"/>
  <c r="CQ30" i="36" s="1"/>
  <c r="AT18" i="36"/>
  <c r="GH28" i="36"/>
  <c r="GH16" i="36"/>
  <c r="EL27" i="36"/>
  <c r="DN15" i="36"/>
  <c r="DN17" i="36" s="1"/>
  <c r="DN16" i="36"/>
  <c r="CP27" i="36"/>
  <c r="BR27" i="36"/>
  <c r="AT30" i="36"/>
  <c r="AU30" i="36" s="1" a="1"/>
  <c r="AU30" i="36" s="1"/>
  <c r="AT26" i="36"/>
  <c r="GL15" i="36"/>
  <c r="GL17" i="36" s="1"/>
  <c r="GL25" i="36"/>
  <c r="FN30" i="36"/>
  <c r="FO30" i="36" s="1" a="1"/>
  <c r="FO30" i="36" s="1"/>
  <c r="FN26" i="36"/>
  <c r="EP20" i="36"/>
  <c r="DR28" i="36"/>
  <c r="CT30" i="36"/>
  <c r="CU30" i="36" s="1" a="1"/>
  <c r="CU30" i="36" s="1"/>
  <c r="CT26" i="36"/>
  <c r="BV30" i="36"/>
  <c r="BW30" i="36" s="1" a="1"/>
  <c r="BW30" i="36" s="1"/>
  <c r="BV25" i="36"/>
  <c r="AX15" i="36"/>
  <c r="AX17" i="36" s="1"/>
  <c r="AX18" i="36"/>
  <c r="AX26" i="36"/>
  <c r="GL28" i="36"/>
  <c r="FN15" i="36"/>
  <c r="FN17" i="36" s="1"/>
  <c r="EP28" i="36"/>
  <c r="EP18" i="36"/>
  <c r="DR27" i="36"/>
  <c r="CT15" i="36"/>
  <c r="CT17" i="36" s="1"/>
  <c r="BV15" i="36"/>
  <c r="BV17" i="36" s="1"/>
  <c r="AX27" i="36"/>
  <c r="AX25" i="36"/>
  <c r="GL27" i="36"/>
  <c r="FN28" i="36"/>
  <c r="FN25" i="36"/>
  <c r="EP27" i="36"/>
  <c r="EP16" i="36"/>
  <c r="DT39" i="36"/>
  <c r="DR20" i="36"/>
  <c r="CT27" i="36"/>
  <c r="BV28" i="36"/>
  <c r="AX24" i="36"/>
  <c r="AY24" i="36" s="1"/>
  <c r="FN27" i="36"/>
  <c r="ER39" i="36"/>
  <c r="EP26" i="36"/>
  <c r="DR31" i="36"/>
  <c r="DS32" i="36" s="1" a="1"/>
  <c r="DS32" i="36" s="1"/>
  <c r="DR18" i="36"/>
  <c r="CT24" i="36"/>
  <c r="CU24" i="36" s="1"/>
  <c r="GL24" i="36"/>
  <c r="GM24" i="36" s="1"/>
  <c r="GL20" i="36"/>
  <c r="FN24" i="36"/>
  <c r="FO24" i="36" s="1"/>
  <c r="EP31" i="36"/>
  <c r="EQ32" i="36" s="1" a="1"/>
  <c r="EQ32" i="36" s="1"/>
  <c r="DR30" i="36"/>
  <c r="DS30" i="36" s="1" a="1"/>
  <c r="DS30" i="36" s="1"/>
  <c r="DR26" i="36"/>
  <c r="CT20" i="36"/>
  <c r="BV27" i="36"/>
  <c r="BV20" i="36"/>
  <c r="AX28" i="36"/>
  <c r="GN39" i="36"/>
  <c r="GL18" i="36"/>
  <c r="FN20" i="36"/>
  <c r="EP30" i="36"/>
  <c r="EQ30" i="36" s="1" a="1"/>
  <c r="EQ30" i="36" s="1"/>
  <c r="EP25" i="36"/>
  <c r="DR15" i="36"/>
  <c r="DR17" i="36" s="1"/>
  <c r="DR25" i="36"/>
  <c r="CT18" i="36"/>
  <c r="CT28" i="36"/>
  <c r="BV24" i="36"/>
  <c r="BW24" i="36" s="1"/>
  <c r="BV18" i="36"/>
  <c r="AZ39" i="36"/>
  <c r="GL31" i="36"/>
  <c r="GM32" i="36" s="1" a="1"/>
  <c r="GM32" i="36" s="1"/>
  <c r="GL16" i="36"/>
  <c r="FP39" i="36"/>
  <c r="FN18" i="36"/>
  <c r="EP15" i="36"/>
  <c r="EP17" i="36" s="1"/>
  <c r="DR24" i="36"/>
  <c r="DS24" i="36" s="1"/>
  <c r="DR16" i="36"/>
  <c r="CV39" i="36"/>
  <c r="CT16" i="36"/>
  <c r="BX39" i="36"/>
  <c r="BV16" i="36"/>
  <c r="AX31" i="36"/>
  <c r="AY32" i="36" s="1" a="1"/>
  <c r="AY32" i="36" s="1"/>
  <c r="AX16" i="36"/>
  <c r="GL30" i="36"/>
  <c r="GM30" i="36" s="1" a="1"/>
  <c r="GM30" i="36" s="1"/>
  <c r="GL26" i="36"/>
  <c r="FN31" i="36"/>
  <c r="FO32" i="36" s="1" a="1"/>
  <c r="FO32" i="36" s="1"/>
  <c r="FN16" i="36"/>
  <c r="EP24" i="36"/>
  <c r="EQ24" i="36" s="1"/>
  <c r="CT31" i="36"/>
  <c r="CU32" i="36" s="1" a="1"/>
  <c r="CU32" i="36" s="1"/>
  <c r="CT25" i="36"/>
  <c r="BV31" i="36"/>
  <c r="BW32" i="36" s="1" a="1"/>
  <c r="BW32" i="36" s="1"/>
  <c r="BV26" i="36"/>
  <c r="AX30" i="36"/>
  <c r="AX20" i="36"/>
  <c r="GP20" i="36"/>
  <c r="FR27" i="36"/>
  <c r="EV39" i="36"/>
  <c r="ET30" i="36"/>
  <c r="EU30" i="36" s="1" a="1"/>
  <c r="EU30" i="36" s="1"/>
  <c r="DV28" i="36"/>
  <c r="DX39" i="36"/>
  <c r="CX31" i="36"/>
  <c r="CY32" i="36" s="1" a="1"/>
  <c r="CY32" i="36" s="1"/>
  <c r="CX26" i="36"/>
  <c r="BZ16" i="36"/>
  <c r="BZ30" i="36"/>
  <c r="CA30" i="36" s="1" a="1"/>
  <c r="CA30" i="36" s="1"/>
  <c r="BB30" i="36"/>
  <c r="BC30" i="36" s="1" a="1"/>
  <c r="BC30" i="36" s="1"/>
  <c r="GP18" i="36"/>
  <c r="FR24" i="36"/>
  <c r="FS24" i="36" s="1"/>
  <c r="ET31" i="36"/>
  <c r="EU32" i="36" s="1" a="1"/>
  <c r="EU32" i="36" s="1"/>
  <c r="ET20" i="36"/>
  <c r="DV20" i="36"/>
  <c r="DV31" i="36"/>
  <c r="DW32" i="36" s="1" a="1"/>
  <c r="DW32" i="36" s="1"/>
  <c r="CX15" i="36"/>
  <c r="CX17" i="36" s="1"/>
  <c r="CX30" i="36"/>
  <c r="BZ28" i="36"/>
  <c r="BD39" i="36"/>
  <c r="GR39" i="36"/>
  <c r="GP16" i="36"/>
  <c r="FR26" i="36"/>
  <c r="ET15" i="36"/>
  <c r="ET17" i="36" s="1"/>
  <c r="ET16" i="36"/>
  <c r="DV18" i="36"/>
  <c r="DV25" i="36"/>
  <c r="CX18" i="36"/>
  <c r="CX25" i="36"/>
  <c r="BZ20" i="36"/>
  <c r="BB28" i="36"/>
  <c r="BB31" i="36"/>
  <c r="BC32" i="36" s="1" a="1"/>
  <c r="BC32" i="36" s="1"/>
  <c r="GP31" i="36"/>
  <c r="GQ32" i="36" s="1" a="1"/>
  <c r="GQ32" i="36" s="1"/>
  <c r="GP26" i="36"/>
  <c r="FR25" i="36"/>
  <c r="ET28" i="36"/>
  <c r="ET18" i="36"/>
  <c r="DV27" i="36"/>
  <c r="DV30" i="36"/>
  <c r="DW30" i="36" s="1" a="1"/>
  <c r="DW30" i="36" s="1"/>
  <c r="CX28" i="36"/>
  <c r="BZ27" i="36"/>
  <c r="BB16" i="36"/>
  <c r="BB15" i="36"/>
  <c r="BB17" i="36" s="1"/>
  <c r="GP15" i="36"/>
  <c r="GP17" i="36" s="1"/>
  <c r="GP30" i="36"/>
  <c r="GQ30" i="36" s="1" a="1"/>
  <c r="GQ30" i="36" s="1"/>
  <c r="FT39" i="36"/>
  <c r="FR30" i="36"/>
  <c r="ET27" i="36"/>
  <c r="DV24" i="36"/>
  <c r="DW24" i="36" s="1"/>
  <c r="CX27" i="36"/>
  <c r="BZ24" i="36"/>
  <c r="CA24" i="36" s="1"/>
  <c r="BB27" i="36"/>
  <c r="BB26" i="36"/>
  <c r="GP28" i="36"/>
  <c r="GP25" i="36"/>
  <c r="FR31" i="36"/>
  <c r="FS32" i="36" s="1" a="1"/>
  <c r="FS32" i="36" s="1"/>
  <c r="FR20" i="36"/>
  <c r="ET24" i="36"/>
  <c r="EU24" i="36" s="1"/>
  <c r="DV16" i="36"/>
  <c r="CX24" i="36"/>
  <c r="CY24" i="36" s="1"/>
  <c r="CB39" i="36"/>
  <c r="BZ18" i="36"/>
  <c r="BB24" i="36"/>
  <c r="BC24" i="36" s="1"/>
  <c r="BB25" i="36"/>
  <c r="GP27" i="36"/>
  <c r="FR15" i="36"/>
  <c r="FR17" i="36" s="1"/>
  <c r="FR18" i="36"/>
  <c r="ET26" i="36"/>
  <c r="DV26" i="36"/>
  <c r="CX20" i="36"/>
  <c r="BZ31" i="36"/>
  <c r="CA32" i="36" s="1" a="1"/>
  <c r="CA32" i="36" s="1"/>
  <c r="BZ26" i="36"/>
  <c r="BB20" i="36"/>
  <c r="GP24" i="36"/>
  <c r="GQ24" i="36" s="1"/>
  <c r="FR28" i="36"/>
  <c r="FR16" i="36"/>
  <c r="ET25" i="36"/>
  <c r="DV15" i="36"/>
  <c r="DV17" i="36" s="1"/>
  <c r="CZ39" i="36"/>
  <c r="CX16" i="36"/>
  <c r="BZ15" i="36"/>
  <c r="BZ17" i="36" s="1"/>
  <c r="BZ25" i="36"/>
  <c r="BB18" i="36"/>
  <c r="F18" i="39"/>
  <c r="H39" i="38"/>
  <c r="F18" i="38"/>
  <c r="H39" i="36"/>
  <c r="F18" i="36"/>
  <c r="L32" i="34"/>
  <c r="L31" i="34"/>
  <c r="L34" i="34"/>
  <c r="L22" i="34"/>
  <c r="L20" i="34"/>
  <c r="L19" i="34"/>
  <c r="L29" i="34"/>
  <c r="L30" i="34"/>
  <c r="L18" i="34"/>
  <c r="L39" i="34"/>
  <c r="L50" i="34"/>
  <c r="L51" i="34"/>
  <c r="L38" i="34"/>
  <c r="L48" i="34"/>
  <c r="L36" i="33"/>
  <c r="L35" i="33"/>
  <c r="L34" i="33"/>
  <c r="L33" i="33"/>
  <c r="L47" i="33"/>
  <c r="L55" i="33"/>
  <c r="BZ19" i="36" l="1"/>
  <c r="CX19" i="36"/>
  <c r="DR19" i="36"/>
  <c r="CP19" i="36"/>
  <c r="AT19" i="36"/>
  <c r="FF19" i="36"/>
  <c r="AL19" i="36"/>
  <c r="FZ19" i="36"/>
  <c r="AH19" i="36"/>
  <c r="AD19" i="36"/>
  <c r="GT19" i="36"/>
  <c r="FV19" i="36"/>
  <c r="ET19" i="36"/>
  <c r="DF19" i="36"/>
  <c r="EX19" i="36"/>
  <c r="BV19" i="36"/>
  <c r="BN19" i="36"/>
  <c r="DV19" i="36"/>
  <c r="CT19" i="36"/>
  <c r="AX19" i="36"/>
  <c r="DN19" i="36"/>
  <c r="EL19" i="36"/>
  <c r="CD19" i="36"/>
  <c r="GD19" i="36"/>
  <c r="CL19" i="36"/>
  <c r="FB19" i="36"/>
  <c r="V19" i="36"/>
  <c r="N19" i="36"/>
  <c r="R19" i="36"/>
  <c r="DB19" i="36"/>
  <c r="BF19" i="36"/>
  <c r="GP19" i="36"/>
  <c r="EP19" i="36"/>
  <c r="GL19" i="36"/>
  <c r="GH19" i="36"/>
  <c r="FJ19" i="36"/>
  <c r="ED19" i="36"/>
  <c r="BB19" i="36"/>
  <c r="AP19" i="36"/>
  <c r="DJ19" i="36"/>
  <c r="Z19" i="36"/>
  <c r="DZ19" i="36"/>
  <c r="FR19" i="36"/>
  <c r="FN19" i="36"/>
  <c r="BR19" i="36"/>
  <c r="EH19" i="36"/>
  <c r="CH19" i="36"/>
  <c r="BJ19" i="36"/>
  <c r="Z18" i="17" a="1"/>
  <c r="Z18" i="17" s="1"/>
  <c r="Z19" i="17" a="1"/>
  <c r="Z19" i="17" s="1"/>
  <c r="Z20" i="17" a="1"/>
  <c r="Z20" i="17" s="1"/>
  <c r="Z21" i="17" a="1"/>
  <c r="Z21" i="17" s="1"/>
  <c r="Z22" i="17" a="1"/>
  <c r="Z22" i="17" s="1"/>
  <c r="Z23" i="17" a="1"/>
  <c r="Z23" i="17" s="1"/>
  <c r="Z24" i="17" a="1"/>
  <c r="Z24" i="17" s="1"/>
  <c r="Z25" i="17" a="1"/>
  <c r="Z25" i="17" s="1"/>
  <c r="Z26" i="17" a="1"/>
  <c r="Z26" i="17" s="1"/>
  <c r="Z27" i="17" a="1"/>
  <c r="Z27" i="17" s="1"/>
  <c r="Z28" i="17" a="1"/>
  <c r="Z28" i="17" s="1"/>
  <c r="Z29" i="17" a="1"/>
  <c r="Z29" i="17" s="1"/>
  <c r="Z30" i="17" a="1"/>
  <c r="Z30" i="17" s="1"/>
  <c r="Z31" i="17" a="1"/>
  <c r="Z31" i="17" s="1"/>
  <c r="Z32" i="17" a="1"/>
  <c r="Z32" i="17" s="1"/>
  <c r="Z33" i="17" a="1"/>
  <c r="Z33" i="17" s="1"/>
  <c r="Z34" i="17" a="1"/>
  <c r="Z34" i="17" s="1"/>
  <c r="Z35" i="17" a="1"/>
  <c r="Z35" i="17" s="1"/>
  <c r="Z36" i="17" a="1"/>
  <c r="Z36" i="17" s="1"/>
  <c r="Z37" i="17" a="1"/>
  <c r="Z37" i="17" s="1"/>
  <c r="Z38" i="17" a="1"/>
  <c r="Z38" i="17" s="1"/>
  <c r="Z39" i="17" a="1"/>
  <c r="Z39" i="17" s="1"/>
  <c r="Z40" i="17" a="1"/>
  <c r="Z40" i="17" s="1"/>
  <c r="Z41" i="17" a="1"/>
  <c r="Z41" i="17" s="1"/>
  <c r="Z42" i="17" a="1"/>
  <c r="Z42" i="17" s="1"/>
  <c r="Z43" i="17" a="1"/>
  <c r="Z43" i="17" s="1"/>
  <c r="Z44" i="17" a="1"/>
  <c r="Z44" i="17" s="1"/>
  <c r="Z45" i="17" a="1"/>
  <c r="Z45" i="17" s="1"/>
  <c r="Z46" i="17" a="1"/>
  <c r="Z46" i="17" s="1"/>
  <c r="Z47" i="17" a="1"/>
  <c r="Z47" i="17" s="1"/>
  <c r="Z48" i="17" a="1"/>
  <c r="Z48" i="17" s="1"/>
  <c r="Z49" i="17" a="1"/>
  <c r="Z49" i="17" s="1"/>
  <c r="Z50" i="17" a="1"/>
  <c r="Z50" i="17" s="1"/>
  <c r="Z51" i="17" a="1"/>
  <c r="Z51" i="17" s="1"/>
  <c r="Z52" i="17" a="1"/>
  <c r="Z52" i="17" s="1"/>
  <c r="Z53" i="17" a="1"/>
  <c r="Z53" i="17" s="1"/>
  <c r="Z54" i="17" a="1"/>
  <c r="Z54" i="17" s="1"/>
  <c r="Z55" i="17" a="1"/>
  <c r="Z55" i="17" s="1"/>
  <c r="Z56" i="17" a="1"/>
  <c r="Z56" i="17" s="1"/>
  <c r="Z57" i="17" a="1"/>
  <c r="Z57" i="17" s="1"/>
  <c r="Z58" i="17" a="1"/>
  <c r="Z58" i="17" s="1"/>
  <c r="Z59" i="17" a="1"/>
  <c r="Z59" i="17" s="1"/>
  <c r="Z60" i="17" a="1"/>
  <c r="Z60" i="17" s="1"/>
  <c r="Z61" i="17" a="1"/>
  <c r="Z61" i="17" s="1"/>
  <c r="Z62" i="17" a="1"/>
  <c r="Z62" i="17" s="1"/>
  <c r="Z63" i="17" a="1"/>
  <c r="Z63" i="17" s="1"/>
  <c r="Z64" i="17" a="1"/>
  <c r="Z64" i="17" s="1"/>
  <c r="Z65" i="17" a="1"/>
  <c r="Z65" i="17" s="1"/>
  <c r="Z66" i="17" a="1"/>
  <c r="Z66" i="17" s="1"/>
  <c r="H16" i="17"/>
  <c r="H63" i="17"/>
  <c r="L63" i="17" s="1"/>
  <c r="H64" i="17"/>
  <c r="L64" i="17" s="1"/>
  <c r="O63" i="17"/>
  <c r="GH22" i="36" s="1"/>
  <c r="GI22" i="36" s="1"/>
  <c r="O64" i="17"/>
  <c r="GL22" i="36" s="1"/>
  <c r="GM22" i="36" s="1"/>
  <c r="P63" i="17"/>
  <c r="GH23" i="36" s="1"/>
  <c r="GI23" i="36" s="1" a="1"/>
  <c r="GI23" i="36" s="1"/>
  <c r="P64" i="17"/>
  <c r="GL23" i="36" s="1"/>
  <c r="GM23" i="36" s="1" a="1"/>
  <c r="GM23" i="36" s="1"/>
  <c r="L26" i="17"/>
  <c r="L27" i="17"/>
  <c r="H29" i="17"/>
  <c r="L29" i="17" s="1"/>
  <c r="H30" i="17"/>
  <c r="L30" i="17" s="1"/>
  <c r="H31" i="17"/>
  <c r="L31" i="17" s="1"/>
  <c r="H32" i="17"/>
  <c r="L32" i="17" s="1"/>
  <c r="H33" i="17"/>
  <c r="L33" i="17" s="1"/>
  <c r="H34" i="17"/>
  <c r="L34" i="17" s="1"/>
  <c r="H35" i="17"/>
  <c r="L35" i="17" s="1"/>
  <c r="H36" i="17"/>
  <c r="H37" i="17"/>
  <c r="L37" i="17" s="1"/>
  <c r="H38" i="17"/>
  <c r="L38" i="17" s="1"/>
  <c r="O26" i="17"/>
  <c r="AP22" i="36" s="1"/>
  <c r="AQ22" i="36" s="1"/>
  <c r="O27" i="17"/>
  <c r="AT22" i="36" s="1"/>
  <c r="AU22" i="36" s="1"/>
  <c r="O28" i="17"/>
  <c r="AX22" i="36" s="1"/>
  <c r="AY22" i="36" s="1"/>
  <c r="O29" i="17"/>
  <c r="BB22" i="36" s="1"/>
  <c r="BC22" i="36" s="1"/>
  <c r="O30" i="17"/>
  <c r="BF22" i="36" s="1"/>
  <c r="BG22" i="36" s="1"/>
  <c r="O31" i="17"/>
  <c r="BJ22" i="36" s="1"/>
  <c r="BK22" i="36" s="1"/>
  <c r="O32" i="17"/>
  <c r="BN22" i="36" s="1"/>
  <c r="BO22" i="36" s="1"/>
  <c r="O33" i="17"/>
  <c r="BR22" i="36" s="1"/>
  <c r="BS22" i="36" s="1"/>
  <c r="O34" i="17"/>
  <c r="BV22" i="36" s="1"/>
  <c r="BW22" i="36" s="1"/>
  <c r="O35" i="17"/>
  <c r="BZ22" i="36" s="1"/>
  <c r="CA22" i="36" s="1"/>
  <c r="O36" i="17"/>
  <c r="CD22" i="36" s="1"/>
  <c r="CE22" i="36" s="1"/>
  <c r="O37" i="17"/>
  <c r="CH22" i="36" s="1"/>
  <c r="CI22" i="36" s="1"/>
  <c r="O38" i="17"/>
  <c r="CL22" i="36" s="1"/>
  <c r="CM22" i="36" s="1"/>
  <c r="P26" i="17"/>
  <c r="AP23" i="36" s="1"/>
  <c r="AQ23" i="36" s="1" a="1"/>
  <c r="AQ23" i="36" s="1"/>
  <c r="P27" i="17"/>
  <c r="AT23" i="36" s="1"/>
  <c r="AU23" i="36" s="1" a="1"/>
  <c r="AU23" i="36" s="1"/>
  <c r="P28" i="17"/>
  <c r="AX23" i="36" s="1"/>
  <c r="AY23" i="36" s="1" a="1"/>
  <c r="AY23" i="36" s="1"/>
  <c r="P29" i="17"/>
  <c r="BB23" i="36" s="1"/>
  <c r="BC23" i="36" s="1" a="1"/>
  <c r="BC23" i="36" s="1"/>
  <c r="P30" i="17"/>
  <c r="BF23" i="36" s="1"/>
  <c r="BG23" i="36" s="1" a="1"/>
  <c r="BG23" i="36" s="1"/>
  <c r="P31" i="17"/>
  <c r="BJ23" i="36" s="1"/>
  <c r="BK23" i="36" s="1" a="1"/>
  <c r="BK23" i="36" s="1"/>
  <c r="P32" i="17"/>
  <c r="BN23" i="36" s="1"/>
  <c r="BO23" i="36" s="1" a="1"/>
  <c r="BO23" i="36" s="1"/>
  <c r="P33" i="17"/>
  <c r="BR23" i="36" s="1"/>
  <c r="BS23" i="36" s="1" a="1"/>
  <c r="BS23" i="36" s="1"/>
  <c r="P34" i="17"/>
  <c r="BV23" i="36" s="1"/>
  <c r="BW23" i="36" s="1" a="1"/>
  <c r="BW23" i="36" s="1"/>
  <c r="P35" i="17"/>
  <c r="BZ23" i="36" s="1"/>
  <c r="CA23" i="36" s="1" a="1"/>
  <c r="CA23" i="36" s="1"/>
  <c r="P36" i="17"/>
  <c r="CD23" i="36" s="1"/>
  <c r="CE23" i="36" s="1" a="1"/>
  <c r="CE23" i="36" s="1"/>
  <c r="P37" i="17"/>
  <c r="CH23" i="36" s="1"/>
  <c r="CI23" i="36" s="1" a="1"/>
  <c r="CI23" i="36" s="1"/>
  <c r="P38" i="17"/>
  <c r="CL23" i="36" s="1"/>
  <c r="CM23" i="36" s="1" a="1"/>
  <c r="CM23" i="36" s="1"/>
  <c r="H39" i="17"/>
  <c r="L39" i="17" s="1"/>
  <c r="H40" i="17"/>
  <c r="L40" i="17" s="1"/>
  <c r="H41" i="17"/>
  <c r="L41" i="17" s="1"/>
  <c r="H42" i="17"/>
  <c r="L42" i="17" s="1"/>
  <c r="H43" i="17"/>
  <c r="L43" i="17" s="1"/>
  <c r="H44" i="17"/>
  <c r="L44" i="17" s="1"/>
  <c r="H45" i="17"/>
  <c r="L45" i="17" s="1"/>
  <c r="H46" i="17"/>
  <c r="L46" i="17" s="1"/>
  <c r="H47" i="17"/>
  <c r="L47" i="17" s="1"/>
  <c r="H48" i="17"/>
  <c r="L48" i="17" s="1"/>
  <c r="H49" i="17"/>
  <c r="L49" i="17" s="1"/>
  <c r="H50" i="17"/>
  <c r="L50" i="17" s="1"/>
  <c r="H51" i="17"/>
  <c r="L51" i="17" s="1"/>
  <c r="O39" i="17"/>
  <c r="CP22" i="36" s="1"/>
  <c r="CQ22" i="36" s="1"/>
  <c r="O40" i="17"/>
  <c r="CT22" i="36" s="1"/>
  <c r="CU22" i="36" s="1"/>
  <c r="O41" i="17"/>
  <c r="CX22" i="36" s="1"/>
  <c r="CY22" i="36" s="1"/>
  <c r="O42" i="17"/>
  <c r="DB22" i="36" s="1"/>
  <c r="DC22" i="36" s="1"/>
  <c r="O43" i="17"/>
  <c r="DF22" i="36" s="1"/>
  <c r="DG22" i="36" s="1"/>
  <c r="O44" i="17"/>
  <c r="DJ22" i="36" s="1"/>
  <c r="DK22" i="36" s="1"/>
  <c r="O45" i="17"/>
  <c r="DN22" i="36" s="1"/>
  <c r="DO22" i="36" s="1"/>
  <c r="O46" i="17"/>
  <c r="DR22" i="36" s="1"/>
  <c r="DS22" i="36" s="1"/>
  <c r="O47" i="17"/>
  <c r="DV22" i="36" s="1"/>
  <c r="DW22" i="36" s="1"/>
  <c r="O48" i="17"/>
  <c r="DZ22" i="36" s="1"/>
  <c r="EA22" i="36" s="1"/>
  <c r="O49" i="17"/>
  <c r="ED22" i="36" s="1"/>
  <c r="EE22" i="36" s="1"/>
  <c r="O50" i="17"/>
  <c r="EH22" i="36" s="1"/>
  <c r="EI22" i="36" s="1"/>
  <c r="O51" i="17"/>
  <c r="EL22" i="36" s="1"/>
  <c r="EM22" i="36" s="1"/>
  <c r="P39" i="17"/>
  <c r="CP23" i="36" s="1"/>
  <c r="CQ23" i="36" s="1" a="1"/>
  <c r="CQ23" i="36" s="1"/>
  <c r="P40" i="17"/>
  <c r="CT23" i="36" s="1"/>
  <c r="CU23" i="36" s="1" a="1"/>
  <c r="CU23" i="36" s="1"/>
  <c r="P41" i="17"/>
  <c r="CX23" i="36" s="1"/>
  <c r="CY23" i="36" s="1" a="1"/>
  <c r="CY23" i="36" s="1"/>
  <c r="P42" i="17"/>
  <c r="DB23" i="36" s="1"/>
  <c r="DC23" i="36" s="1" a="1"/>
  <c r="DC23" i="36" s="1"/>
  <c r="P43" i="17"/>
  <c r="DF23" i="36" s="1"/>
  <c r="DG23" i="36" s="1" a="1"/>
  <c r="DG23" i="36" s="1"/>
  <c r="P44" i="17"/>
  <c r="DJ23" i="36" s="1"/>
  <c r="DK23" i="36" s="1" a="1"/>
  <c r="DK23" i="36" s="1"/>
  <c r="P45" i="17"/>
  <c r="DN23" i="36" s="1"/>
  <c r="DO23" i="36" s="1" a="1"/>
  <c r="DO23" i="36" s="1"/>
  <c r="P46" i="17"/>
  <c r="DR23" i="36" s="1"/>
  <c r="DS23" i="36" s="1" a="1"/>
  <c r="DS23" i="36" s="1"/>
  <c r="P47" i="17"/>
  <c r="DV23" i="36" s="1"/>
  <c r="DW23" i="36" s="1" a="1"/>
  <c r="DW23" i="36" s="1"/>
  <c r="P48" i="17"/>
  <c r="DZ23" i="36" s="1"/>
  <c r="EA23" i="36" s="1" a="1"/>
  <c r="EA23" i="36" s="1"/>
  <c r="P49" i="17"/>
  <c r="ED23" i="36" s="1"/>
  <c r="EE23" i="36" s="1" a="1"/>
  <c r="EE23" i="36" s="1"/>
  <c r="P50" i="17"/>
  <c r="EH23" i="36" s="1"/>
  <c r="EI23" i="36" s="1" a="1"/>
  <c r="EI23" i="36" s="1"/>
  <c r="P51" i="17"/>
  <c r="EL23" i="36" s="1"/>
  <c r="EM23" i="36" s="1" a="1"/>
  <c r="EM23" i="36" s="1"/>
  <c r="H65" i="17"/>
  <c r="L65" i="17" s="1"/>
  <c r="O65" i="17"/>
  <c r="GP22" i="36" s="1"/>
  <c r="GQ22" i="36" s="1"/>
  <c r="P65" i="17"/>
  <c r="GP23" i="36" s="1"/>
  <c r="GQ23" i="36" s="1" a="1"/>
  <c r="GQ23" i="36" s="1"/>
  <c r="L28" i="17" l="1"/>
  <c r="L36" i="17"/>
  <c r="H66" i="17" l="1"/>
  <c r="O66" i="17"/>
  <c r="GT22" i="36" s="1"/>
  <c r="GU22" i="36" s="1"/>
  <c r="P66" i="17"/>
  <c r="GT23" i="36" s="1"/>
  <c r="GU23" i="36" s="1" a="1"/>
  <c r="GU23" i="36" s="1"/>
  <c r="L66" i="17" l="1"/>
  <c r="C49" i="24" l="1"/>
  <c r="C38" i="24"/>
  <c r="H62" i="17"/>
  <c r="L62" i="17" s="1"/>
  <c r="O62" i="17"/>
  <c r="GD22" i="36" s="1"/>
  <c r="GE22" i="36" s="1"/>
  <c r="P62" i="17"/>
  <c r="GD23" i="36" s="1"/>
  <c r="GE23" i="36" s="1" a="1"/>
  <c r="GE23" i="36" s="1"/>
  <c r="P17" i="34"/>
  <c r="P56" i="34"/>
  <c r="P57" i="34"/>
  <c r="P58" i="34"/>
  <c r="P59" i="34"/>
  <c r="P60" i="34"/>
  <c r="P61" i="34"/>
  <c r="P62" i="34"/>
  <c r="P63" i="34"/>
  <c r="P64" i="34"/>
  <c r="P65" i="34"/>
  <c r="P66" i="34"/>
  <c r="C79" i="15"/>
  <c r="D79" i="15"/>
  <c r="E79" i="15"/>
  <c r="F79" i="15"/>
  <c r="G79" i="15"/>
  <c r="C80" i="15"/>
  <c r="D80" i="15"/>
  <c r="E80" i="15"/>
  <c r="F80" i="15"/>
  <c r="G80" i="15"/>
  <c r="C81" i="15"/>
  <c r="D81" i="15"/>
  <c r="E81" i="15"/>
  <c r="F81" i="15"/>
  <c r="G81" i="15"/>
  <c r="C82" i="15"/>
  <c r="D82" i="15"/>
  <c r="E82" i="15"/>
  <c r="F82" i="15"/>
  <c r="G82" i="15"/>
  <c r="C83" i="15"/>
  <c r="D83" i="15"/>
  <c r="E83" i="15"/>
  <c r="F83" i="15"/>
  <c r="G83" i="15"/>
  <c r="C84" i="15"/>
  <c r="D84" i="15"/>
  <c r="E84" i="15"/>
  <c r="F84" i="15"/>
  <c r="G84" i="15"/>
  <c r="C85" i="15"/>
  <c r="D85" i="15"/>
  <c r="E85" i="15"/>
  <c r="F85" i="15"/>
  <c r="G85" i="15"/>
  <c r="C86" i="15"/>
  <c r="D86" i="15"/>
  <c r="E86" i="15"/>
  <c r="F86" i="15"/>
  <c r="G86" i="15"/>
  <c r="C87" i="15"/>
  <c r="D87" i="15"/>
  <c r="E87" i="15"/>
  <c r="F87" i="15"/>
  <c r="G87" i="15"/>
  <c r="C88" i="15"/>
  <c r="D88" i="15"/>
  <c r="E88" i="15"/>
  <c r="F88" i="15"/>
  <c r="G88" i="15"/>
  <c r="C89" i="15"/>
  <c r="D89" i="15"/>
  <c r="E89" i="15"/>
  <c r="F89" i="15"/>
  <c r="G89" i="15"/>
  <c r="C90" i="15"/>
  <c r="D90" i="15"/>
  <c r="E90" i="15"/>
  <c r="F90" i="15"/>
  <c r="G90" i="15"/>
  <c r="C91" i="15"/>
  <c r="D91" i="15"/>
  <c r="E91" i="15"/>
  <c r="F91" i="15"/>
  <c r="G91" i="15"/>
  <c r="C92" i="15"/>
  <c r="D92" i="15"/>
  <c r="E92" i="15"/>
  <c r="F92" i="15"/>
  <c r="G92" i="15"/>
  <c r="C93" i="15"/>
  <c r="D93" i="15"/>
  <c r="E93" i="15"/>
  <c r="F93" i="15"/>
  <c r="G93" i="15"/>
  <c r="C94" i="15"/>
  <c r="D94" i="15"/>
  <c r="E94" i="15"/>
  <c r="F94" i="15"/>
  <c r="G94" i="15"/>
  <c r="B80" i="15"/>
  <c r="B81" i="15"/>
  <c r="B82" i="15"/>
  <c r="B83" i="15"/>
  <c r="B84" i="15"/>
  <c r="B85" i="15"/>
  <c r="B86" i="15"/>
  <c r="B87" i="15"/>
  <c r="B88" i="15"/>
  <c r="B89" i="15"/>
  <c r="B90" i="15"/>
  <c r="B91" i="15"/>
  <c r="B92" i="15"/>
  <c r="B93" i="15"/>
  <c r="B94" i="15"/>
  <c r="B79" i="15"/>
  <c r="G51" i="15"/>
  <c r="G50" i="15"/>
  <c r="G49" i="15"/>
  <c r="G48" i="15"/>
  <c r="G47" i="15"/>
  <c r="G46" i="15"/>
  <c r="G45" i="15"/>
  <c r="G44" i="15"/>
  <c r="G43" i="15"/>
  <c r="G42" i="15"/>
  <c r="G41" i="15"/>
  <c r="G40" i="15"/>
  <c r="G39" i="15"/>
  <c r="G38" i="15"/>
  <c r="G37" i="15"/>
  <c r="G36" i="15"/>
  <c r="F11" i="17"/>
  <c r="F12" i="17" s="1"/>
  <c r="L17" i="17"/>
  <c r="H17" i="33"/>
  <c r="L17" i="33" s="1"/>
  <c r="F11" i="33"/>
  <c r="F12" i="33" s="1"/>
  <c r="H18" i="33"/>
  <c r="L18" i="33" s="1"/>
  <c r="H19" i="33"/>
  <c r="L19" i="33" s="1"/>
  <c r="H20" i="33"/>
  <c r="L20" i="33" s="1"/>
  <c r="H21" i="33"/>
  <c r="L21" i="33" s="1"/>
  <c r="H22" i="33"/>
  <c r="L22" i="33" s="1"/>
  <c r="H23" i="33"/>
  <c r="H24" i="33"/>
  <c r="L24" i="33" s="1"/>
  <c r="H25" i="33"/>
  <c r="L25" i="33" s="1"/>
  <c r="H59" i="33"/>
  <c r="L59" i="33" s="1"/>
  <c r="H60" i="33"/>
  <c r="L60" i="33" s="1"/>
  <c r="H61" i="33"/>
  <c r="L61" i="33" s="1"/>
  <c r="H62" i="33"/>
  <c r="L62" i="33" s="1"/>
  <c r="H63" i="33"/>
  <c r="L63" i="33" s="1"/>
  <c r="H64" i="33"/>
  <c r="L64" i="33" s="1"/>
  <c r="H65" i="33"/>
  <c r="L65" i="33" s="1"/>
  <c r="H66" i="33"/>
  <c r="L66" i="33" s="1"/>
  <c r="L17" i="34"/>
  <c r="F11" i="34"/>
  <c r="F12" i="34" s="1"/>
  <c r="H56" i="34"/>
  <c r="L56" i="34" s="1"/>
  <c r="H57" i="34"/>
  <c r="L57" i="34" s="1"/>
  <c r="H58" i="34"/>
  <c r="L58" i="34" s="1"/>
  <c r="H59" i="34"/>
  <c r="H60" i="34"/>
  <c r="L60" i="34" s="1"/>
  <c r="H61" i="34"/>
  <c r="L61" i="34" s="1"/>
  <c r="H62" i="34"/>
  <c r="L62" i="34" s="1"/>
  <c r="H63" i="34"/>
  <c r="L63" i="34" s="1"/>
  <c r="H64" i="34"/>
  <c r="L64" i="34" s="1"/>
  <c r="H65" i="34"/>
  <c r="L65" i="34" s="1"/>
  <c r="L66" i="34"/>
  <c r="D11" i="36"/>
  <c r="D12" i="36" s="1"/>
  <c r="D11" i="38"/>
  <c r="D12" i="38" s="1"/>
  <c r="D11" i="39"/>
  <c r="D12" i="39" s="1"/>
  <c r="O17" i="17"/>
  <c r="F22" i="36" s="1"/>
  <c r="P17" i="17"/>
  <c r="F23" i="36" s="1"/>
  <c r="G23" i="36" s="1" a="1"/>
  <c r="G23" i="36" s="1"/>
  <c r="O18" i="17"/>
  <c r="J22" i="36" s="1"/>
  <c r="P18" i="17"/>
  <c r="J23" i="36" s="1"/>
  <c r="K23" i="36" s="1" a="1"/>
  <c r="K23" i="36" s="1"/>
  <c r="O19" i="17"/>
  <c r="N22" i="36" s="1"/>
  <c r="O22" i="36" s="1"/>
  <c r="P19" i="17"/>
  <c r="N23" i="36" s="1"/>
  <c r="O23" i="36" s="1" a="1"/>
  <c r="O23" i="36" s="1"/>
  <c r="O20" i="17"/>
  <c r="R22" i="36" s="1"/>
  <c r="S22" i="36" s="1"/>
  <c r="P20" i="17"/>
  <c r="R23" i="36" s="1"/>
  <c r="S23" i="36" s="1" a="1"/>
  <c r="S23" i="36" s="1"/>
  <c r="O21" i="17"/>
  <c r="V22" i="36" s="1"/>
  <c r="W22" i="36" s="1"/>
  <c r="P21" i="17"/>
  <c r="V23" i="36" s="1"/>
  <c r="W23" i="36" s="1" a="1"/>
  <c r="W23" i="36" s="1"/>
  <c r="O22" i="17"/>
  <c r="Z22" i="36" s="1"/>
  <c r="AA22" i="36" s="1"/>
  <c r="P22" i="17"/>
  <c r="Z23" i="36" s="1"/>
  <c r="AA23" i="36" s="1" a="1"/>
  <c r="AA23" i="36" s="1"/>
  <c r="O23" i="17"/>
  <c r="AD22" i="36" s="1"/>
  <c r="AE22" i="36" s="1"/>
  <c r="P23" i="17"/>
  <c r="AD23" i="36" s="1"/>
  <c r="AE23" i="36" s="1" a="1"/>
  <c r="AE23" i="36" s="1"/>
  <c r="O24" i="17"/>
  <c r="AH22" i="36" s="1"/>
  <c r="AI22" i="36" s="1"/>
  <c r="P24" i="17"/>
  <c r="AH23" i="36" s="1"/>
  <c r="AI23" i="36" s="1" a="1"/>
  <c r="AI23" i="36" s="1"/>
  <c r="O25" i="17"/>
  <c r="AL22" i="36" s="1"/>
  <c r="AM22" i="36" s="1"/>
  <c r="P25" i="17"/>
  <c r="AL23" i="36" s="1"/>
  <c r="AM23" i="36" s="1" a="1"/>
  <c r="AM23" i="36" s="1"/>
  <c r="O52" i="17"/>
  <c r="EP22" i="36" s="1"/>
  <c r="EQ22" i="36" s="1"/>
  <c r="P52" i="17"/>
  <c r="EP23" i="36" s="1"/>
  <c r="EQ23" i="36" s="1" a="1"/>
  <c r="EQ23" i="36" s="1"/>
  <c r="O53" i="17"/>
  <c r="ET22" i="36" s="1"/>
  <c r="EU22" i="36" s="1"/>
  <c r="P53" i="17"/>
  <c r="ET23" i="36" s="1"/>
  <c r="EU23" i="36" s="1" a="1"/>
  <c r="EU23" i="36" s="1"/>
  <c r="O54" i="17"/>
  <c r="EX22" i="36" s="1"/>
  <c r="EY22" i="36" s="1"/>
  <c r="P54" i="17"/>
  <c r="EX23" i="36" s="1"/>
  <c r="EY23" i="36" s="1" a="1"/>
  <c r="EY23" i="36" s="1"/>
  <c r="O55" i="17"/>
  <c r="FB22" i="36" s="1"/>
  <c r="FC22" i="36" s="1"/>
  <c r="P55" i="17"/>
  <c r="FB23" i="36" s="1"/>
  <c r="FC23" i="36" s="1" a="1"/>
  <c r="FC23" i="36" s="1"/>
  <c r="O56" i="17"/>
  <c r="FF22" i="36" s="1"/>
  <c r="FG22" i="36" s="1"/>
  <c r="P56" i="17"/>
  <c r="FF23" i="36" s="1"/>
  <c r="FG23" i="36" s="1" a="1"/>
  <c r="FG23" i="36" s="1"/>
  <c r="O57" i="17"/>
  <c r="FJ22" i="36" s="1"/>
  <c r="FK22" i="36" s="1"/>
  <c r="P57" i="17"/>
  <c r="FJ23" i="36" s="1"/>
  <c r="FK23" i="36" s="1" a="1"/>
  <c r="FK23" i="36" s="1"/>
  <c r="O58" i="17"/>
  <c r="FN22" i="36" s="1"/>
  <c r="FO22" i="36" s="1"/>
  <c r="P58" i="17"/>
  <c r="FN23" i="36" s="1"/>
  <c r="FO23" i="36" s="1" a="1"/>
  <c r="FO23" i="36" s="1"/>
  <c r="O59" i="17"/>
  <c r="FR22" i="36" s="1"/>
  <c r="FS22" i="36" s="1"/>
  <c r="P59" i="17"/>
  <c r="FR23" i="36" s="1"/>
  <c r="FS23" i="36" s="1" a="1"/>
  <c r="FS23" i="36" s="1"/>
  <c r="O60" i="17"/>
  <c r="FV22" i="36" s="1"/>
  <c r="FW22" i="36" s="1"/>
  <c r="P60" i="17"/>
  <c r="FV23" i="36" s="1"/>
  <c r="FW23" i="36" s="1" a="1"/>
  <c r="FW23" i="36" s="1"/>
  <c r="O61" i="17"/>
  <c r="FZ22" i="36" s="1"/>
  <c r="GA22" i="36" s="1"/>
  <c r="P61" i="17"/>
  <c r="FZ23" i="36" s="1"/>
  <c r="GA23" i="36" s="1" a="1"/>
  <c r="GA23" i="36" s="1"/>
  <c r="O17" i="33"/>
  <c r="F22" i="38" s="1"/>
  <c r="P17" i="33"/>
  <c r="F23" i="38" s="1"/>
  <c r="G23" i="38" s="1" a="1"/>
  <c r="G23" i="38" s="1"/>
  <c r="O18" i="33"/>
  <c r="J22" i="38" s="1"/>
  <c r="P18" i="33"/>
  <c r="J23" i="38" s="1"/>
  <c r="K23" i="38" s="1" a="1"/>
  <c r="K23" i="38" s="1"/>
  <c r="O19" i="33"/>
  <c r="N22" i="38" s="1"/>
  <c r="O22" i="38" s="1"/>
  <c r="P19" i="33"/>
  <c r="N23" i="38" s="1"/>
  <c r="O23" i="38" s="1" a="1"/>
  <c r="O23" i="38" s="1"/>
  <c r="O20" i="33"/>
  <c r="R22" i="38" s="1"/>
  <c r="S22" i="38" s="1"/>
  <c r="P20" i="33"/>
  <c r="R23" i="38" s="1"/>
  <c r="S23" i="38" s="1" a="1"/>
  <c r="S23" i="38" s="1"/>
  <c r="O21" i="33"/>
  <c r="V22" i="38" s="1"/>
  <c r="W22" i="38" s="1"/>
  <c r="P21" i="33"/>
  <c r="V23" i="38" s="1"/>
  <c r="W23" i="38" s="1" a="1"/>
  <c r="W23" i="38" s="1"/>
  <c r="O22" i="33"/>
  <c r="Z22" i="38" s="1"/>
  <c r="AA22" i="38" s="1"/>
  <c r="P22" i="33"/>
  <c r="Z23" i="38" s="1"/>
  <c r="AA23" i="38" s="1" a="1"/>
  <c r="AA23" i="38" s="1"/>
  <c r="O23" i="33"/>
  <c r="AD22" i="38" s="1"/>
  <c r="AE22" i="38" s="1"/>
  <c r="P23" i="33"/>
  <c r="AD23" i="38" s="1"/>
  <c r="AE23" i="38" s="1" a="1"/>
  <c r="AE23" i="38" s="1"/>
  <c r="O24" i="33"/>
  <c r="AH22" i="38" s="1"/>
  <c r="AI22" i="38" s="1"/>
  <c r="P24" i="33"/>
  <c r="AH23" i="38" s="1"/>
  <c r="AI23" i="38" s="1" a="1"/>
  <c r="AI23" i="38" s="1"/>
  <c r="O25" i="33"/>
  <c r="AL22" i="38" s="1"/>
  <c r="AM22" i="38" s="1"/>
  <c r="P25" i="33"/>
  <c r="AL23" i="38" s="1"/>
  <c r="AM23" i="38" s="1" a="1"/>
  <c r="AM23" i="38" s="1"/>
  <c r="O59" i="33"/>
  <c r="FR22" i="38" s="1"/>
  <c r="FS22" i="38" s="1"/>
  <c r="P59" i="33"/>
  <c r="FR23" i="38" s="1"/>
  <c r="FS23" i="38" s="1" a="1"/>
  <c r="FS23" i="38" s="1"/>
  <c r="O60" i="33"/>
  <c r="FV22" i="38" s="1"/>
  <c r="FW22" i="38" s="1"/>
  <c r="P60" i="33"/>
  <c r="FV23" i="38" s="1"/>
  <c r="FW23" i="38" s="1" a="1"/>
  <c r="FW23" i="38" s="1"/>
  <c r="O61" i="33"/>
  <c r="FZ22" i="38" s="1"/>
  <c r="GA22" i="38" s="1"/>
  <c r="P61" i="33"/>
  <c r="FZ23" i="38" s="1"/>
  <c r="GA23" i="38" s="1" a="1"/>
  <c r="GA23" i="38" s="1"/>
  <c r="O62" i="33"/>
  <c r="GD22" i="38" s="1"/>
  <c r="GE22" i="38" s="1"/>
  <c r="P62" i="33"/>
  <c r="GD23" i="38" s="1"/>
  <c r="GE23" i="38" s="1" a="1"/>
  <c r="GE23" i="38" s="1"/>
  <c r="O63" i="33"/>
  <c r="GH22" i="38" s="1"/>
  <c r="GI22" i="38" s="1"/>
  <c r="P63" i="33"/>
  <c r="GH23" i="38" s="1"/>
  <c r="GI23" i="38" s="1" a="1"/>
  <c r="GI23" i="38" s="1"/>
  <c r="O64" i="33"/>
  <c r="GL22" i="38" s="1"/>
  <c r="GM22" i="38" s="1"/>
  <c r="P64" i="33"/>
  <c r="GL23" i="38" s="1"/>
  <c r="GM23" i="38" s="1" a="1"/>
  <c r="GM23" i="38" s="1"/>
  <c r="O65" i="33"/>
  <c r="GP22" i="38" s="1"/>
  <c r="GQ22" i="38" s="1"/>
  <c r="P65" i="33"/>
  <c r="GP23" i="38" s="1"/>
  <c r="GQ23" i="38" s="1" a="1"/>
  <c r="GQ23" i="38" s="1"/>
  <c r="O66" i="33"/>
  <c r="GT22" i="38" s="1"/>
  <c r="GU22" i="38" s="1"/>
  <c r="P66" i="33"/>
  <c r="GT23" i="38" s="1"/>
  <c r="GU23" i="38" s="1" a="1"/>
  <c r="GU23" i="38" s="1"/>
  <c r="O17" i="34"/>
  <c r="F22" i="39" s="1"/>
  <c r="O56" i="34"/>
  <c r="FF22" i="39" s="1"/>
  <c r="FG22" i="39" s="1"/>
  <c r="O57" i="34"/>
  <c r="FJ22" i="39" s="1"/>
  <c r="FK22" i="39" s="1"/>
  <c r="O58" i="34"/>
  <c r="FN22" i="39" s="1"/>
  <c r="FO22" i="39" s="1"/>
  <c r="O59" i="34"/>
  <c r="FR22" i="39" s="1"/>
  <c r="FS22" i="39" s="1"/>
  <c r="O60" i="34"/>
  <c r="FV22" i="39" s="1"/>
  <c r="FW22" i="39" s="1"/>
  <c r="O61" i="34"/>
  <c r="FZ22" i="39" s="1"/>
  <c r="GA22" i="39" s="1"/>
  <c r="O62" i="34"/>
  <c r="GD22" i="39" s="1"/>
  <c r="GE22" i="39" s="1"/>
  <c r="O63" i="34"/>
  <c r="GH22" i="39" s="1"/>
  <c r="GI22" i="39" s="1"/>
  <c r="O64" i="34"/>
  <c r="GL22" i="39" s="1"/>
  <c r="GM22" i="39" s="1"/>
  <c r="O65" i="34"/>
  <c r="GP22" i="39" s="1"/>
  <c r="GQ22" i="39" s="1"/>
  <c r="J14" i="36"/>
  <c r="J23" i="39"/>
  <c r="F23" i="39"/>
  <c r="J14" i="39"/>
  <c r="L22" i="17"/>
  <c r="L18" i="17"/>
  <c r="L19" i="17"/>
  <c r="L23" i="17"/>
  <c r="H52" i="17"/>
  <c r="L52" i="17" s="1"/>
  <c r="H53" i="17"/>
  <c r="L53" i="17" s="1"/>
  <c r="H54" i="17"/>
  <c r="L54" i="17" s="1"/>
  <c r="H55" i="17"/>
  <c r="L55" i="17" s="1"/>
  <c r="H56" i="17"/>
  <c r="L56" i="17" s="1"/>
  <c r="H57" i="17"/>
  <c r="L57" i="17" s="1"/>
  <c r="H58" i="17"/>
  <c r="H59" i="17"/>
  <c r="H60" i="17"/>
  <c r="H61" i="17"/>
  <c r="L61" i="17" s="1"/>
  <c r="G112" i="15"/>
  <c r="G111" i="15"/>
  <c r="G110" i="15"/>
  <c r="G109" i="15"/>
  <c r="G107" i="15"/>
  <c r="G106" i="15"/>
  <c r="G105" i="15"/>
  <c r="G103" i="15"/>
  <c r="G102" i="15"/>
  <c r="G100" i="15"/>
  <c r="G98" i="15"/>
  <c r="G96" i="15"/>
  <c r="G95" i="15"/>
  <c r="G6" i="15"/>
  <c r="J14" i="38"/>
  <c r="E11" i="37"/>
  <c r="G215" i="15"/>
  <c r="G214" i="15"/>
  <c r="G213" i="15"/>
  <c r="G72" i="15"/>
  <c r="G71" i="15"/>
  <c r="G70" i="15"/>
  <c r="G69" i="15"/>
  <c r="G68" i="15"/>
  <c r="G35" i="15"/>
  <c r="C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9" i="24"/>
  <c r="C40" i="24"/>
  <c r="C41" i="24"/>
  <c r="C42" i="24"/>
  <c r="C43" i="24"/>
  <c r="C44" i="24"/>
  <c r="C45" i="24"/>
  <c r="C46" i="24"/>
  <c r="C47" i="24"/>
  <c r="C48" i="24"/>
  <c r="C50" i="24"/>
  <c r="C52" i="24"/>
  <c r="C53" i="24"/>
  <c r="C54" i="24"/>
  <c r="C55" i="24"/>
  <c r="C56" i="24"/>
  <c r="C57" i="24"/>
  <c r="C58" i="24"/>
  <c r="C59" i="24"/>
  <c r="C61" i="24"/>
  <c r="C62" i="24"/>
  <c r="C63" i="24"/>
  <c r="C2" i="24"/>
  <c r="G160" i="15"/>
  <c r="G159" i="15"/>
  <c r="G158" i="15"/>
  <c r="G157" i="15"/>
  <c r="G153" i="15"/>
  <c r="G152" i="15"/>
  <c r="G142" i="15"/>
  <c r="G141" i="15"/>
  <c r="G211" i="15"/>
  <c r="G209" i="15"/>
  <c r="G210" i="15"/>
  <c r="G207" i="15"/>
  <c r="G206" i="15"/>
  <c r="G202" i="15"/>
  <c r="G203" i="15"/>
  <c r="G204" i="15"/>
  <c r="G201" i="15"/>
  <c r="G198" i="15"/>
  <c r="G197" i="15"/>
  <c r="G196" i="15"/>
  <c r="G195" i="15"/>
  <c r="G193" i="15"/>
  <c r="G192" i="15"/>
  <c r="G191" i="15"/>
  <c r="G190" i="15"/>
  <c r="G189" i="15"/>
  <c r="G188" i="15"/>
  <c r="G187" i="15"/>
  <c r="G186" i="15"/>
  <c r="G184" i="15"/>
  <c r="G181" i="15"/>
  <c r="G180" i="15"/>
  <c r="G179" i="15"/>
  <c r="G178" i="15"/>
  <c r="G177" i="15"/>
  <c r="G176" i="15"/>
  <c r="G168" i="15"/>
  <c r="G169" i="15"/>
  <c r="G170" i="15"/>
  <c r="G171" i="15"/>
  <c r="G172" i="15"/>
  <c r="G173" i="15"/>
  <c r="G167" i="15"/>
  <c r="G164" i="15"/>
  <c r="G156" i="15"/>
  <c r="G155" i="15"/>
  <c r="G150" i="15"/>
  <c r="G149" i="15"/>
  <c r="G148" i="15"/>
  <c r="G147" i="15"/>
  <c r="G146" i="15"/>
  <c r="G145" i="15"/>
  <c r="G144" i="15"/>
  <c r="G138" i="15"/>
  <c r="G137" i="15"/>
  <c r="G135" i="15"/>
  <c r="G134" i="15"/>
  <c r="G133" i="15"/>
  <c r="G124" i="15"/>
  <c r="G123" i="15"/>
  <c r="G122" i="15"/>
  <c r="G121" i="15"/>
  <c r="G120" i="15"/>
  <c r="G119" i="15"/>
  <c r="G118" i="15"/>
  <c r="G117" i="15"/>
  <c r="G116" i="15"/>
  <c r="G115" i="15"/>
  <c r="G114" i="15"/>
  <c r="G113" i="15"/>
  <c r="G104" i="15"/>
  <c r="G101" i="15"/>
  <c r="G99" i="15"/>
  <c r="G97" i="15"/>
  <c r="G57" i="15"/>
  <c r="G58" i="15"/>
  <c r="G59" i="15"/>
  <c r="G60" i="15"/>
  <c r="G61" i="15"/>
  <c r="G62" i="15"/>
  <c r="G63" i="15"/>
  <c r="G64" i="15"/>
  <c r="G29" i="15"/>
  <c r="G28" i="15"/>
  <c r="G27" i="15"/>
  <c r="G26" i="15"/>
  <c r="G25" i="15"/>
  <c r="G19" i="15"/>
  <c r="G18" i="15"/>
  <c r="G17" i="15"/>
  <c r="G16" i="15"/>
  <c r="G212" i="15"/>
  <c r="G199" i="15"/>
  <c r="G183" i="15"/>
  <c r="G174" i="15"/>
  <c r="G165" i="15"/>
  <c r="G162" i="15"/>
  <c r="G140" i="15"/>
  <c r="G139" i="15"/>
  <c r="G126" i="15"/>
  <c r="G125" i="15"/>
  <c r="G108" i="15"/>
  <c r="G31" i="15"/>
  <c r="G32" i="15"/>
  <c r="G33" i="15"/>
  <c r="G34" i="15"/>
  <c r="G30" i="15"/>
  <c r="G20" i="15"/>
  <c r="G21" i="15"/>
  <c r="G22" i="15"/>
  <c r="G23" i="15"/>
  <c r="G24" i="15"/>
  <c r="G7" i="15"/>
  <c r="G8" i="15"/>
  <c r="G9" i="15"/>
  <c r="G10" i="15"/>
  <c r="G11" i="15"/>
  <c r="G12" i="15"/>
  <c r="G13" i="15"/>
  <c r="G14" i="15"/>
  <c r="G15" i="15"/>
  <c r="G163" i="15"/>
  <c r="S27" i="39" l="1" a="1"/>
  <c r="S27" i="39" s="1"/>
  <c r="T28" i="39" s="1"/>
  <c r="AA27" i="39" a="1"/>
  <c r="AA27" i="39" s="1"/>
  <c r="AB28" i="39" s="1"/>
  <c r="AE25" i="39" a="1"/>
  <c r="AE25" i="39" s="1"/>
  <c r="AF26" i="39" s="1"/>
  <c r="FW25" i="39" a="1"/>
  <c r="FW25" i="39" s="1"/>
  <c r="FX26" i="39" s="1"/>
  <c r="GU25" i="39" a="1"/>
  <c r="GU25" i="39" s="1"/>
  <c r="GV26" i="39" s="1"/>
  <c r="DC25" i="39" a="1"/>
  <c r="DC25" i="39" s="1"/>
  <c r="DD26" i="39" s="1"/>
  <c r="FW19" i="39" a="1"/>
  <c r="FW19" i="39" s="1"/>
  <c r="FX21" i="39" s="1"/>
  <c r="EY25" i="39" a="1"/>
  <c r="EY25" i="39" s="1"/>
  <c r="EZ26" i="39" s="1"/>
  <c r="AI19" i="39" a="1"/>
  <c r="AI19" i="39" s="1"/>
  <c r="AJ21" i="39" s="1"/>
  <c r="AI25" i="39" a="1"/>
  <c r="AI25" i="39" s="1"/>
  <c r="AJ26" i="39" s="1"/>
  <c r="GU27" i="39" a="1"/>
  <c r="GU27" i="39" s="1"/>
  <c r="GV28" i="39" s="1"/>
  <c r="GU19" i="39" a="1"/>
  <c r="GU19" i="39" s="1"/>
  <c r="GV21" i="39" s="1"/>
  <c r="BG25" i="39" a="1"/>
  <c r="BG25" i="39" s="1"/>
  <c r="BH26" i="39" s="1"/>
  <c r="EA19" i="39" a="1"/>
  <c r="EA19" i="39" s="1"/>
  <c r="EB21" i="39" s="1"/>
  <c r="O27" i="39" a="1"/>
  <c r="O27" i="39" s="1"/>
  <c r="P28" i="39" s="1"/>
  <c r="CE27" i="39" a="1"/>
  <c r="CE27" i="39" s="1"/>
  <c r="CF28" i="39" s="1"/>
  <c r="EY19" i="39" a="1"/>
  <c r="EY19" i="39" s="1"/>
  <c r="EZ21" i="39" s="1"/>
  <c r="DC19" i="39" a="1"/>
  <c r="DC19" i="39" s="1"/>
  <c r="DD21" i="39" s="1"/>
  <c r="EA25" i="39" a="1"/>
  <c r="EA25" i="39" s="1"/>
  <c r="EB26" i="39" s="1"/>
  <c r="BG19" i="39" a="1"/>
  <c r="BG19" i="39" s="1"/>
  <c r="BH21" i="39" s="1"/>
  <c r="AE19" i="39" a="1"/>
  <c r="AE19" i="39" s="1"/>
  <c r="AF21" i="39" s="1"/>
  <c r="FW27" i="39" a="1"/>
  <c r="FW27" i="39" s="1"/>
  <c r="FX28" i="39" s="1"/>
  <c r="AI27" i="39" a="1"/>
  <c r="AI27" i="39" s="1"/>
  <c r="AJ28" i="39" s="1"/>
  <c r="O25" i="39" a="1"/>
  <c r="O25" i="39" s="1"/>
  <c r="P26" i="39" s="1"/>
  <c r="AA19" i="39" a="1"/>
  <c r="AA19" i="39" s="1"/>
  <c r="AB21" i="39" s="1"/>
  <c r="EA27" i="39" a="1"/>
  <c r="EA27" i="39" s="1"/>
  <c r="EB28" i="39" s="1"/>
  <c r="CI19" i="39" a="1"/>
  <c r="CI19" i="39" s="1"/>
  <c r="CJ21" i="39" s="1"/>
  <c r="CE25" i="39" a="1"/>
  <c r="CE25" i="39" s="1"/>
  <c r="CF26" i="39" s="1"/>
  <c r="EY27" i="39" a="1"/>
  <c r="EY27" i="39" s="1"/>
  <c r="EZ28" i="39" s="1"/>
  <c r="W25" i="39" a="1"/>
  <c r="W25" i="39" s="1"/>
  <c r="X26" i="39" s="1"/>
  <c r="CE19" i="39" a="1"/>
  <c r="CE19" i="39" s="1"/>
  <c r="CF21" i="39" s="1"/>
  <c r="AA25" i="39" a="1"/>
  <c r="AA25" i="39" s="1"/>
  <c r="AB26" i="39" s="1"/>
  <c r="W19" i="39" a="1"/>
  <c r="W19" i="39" s="1"/>
  <c r="X21" i="39" s="1"/>
  <c r="W27" i="39" a="1"/>
  <c r="W27" i="39" s="1"/>
  <c r="X28" i="39" s="1"/>
  <c r="BG27" i="39" a="1"/>
  <c r="BG27" i="39" s="1"/>
  <c r="BH28" i="39" s="1"/>
  <c r="CI27" i="39" a="1"/>
  <c r="CI27" i="39" s="1"/>
  <c r="CJ28" i="39" s="1"/>
  <c r="DC27" i="39" a="1"/>
  <c r="DC27" i="39" s="1"/>
  <c r="DD28" i="39" s="1"/>
  <c r="S25" i="39" a="1"/>
  <c r="S25" i="39" s="1"/>
  <c r="T26" i="39" s="1"/>
  <c r="AE27" i="39" a="1"/>
  <c r="AE27" i="39" s="1"/>
  <c r="AF28" i="39" s="1"/>
  <c r="S19" i="39" a="1"/>
  <c r="S19" i="39" s="1"/>
  <c r="T21" i="39" s="1"/>
  <c r="S30" i="39" s="1" a="1"/>
  <c r="S30" i="39" s="1"/>
  <c r="O19" i="39" a="1"/>
  <c r="O19" i="39" s="1"/>
  <c r="P21" i="39" s="1"/>
  <c r="O30" i="39" s="1" a="1"/>
  <c r="O30" i="39" s="1"/>
  <c r="CI25" i="39" a="1"/>
  <c r="CI25" i="39" s="1"/>
  <c r="CJ26" i="39" s="1"/>
  <c r="GA25" i="39" a="1"/>
  <c r="GA25" i="39" s="1"/>
  <c r="GB26" i="39" s="1"/>
  <c r="GA19" i="39" a="1"/>
  <c r="GA19" i="39" s="1"/>
  <c r="GB21" i="39" s="1"/>
  <c r="CM19" i="39" a="1"/>
  <c r="CM19" i="39" s="1"/>
  <c r="CN21" i="39" s="1"/>
  <c r="BK19" i="39" a="1"/>
  <c r="BK19" i="39" s="1"/>
  <c r="BL21" i="39" s="1"/>
  <c r="FC25" i="39" a="1"/>
  <c r="FC25" i="39" s="1"/>
  <c r="FD26" i="39" s="1"/>
  <c r="CM27" i="39" a="1"/>
  <c r="CM27" i="39" s="1"/>
  <c r="CN28" i="39" s="1"/>
  <c r="AM25" i="39" a="1"/>
  <c r="AM25" i="39" s="1"/>
  <c r="AN26" i="39" s="1"/>
  <c r="BK27" i="39" a="1"/>
  <c r="BK27" i="39" s="1"/>
  <c r="BL28" i="39" s="1"/>
  <c r="DG27" i="39" a="1"/>
  <c r="DG27" i="39" s="1"/>
  <c r="DH28" i="39" s="1"/>
  <c r="CM25" i="39" a="1"/>
  <c r="CM25" i="39" s="1"/>
  <c r="CN26" i="39" s="1"/>
  <c r="EE19" i="39" a="1"/>
  <c r="EE19" i="39" s="1"/>
  <c r="EF21" i="39" s="1"/>
  <c r="AM27" i="39" a="1"/>
  <c r="AM27" i="39" s="1"/>
  <c r="AN28" i="39" s="1"/>
  <c r="EE25" i="39" a="1"/>
  <c r="EE25" i="39" s="1"/>
  <c r="EF26" i="39" s="1"/>
  <c r="FC19" i="39" a="1"/>
  <c r="FC19" i="39" s="1"/>
  <c r="FD21" i="39" s="1"/>
  <c r="AM19" i="39" a="1"/>
  <c r="AM19" i="39" s="1"/>
  <c r="AN21" i="39" s="1"/>
  <c r="BK25" i="39" a="1"/>
  <c r="BK25" i="39" s="1"/>
  <c r="BL26" i="39" s="1"/>
  <c r="DG25" i="39" a="1"/>
  <c r="DG25" i="39" s="1"/>
  <c r="DH26" i="39" s="1"/>
  <c r="FC27" i="39" a="1"/>
  <c r="FC27" i="39" s="1"/>
  <c r="FD28" i="39" s="1"/>
  <c r="GA27" i="39" a="1"/>
  <c r="GA27" i="39" s="1"/>
  <c r="GB28" i="39" s="1"/>
  <c r="EE27" i="39" a="1"/>
  <c r="EE27" i="39" s="1"/>
  <c r="EF28" i="39" s="1"/>
  <c r="DG19" i="39" a="1"/>
  <c r="DG19" i="39" s="1"/>
  <c r="DH21" i="39" s="1"/>
  <c r="CQ27" i="39" a="1"/>
  <c r="CQ27" i="39" s="1"/>
  <c r="CR28" i="39" s="1"/>
  <c r="FG25" i="39" a="1"/>
  <c r="FG25" i="39" s="1"/>
  <c r="FH26" i="39" s="1"/>
  <c r="EI19" i="39" a="1"/>
  <c r="EI19" i="39" s="1"/>
  <c r="EJ21" i="39" s="1"/>
  <c r="CQ19" i="39" a="1"/>
  <c r="CQ19" i="39" s="1"/>
  <c r="CR21" i="39" s="1"/>
  <c r="BO27" i="39" a="1"/>
  <c r="BO27" i="39" s="1"/>
  <c r="BP28" i="39" s="1"/>
  <c r="GE27" i="39" a="1"/>
  <c r="GE27" i="39" s="1"/>
  <c r="GF28" i="39" s="1"/>
  <c r="EI25" i="39" a="1"/>
  <c r="EI25" i="39" s="1"/>
  <c r="EJ26" i="39" s="1"/>
  <c r="BO19" i="39" a="1"/>
  <c r="BO19" i="39" s="1"/>
  <c r="BP21" i="39" s="1"/>
  <c r="AQ19" i="39" a="1"/>
  <c r="AQ19" i="39" s="1"/>
  <c r="AR21" i="39" s="1"/>
  <c r="FG27" i="39" a="1"/>
  <c r="FG27" i="39" s="1"/>
  <c r="FH28" i="39" s="1"/>
  <c r="GE25" i="39" a="1"/>
  <c r="GE25" i="39" s="1"/>
  <c r="GF26" i="39" s="1"/>
  <c r="AQ27" i="39" a="1"/>
  <c r="AQ27" i="39" s="1"/>
  <c r="AR28" i="39" s="1"/>
  <c r="EI27" i="39" a="1"/>
  <c r="EI27" i="39" s="1"/>
  <c r="EJ28" i="39" s="1"/>
  <c r="AQ25" i="39" a="1"/>
  <c r="AQ25" i="39" s="1"/>
  <c r="AR26" i="39" s="1"/>
  <c r="GE19" i="39" a="1"/>
  <c r="GE19" i="39" s="1"/>
  <c r="GF21" i="39" s="1"/>
  <c r="DK19" i="39" a="1"/>
  <c r="DK19" i="39" s="1"/>
  <c r="DL21" i="39" s="1"/>
  <c r="FG19" i="39" a="1"/>
  <c r="FG19" i="39" s="1"/>
  <c r="FH21" i="39" s="1"/>
  <c r="DK25" i="39" a="1"/>
  <c r="DK25" i="39" s="1"/>
  <c r="DL26" i="39" s="1"/>
  <c r="CQ25" i="39" a="1"/>
  <c r="CQ25" i="39" s="1"/>
  <c r="CR26" i="39" s="1"/>
  <c r="BO25" i="39" a="1"/>
  <c r="BO25" i="39" s="1"/>
  <c r="BP26" i="39" s="1"/>
  <c r="DK27" i="39" a="1"/>
  <c r="DK27" i="39" s="1"/>
  <c r="DL28" i="39" s="1"/>
  <c r="CU19" i="39" a="1"/>
  <c r="CU19" i="39" s="1"/>
  <c r="CV21" i="39" s="1"/>
  <c r="AU27" i="39" a="1"/>
  <c r="AU27" i="39" s="1"/>
  <c r="AV28" i="39" s="1"/>
  <c r="GI19" i="39" a="1"/>
  <c r="GI19" i="39" s="1"/>
  <c r="GJ21" i="39" s="1"/>
  <c r="CU27" i="39" a="1"/>
  <c r="CU27" i="39" s="1"/>
  <c r="CV28" i="39" s="1"/>
  <c r="FK27" i="39" a="1"/>
  <c r="FK27" i="39" s="1"/>
  <c r="FL28" i="39" s="1"/>
  <c r="GI25" i="39" a="1"/>
  <c r="GI25" i="39" s="1"/>
  <c r="GJ26" i="39" s="1"/>
  <c r="AU25" i="39" a="1"/>
  <c r="AU25" i="39" s="1"/>
  <c r="AV26" i="39" s="1"/>
  <c r="FK19" i="39" a="1"/>
  <c r="FK19" i="39" s="1"/>
  <c r="FL21" i="39" s="1"/>
  <c r="EM25" i="39" a="1"/>
  <c r="EM25" i="39" s="1"/>
  <c r="EN26" i="39" s="1"/>
  <c r="BS27" i="39" a="1"/>
  <c r="BS27" i="39" s="1"/>
  <c r="BT28" i="39" s="1"/>
  <c r="DO19" i="39" a="1"/>
  <c r="DO19" i="39" s="1"/>
  <c r="DP21" i="39" s="1"/>
  <c r="AU19" i="39" a="1"/>
  <c r="AU19" i="39" s="1"/>
  <c r="AV21" i="39" s="1"/>
  <c r="DO25" i="39" a="1"/>
  <c r="DO25" i="39" s="1"/>
  <c r="DP26" i="39" s="1"/>
  <c r="GI27" i="39" a="1"/>
  <c r="GI27" i="39" s="1"/>
  <c r="GJ28" i="39" s="1"/>
  <c r="EM27" i="39" a="1"/>
  <c r="EM27" i="39" s="1"/>
  <c r="EN28" i="39" s="1"/>
  <c r="CU25" i="39" a="1"/>
  <c r="CU25" i="39" s="1"/>
  <c r="CV26" i="39" s="1"/>
  <c r="BS25" i="39" a="1"/>
  <c r="BS25" i="39" s="1"/>
  <c r="BT26" i="39" s="1"/>
  <c r="DO27" i="39" a="1"/>
  <c r="DO27" i="39" s="1"/>
  <c r="DP28" i="39" s="1"/>
  <c r="EM19" i="39" a="1"/>
  <c r="EM19" i="39" s="1"/>
  <c r="EN21" i="39" s="1"/>
  <c r="FK25" i="39" a="1"/>
  <c r="FK25" i="39" s="1"/>
  <c r="FL26" i="39" s="1"/>
  <c r="BS19" i="39" a="1"/>
  <c r="BS19" i="39" s="1"/>
  <c r="BT21" i="39" s="1"/>
  <c r="DS25" i="39" a="1"/>
  <c r="DS25" i="39" s="1"/>
  <c r="DT26" i="39" s="1"/>
  <c r="DS27" i="39" a="1"/>
  <c r="DS27" i="39" s="1"/>
  <c r="DT28" i="39" s="1"/>
  <c r="FO27" i="39" a="1"/>
  <c r="FO27" i="39" s="1"/>
  <c r="FP28" i="39" s="1"/>
  <c r="AY25" i="39" a="1"/>
  <c r="AY25" i="39" s="1"/>
  <c r="AZ26" i="39" s="1"/>
  <c r="EQ19" i="39" a="1"/>
  <c r="EQ19" i="39" s="1"/>
  <c r="ER21" i="39" s="1"/>
  <c r="BW25" i="39" a="1"/>
  <c r="BW25" i="39" s="1"/>
  <c r="BX26" i="39" s="1"/>
  <c r="BW19" i="39" a="1"/>
  <c r="BW19" i="39" s="1"/>
  <c r="BX21" i="39" s="1"/>
  <c r="AY27" i="39" a="1"/>
  <c r="AY27" i="39" s="1"/>
  <c r="AZ28" i="39" s="1"/>
  <c r="EQ27" i="39" a="1"/>
  <c r="EQ27" i="39" s="1"/>
  <c r="ER28" i="39" s="1"/>
  <c r="BW27" i="39" a="1"/>
  <c r="BW27" i="39" s="1"/>
  <c r="BX28" i="39" s="1"/>
  <c r="FO19" i="39" a="1"/>
  <c r="FO19" i="39" s="1"/>
  <c r="FP21" i="39" s="1"/>
  <c r="AY19" i="39" a="1"/>
  <c r="AY19" i="39" s="1"/>
  <c r="AZ21" i="39" s="1"/>
  <c r="CY27" i="39" a="1"/>
  <c r="CY27" i="39" s="1"/>
  <c r="CZ28" i="39" s="1"/>
  <c r="EQ25" i="39" a="1"/>
  <c r="EQ25" i="39" s="1"/>
  <c r="ER26" i="39" s="1"/>
  <c r="DS19" i="39" a="1"/>
  <c r="DS19" i="39" s="1"/>
  <c r="DT21" i="39" s="1"/>
  <c r="GM25" i="39" a="1"/>
  <c r="GM25" i="39" s="1"/>
  <c r="GN26" i="39" s="1"/>
  <c r="CY25" i="39" a="1"/>
  <c r="CY25" i="39" s="1"/>
  <c r="CZ26" i="39" s="1"/>
  <c r="GM27" i="39" a="1"/>
  <c r="GM27" i="39" s="1"/>
  <c r="GN28" i="39" s="1"/>
  <c r="CY19" i="39" a="1"/>
  <c r="CY19" i="39" s="1"/>
  <c r="CZ21" i="39" s="1"/>
  <c r="GM19" i="39" a="1"/>
  <c r="GM19" i="39" s="1"/>
  <c r="GN21" i="39" s="1"/>
  <c r="FO25" i="39" a="1"/>
  <c r="FO25" i="39" s="1"/>
  <c r="FP26" i="39" s="1"/>
  <c r="EU27" i="39" a="1"/>
  <c r="EU27" i="39" s="1"/>
  <c r="EV28" i="39" s="1"/>
  <c r="EU25" i="39" a="1"/>
  <c r="EU25" i="39" s="1"/>
  <c r="EV26" i="39" s="1"/>
  <c r="GQ25" i="39" a="1"/>
  <c r="GQ25" i="39" s="1"/>
  <c r="GR26" i="39" s="1"/>
  <c r="CA25" i="39" a="1"/>
  <c r="CA25" i="39" s="1"/>
  <c r="CB26" i="39" s="1"/>
  <c r="DW27" i="39" a="1"/>
  <c r="DW27" i="39" s="1"/>
  <c r="DX28" i="39" s="1"/>
  <c r="FS27" i="39" a="1"/>
  <c r="FS27" i="39" s="1"/>
  <c r="FT28" i="39" s="1"/>
  <c r="FS25" i="39" a="1"/>
  <c r="FS25" i="39" s="1"/>
  <c r="FT26" i="39" s="1"/>
  <c r="GQ19" i="39" a="1"/>
  <c r="GQ19" i="39" s="1"/>
  <c r="GR21" i="39" s="1"/>
  <c r="CA19" i="39" a="1"/>
  <c r="CA19" i="39" s="1"/>
  <c r="CB21" i="39" s="1"/>
  <c r="CA27" i="39" a="1"/>
  <c r="CA27" i="39" s="1"/>
  <c r="CB28" i="39" s="1"/>
  <c r="BC27" i="39" a="1"/>
  <c r="BC27" i="39" s="1"/>
  <c r="BD28" i="39" s="1"/>
  <c r="FS19" i="39" a="1"/>
  <c r="FS19" i="39" s="1"/>
  <c r="FT21" i="39" s="1"/>
  <c r="BC25" i="39" a="1"/>
  <c r="BC25" i="39" s="1"/>
  <c r="BD26" i="39" s="1"/>
  <c r="EU19" i="39" a="1"/>
  <c r="EU19" i="39" s="1"/>
  <c r="EV21" i="39" s="1"/>
  <c r="GQ27" i="39" a="1"/>
  <c r="GQ27" i="39" s="1"/>
  <c r="GR28" i="39" s="1"/>
  <c r="BC19" i="39" a="1"/>
  <c r="BC19" i="39" s="1"/>
  <c r="BD21" i="39" s="1"/>
  <c r="DW25" i="39" a="1"/>
  <c r="DW25" i="39" s="1"/>
  <c r="DX26" i="39" s="1"/>
  <c r="DW19" i="39" a="1"/>
  <c r="DW19" i="39" s="1"/>
  <c r="DX21" i="39" s="1"/>
  <c r="CE27" i="38" a="1"/>
  <c r="CE27" i="38" s="1"/>
  <c r="CF28" i="38" s="1"/>
  <c r="EA25" i="38" a="1"/>
  <c r="EA25" i="38" s="1"/>
  <c r="EB26" i="38" s="1"/>
  <c r="FW25" i="38" a="1"/>
  <c r="FW25" i="38" s="1"/>
  <c r="FX26" i="38" s="1"/>
  <c r="GU25" i="38" a="1"/>
  <c r="GU25" i="38" s="1"/>
  <c r="GV26" i="38" s="1"/>
  <c r="AE27" i="38" a="1"/>
  <c r="AE27" i="38" s="1"/>
  <c r="AF28" i="38" s="1"/>
  <c r="EY27" i="38" a="1"/>
  <c r="EY27" i="38" s="1"/>
  <c r="EZ28" i="38" s="1"/>
  <c r="S25" i="38" a="1"/>
  <c r="S25" i="38" s="1"/>
  <c r="T26" i="38" s="1"/>
  <c r="AI25" i="38" a="1"/>
  <c r="AI25" i="38" s="1"/>
  <c r="AJ26" i="38" s="1"/>
  <c r="AE25" i="38" a="1"/>
  <c r="AE25" i="38" s="1"/>
  <c r="AF26" i="38" s="1"/>
  <c r="O19" i="38" a="1"/>
  <c r="O19" i="38" s="1"/>
  <c r="P21" i="38" s="1"/>
  <c r="O30" i="38" s="1" a="1"/>
  <c r="O30" i="38" s="1"/>
  <c r="GA27" i="38" a="1"/>
  <c r="GA27" i="38" s="1"/>
  <c r="GB28" i="38" s="1"/>
  <c r="AA27" i="38" a="1"/>
  <c r="AA27" i="38" s="1"/>
  <c r="AB28" i="38" s="1"/>
  <c r="EI27" i="38" a="1"/>
  <c r="EI27" i="38" s="1"/>
  <c r="EJ28" i="38" s="1"/>
  <c r="DC27" i="38" a="1"/>
  <c r="DC27" i="38" s="1"/>
  <c r="DD28" i="38" s="1"/>
  <c r="FW27" i="38" a="1"/>
  <c r="FW27" i="38" s="1"/>
  <c r="FX28" i="38" s="1"/>
  <c r="EY25" i="38" a="1"/>
  <c r="EY25" i="38" s="1"/>
  <c r="EZ26" i="38" s="1"/>
  <c r="BG25" i="38" a="1"/>
  <c r="BG25" i="38" s="1"/>
  <c r="BH26" i="38" s="1"/>
  <c r="O27" i="38" a="1"/>
  <c r="O27" i="38" s="1"/>
  <c r="P28" i="38" s="1"/>
  <c r="BG27" i="38" a="1"/>
  <c r="BG27" i="38" s="1"/>
  <c r="BH28" i="38" s="1"/>
  <c r="AE19" i="38" a="1"/>
  <c r="AE19" i="38" s="1"/>
  <c r="AF21" i="38" s="1"/>
  <c r="W27" i="38" a="1"/>
  <c r="W27" i="38" s="1"/>
  <c r="X28" i="38" s="1"/>
  <c r="EE25" i="38" a="1"/>
  <c r="EE25" i="38" s="1"/>
  <c r="EF26" i="38" s="1"/>
  <c r="AA25" i="38" a="1"/>
  <c r="AA25" i="38" s="1"/>
  <c r="AB26" i="38" s="1"/>
  <c r="EE19" i="38" a="1"/>
  <c r="EE19" i="38" s="1"/>
  <c r="EF21" i="38" s="1"/>
  <c r="AA19" i="38" a="1"/>
  <c r="AA19" i="38" s="1"/>
  <c r="AB21" i="38" s="1"/>
  <c r="W25" i="38" a="1"/>
  <c r="W25" i="38" s="1"/>
  <c r="X26" i="38" s="1"/>
  <c r="S27" i="38" a="1"/>
  <c r="S27" i="38" s="1"/>
  <c r="T28" i="38" s="1"/>
  <c r="CE19" i="38" a="1"/>
  <c r="CE19" i="38" s="1"/>
  <c r="CF21" i="38" s="1"/>
  <c r="GU19" i="38" a="1"/>
  <c r="GU19" i="38" s="1"/>
  <c r="GV21" i="38" s="1"/>
  <c r="EY19" i="38" a="1"/>
  <c r="EY19" i="38" s="1"/>
  <c r="EZ21" i="38" s="1"/>
  <c r="EE27" i="38" a="1"/>
  <c r="EE27" i="38" s="1"/>
  <c r="EF28" i="38" s="1"/>
  <c r="CE25" i="38" a="1"/>
  <c r="CE25" i="38" s="1"/>
  <c r="CF26" i="38" s="1"/>
  <c r="FW19" i="38" a="1"/>
  <c r="FW19" i="38" s="1"/>
  <c r="FX21" i="38" s="1"/>
  <c r="BG19" i="38" a="1"/>
  <c r="BG19" i="38" s="1"/>
  <c r="BH21" i="38" s="1"/>
  <c r="EI19" i="38" a="1"/>
  <c r="EI19" i="38" s="1"/>
  <c r="EJ21" i="38" s="1"/>
  <c r="S19" i="38" a="1"/>
  <c r="S19" i="38" s="1"/>
  <c r="T21" i="38" s="1"/>
  <c r="S30" i="38" s="1" a="1"/>
  <c r="S30" i="38" s="1"/>
  <c r="GA25" i="38" a="1"/>
  <c r="GA25" i="38" s="1"/>
  <c r="GB26" i="38" s="1"/>
  <c r="DC25" i="38" a="1"/>
  <c r="DC25" i="38" s="1"/>
  <c r="DD26" i="38" s="1"/>
  <c r="EA27" i="38" a="1"/>
  <c r="EA27" i="38" s="1"/>
  <c r="EB28" i="38" s="1"/>
  <c r="EI25" i="38" a="1"/>
  <c r="EI25" i="38" s="1"/>
  <c r="EJ26" i="38" s="1"/>
  <c r="EA19" i="38" a="1"/>
  <c r="EA19" i="38" s="1"/>
  <c r="EB21" i="38" s="1"/>
  <c r="DC19" i="38" a="1"/>
  <c r="DC19" i="38" s="1"/>
  <c r="DD21" i="38" s="1"/>
  <c r="W19" i="38" a="1"/>
  <c r="W19" i="38" s="1"/>
  <c r="X21" i="38" s="1"/>
  <c r="O25" i="38" a="1"/>
  <c r="O25" i="38" s="1"/>
  <c r="P26" i="38" s="1"/>
  <c r="GA19" i="38" a="1"/>
  <c r="GA19" i="38" s="1"/>
  <c r="GB21" i="38" s="1"/>
  <c r="AI19" i="38" a="1"/>
  <c r="AI19" i="38" s="1"/>
  <c r="AJ21" i="38" s="1"/>
  <c r="GU27" i="38" a="1"/>
  <c r="GU27" i="38" s="1"/>
  <c r="GV28" i="38" s="1"/>
  <c r="AI27" i="38" a="1"/>
  <c r="AI27" i="38" s="1"/>
  <c r="AJ28" i="38" s="1"/>
  <c r="BK25" i="38" a="1"/>
  <c r="BK25" i="38" s="1"/>
  <c r="BL26" i="38" s="1"/>
  <c r="EM27" i="38" a="1"/>
  <c r="EM27" i="38" s="1"/>
  <c r="EN28" i="38" s="1"/>
  <c r="CI19" i="38" a="1"/>
  <c r="CI19" i="38" s="1"/>
  <c r="CJ21" i="38" s="1"/>
  <c r="AM25" i="38" a="1"/>
  <c r="AM25" i="38" s="1"/>
  <c r="AN26" i="38" s="1"/>
  <c r="FC25" i="38" a="1"/>
  <c r="FC25" i="38" s="1"/>
  <c r="FD26" i="38" s="1"/>
  <c r="FC19" i="38" a="1"/>
  <c r="FC19" i="38" s="1"/>
  <c r="FD21" i="38" s="1"/>
  <c r="DG27" i="38" a="1"/>
  <c r="DG27" i="38" s="1"/>
  <c r="DH28" i="38" s="1"/>
  <c r="GE27" i="38" a="1"/>
  <c r="GE27" i="38" s="1"/>
  <c r="GF28" i="38" s="1"/>
  <c r="AM19" i="38" a="1"/>
  <c r="AM19" i="38" s="1"/>
  <c r="AN21" i="38" s="1"/>
  <c r="GE19" i="38" a="1"/>
  <c r="GE19" i="38" s="1"/>
  <c r="GF21" i="38" s="1"/>
  <c r="GE25" i="38" a="1"/>
  <c r="GE25" i="38" s="1"/>
  <c r="GF26" i="38" s="1"/>
  <c r="BK19" i="38" a="1"/>
  <c r="BK19" i="38" s="1"/>
  <c r="BL21" i="38" s="1"/>
  <c r="EM19" i="38" a="1"/>
  <c r="EM19" i="38" s="1"/>
  <c r="EN21" i="38" s="1"/>
  <c r="CI25" i="38" a="1"/>
  <c r="CI25" i="38" s="1"/>
  <c r="CJ26" i="38" s="1"/>
  <c r="FC27" i="38" a="1"/>
  <c r="FC27" i="38" s="1"/>
  <c r="FD28" i="38" s="1"/>
  <c r="EM25" i="38" a="1"/>
  <c r="EM25" i="38" s="1"/>
  <c r="EN26" i="38" s="1"/>
  <c r="CI27" i="38" a="1"/>
  <c r="CI27" i="38" s="1"/>
  <c r="CJ28" i="38" s="1"/>
  <c r="DG19" i="38" a="1"/>
  <c r="DG19" i="38" s="1"/>
  <c r="DH21" i="38" s="1"/>
  <c r="AM27" i="38" a="1"/>
  <c r="AM27" i="38" s="1"/>
  <c r="AN28" i="38" s="1"/>
  <c r="DG25" i="38" a="1"/>
  <c r="DG25" i="38" s="1"/>
  <c r="DH26" i="38" s="1"/>
  <c r="BK27" i="38" a="1"/>
  <c r="BK27" i="38" s="1"/>
  <c r="BL28" i="38" s="1"/>
  <c r="BO27" i="38" a="1"/>
  <c r="BO27" i="38" s="1"/>
  <c r="BP28" i="38" s="1"/>
  <c r="GI19" i="38" a="1"/>
  <c r="GI19" i="38" s="1"/>
  <c r="GJ21" i="38" s="1"/>
  <c r="DK19" i="38" a="1"/>
  <c r="DK19" i="38" s="1"/>
  <c r="DL21" i="38" s="1"/>
  <c r="BO19" i="38" a="1"/>
  <c r="BO19" i="38" s="1"/>
  <c r="BP21" i="38" s="1"/>
  <c r="EQ25" i="38" a="1"/>
  <c r="EQ25" i="38" s="1"/>
  <c r="ER26" i="38" s="1"/>
  <c r="BO25" i="38" a="1"/>
  <c r="BO25" i="38" s="1"/>
  <c r="BP26" i="38" s="1"/>
  <c r="AQ27" i="38" a="1"/>
  <c r="AQ27" i="38" s="1"/>
  <c r="AR28" i="38" s="1"/>
  <c r="GI27" i="38" a="1"/>
  <c r="GI27" i="38" s="1"/>
  <c r="GJ28" i="38" s="1"/>
  <c r="EQ27" i="38" a="1"/>
  <c r="EQ27" i="38" s="1"/>
  <c r="ER28" i="38" s="1"/>
  <c r="DK25" i="38" a="1"/>
  <c r="DK25" i="38" s="1"/>
  <c r="DL26" i="38" s="1"/>
  <c r="CM25" i="38" a="1"/>
  <c r="CM25" i="38" s="1"/>
  <c r="CN26" i="38" s="1"/>
  <c r="AQ25" i="38" a="1"/>
  <c r="AQ25" i="38" s="1"/>
  <c r="AR26" i="38" s="1"/>
  <c r="AQ19" i="38" a="1"/>
  <c r="AQ19" i="38" s="1"/>
  <c r="AR21" i="38" s="1"/>
  <c r="GI25" i="38" a="1"/>
  <c r="GI25" i="38" s="1"/>
  <c r="GJ26" i="38" s="1"/>
  <c r="EQ19" i="38" a="1"/>
  <c r="EQ19" i="38" s="1"/>
  <c r="ER21" i="38" s="1"/>
  <c r="FG19" i="38" a="1"/>
  <c r="FG19" i="38" s="1"/>
  <c r="FH21" i="38" s="1"/>
  <c r="CM27" i="38" a="1"/>
  <c r="CM27" i="38" s="1"/>
  <c r="CN28" i="38" s="1"/>
  <c r="CM19" i="38" a="1"/>
  <c r="CM19" i="38" s="1"/>
  <c r="CN21" i="38" s="1"/>
  <c r="FG25" i="38" a="1"/>
  <c r="FG25" i="38" s="1"/>
  <c r="FH26" i="38" s="1"/>
  <c r="DK27" i="38" a="1"/>
  <c r="DK27" i="38" s="1"/>
  <c r="DL28" i="38" s="1"/>
  <c r="FG27" i="38" a="1"/>
  <c r="FG27" i="38" s="1"/>
  <c r="FH28" i="38" s="1"/>
  <c r="FK25" i="38" a="1"/>
  <c r="FK25" i="38" s="1"/>
  <c r="FL26" i="38" s="1"/>
  <c r="DO27" i="38" a="1"/>
  <c r="DO27" i="38" s="1"/>
  <c r="DP28" i="38" s="1"/>
  <c r="EU27" i="38" a="1"/>
  <c r="EU27" i="38" s="1"/>
  <c r="EV28" i="38" s="1"/>
  <c r="CQ19" i="38" a="1"/>
  <c r="CQ19" i="38" s="1"/>
  <c r="CR21" i="38" s="1"/>
  <c r="AU19" i="38" a="1"/>
  <c r="AU19" i="38" s="1"/>
  <c r="AV21" i="38" s="1"/>
  <c r="BS25" i="38" a="1"/>
  <c r="BS25" i="38" s="1"/>
  <c r="BT26" i="38" s="1"/>
  <c r="GM19" i="38" a="1"/>
  <c r="GM19" i="38" s="1"/>
  <c r="GN21" i="38" s="1"/>
  <c r="FK27" i="38" a="1"/>
  <c r="FK27" i="38" s="1"/>
  <c r="FL28" i="38" s="1"/>
  <c r="CQ25" i="38" a="1"/>
  <c r="CQ25" i="38" s="1"/>
  <c r="CR26" i="38" s="1"/>
  <c r="EU25" i="38" a="1"/>
  <c r="EU25" i="38" s="1"/>
  <c r="EV26" i="38" s="1"/>
  <c r="GM27" i="38" a="1"/>
  <c r="GM27" i="38" s="1"/>
  <c r="GN28" i="38" s="1"/>
  <c r="AU25" i="38" a="1"/>
  <c r="AU25" i="38" s="1"/>
  <c r="AV26" i="38" s="1"/>
  <c r="FK19" i="38" a="1"/>
  <c r="FK19" i="38" s="1"/>
  <c r="FL21" i="38" s="1"/>
  <c r="DO25" i="38" a="1"/>
  <c r="DO25" i="38" s="1"/>
  <c r="DP26" i="38" s="1"/>
  <c r="CQ27" i="38" a="1"/>
  <c r="CQ27" i="38" s="1"/>
  <c r="CR28" i="38" s="1"/>
  <c r="EU19" i="38" a="1"/>
  <c r="EU19" i="38" s="1"/>
  <c r="EV21" i="38" s="1"/>
  <c r="GM25" i="38" a="1"/>
  <c r="GM25" i="38" s="1"/>
  <c r="GN26" i="38" s="1"/>
  <c r="AU27" i="38" a="1"/>
  <c r="AU27" i="38" s="1"/>
  <c r="AV28" i="38" s="1"/>
  <c r="DO19" i="38" a="1"/>
  <c r="DO19" i="38" s="1"/>
  <c r="DP21" i="38" s="1"/>
  <c r="BS27" i="38" a="1"/>
  <c r="BS27" i="38" s="1"/>
  <c r="BT28" i="38" s="1"/>
  <c r="BS19" i="38" a="1"/>
  <c r="BS19" i="38" s="1"/>
  <c r="BT21" i="38" s="1"/>
  <c r="DS25" i="38" a="1"/>
  <c r="DS25" i="38" s="1"/>
  <c r="DT26" i="38" s="1"/>
  <c r="AY19" i="38" a="1"/>
  <c r="AY19" i="38" s="1"/>
  <c r="AZ21" i="38" s="1"/>
  <c r="GQ19" i="38" a="1"/>
  <c r="GQ19" i="38" s="1"/>
  <c r="GR21" i="38" s="1"/>
  <c r="DS27" i="38" a="1"/>
  <c r="DS27" i="38" s="1"/>
  <c r="DT28" i="38" s="1"/>
  <c r="BW27" i="38" a="1"/>
  <c r="BW27" i="38" s="1"/>
  <c r="BX28" i="38" s="1"/>
  <c r="GQ25" i="38" a="1"/>
  <c r="GQ25" i="38" s="1"/>
  <c r="GR26" i="38" s="1"/>
  <c r="CU25" i="38" a="1"/>
  <c r="CU25" i="38" s="1"/>
  <c r="CV26" i="38" s="1"/>
  <c r="CU27" i="38" a="1"/>
  <c r="CU27" i="38" s="1"/>
  <c r="CV28" i="38" s="1"/>
  <c r="FO27" i="38" a="1"/>
  <c r="FO27" i="38" s="1"/>
  <c r="FP28" i="38" s="1"/>
  <c r="CU19" i="38" a="1"/>
  <c r="CU19" i="38" s="1"/>
  <c r="CV21" i="38" s="1"/>
  <c r="BW19" i="38" a="1"/>
  <c r="BW19" i="38" s="1"/>
  <c r="BX21" i="38" s="1"/>
  <c r="GQ27" i="38" a="1"/>
  <c r="GQ27" i="38" s="1"/>
  <c r="GR28" i="38" s="1"/>
  <c r="AY27" i="38" a="1"/>
  <c r="AY27" i="38" s="1"/>
  <c r="AZ28" i="38" s="1"/>
  <c r="FO25" i="38" a="1"/>
  <c r="FO25" i="38" s="1"/>
  <c r="FP26" i="38" s="1"/>
  <c r="DS19" i="38" a="1"/>
  <c r="DS19" i="38" s="1"/>
  <c r="DT21" i="38" s="1"/>
  <c r="AY25" i="38" a="1"/>
  <c r="AY25" i="38" s="1"/>
  <c r="AZ26" i="38" s="1"/>
  <c r="BW25" i="38" a="1"/>
  <c r="BW25" i="38" s="1"/>
  <c r="BX26" i="38" s="1"/>
  <c r="FO19" i="38" a="1"/>
  <c r="FO19" i="38" s="1"/>
  <c r="FP21" i="38" s="1"/>
  <c r="FS19" i="38" a="1"/>
  <c r="FS19" i="38" s="1"/>
  <c r="FT21" i="38" s="1"/>
  <c r="CA25" i="38" a="1"/>
  <c r="CA25" i="38" s="1"/>
  <c r="CB26" i="38" s="1"/>
  <c r="BC19" i="38" a="1"/>
  <c r="BC19" i="38" s="1"/>
  <c r="BD21" i="38" s="1"/>
  <c r="DW27" i="38" a="1"/>
  <c r="DW27" i="38" s="1"/>
  <c r="DX28" i="38" s="1"/>
  <c r="CY19" i="38" a="1"/>
  <c r="CY19" i="38" s="1"/>
  <c r="CZ21" i="38" s="1"/>
  <c r="CA27" i="38" a="1"/>
  <c r="CA27" i="38" s="1"/>
  <c r="CB28" i="38" s="1"/>
  <c r="CY25" i="38" a="1"/>
  <c r="CY25" i="38" s="1"/>
  <c r="CZ26" i="38" s="1"/>
  <c r="DW25" i="38" a="1"/>
  <c r="DW25" i="38" s="1"/>
  <c r="DX26" i="38" s="1"/>
  <c r="FS25" i="38" a="1"/>
  <c r="FS25" i="38" s="1"/>
  <c r="FT26" i="38" s="1"/>
  <c r="BC27" i="38" a="1"/>
  <c r="BC27" i="38" s="1"/>
  <c r="BD28" i="38" s="1"/>
  <c r="DW19" i="38" a="1"/>
  <c r="DW19" i="38" s="1"/>
  <c r="DX21" i="38" s="1"/>
  <c r="BC25" i="38" a="1"/>
  <c r="BC25" i="38" s="1"/>
  <c r="BD26" i="38" s="1"/>
  <c r="FS27" i="38" a="1"/>
  <c r="FS27" i="38" s="1"/>
  <c r="FT28" i="38" s="1"/>
  <c r="CY27" i="38" a="1"/>
  <c r="CY27" i="38" s="1"/>
  <c r="CZ28" i="38" s="1"/>
  <c r="CA19" i="38" a="1"/>
  <c r="CA19" i="38" s="1"/>
  <c r="CB21" i="38" s="1"/>
  <c r="BS25" i="36" a="1"/>
  <c r="BS25" i="36" s="1"/>
  <c r="BT26" i="36" s="1"/>
  <c r="CI25" i="36" a="1"/>
  <c r="CI25" i="36" s="1"/>
  <c r="CJ26" i="36" s="1"/>
  <c r="BG25" i="36" a="1"/>
  <c r="BG25" i="36" s="1"/>
  <c r="BH26" i="36" s="1"/>
  <c r="EI27" i="36" a="1"/>
  <c r="EI27" i="36" s="1"/>
  <c r="EJ28" i="36" s="1"/>
  <c r="CM25" i="36" a="1"/>
  <c r="CM25" i="36" s="1"/>
  <c r="CN26" i="36" s="1"/>
  <c r="FK25" i="36" a="1"/>
  <c r="FK25" i="36" s="1"/>
  <c r="FL26" i="36" s="1"/>
  <c r="GI25" i="36" a="1"/>
  <c r="GI25" i="36" s="1"/>
  <c r="GJ26" i="36" s="1"/>
  <c r="GM25" i="36" a="1"/>
  <c r="GM25" i="36" s="1"/>
  <c r="GN26" i="36" s="1"/>
  <c r="CQ19" i="36" a="1"/>
  <c r="CQ19" i="36" s="1"/>
  <c r="CR21" i="36" s="1"/>
  <c r="AQ19" i="36" a="1"/>
  <c r="AQ19" i="36" s="1"/>
  <c r="AR21" i="36" s="1"/>
  <c r="FW27" i="36" a="1"/>
  <c r="FW27" i="36" s="1"/>
  <c r="FX28" i="36" s="1"/>
  <c r="O25" i="36" a="1"/>
  <c r="O25" i="36" s="1"/>
  <c r="P26" i="36" s="1"/>
  <c r="AA27" i="36" a="1"/>
  <c r="AA27" i="36" s="1"/>
  <c r="AB28" i="36" s="1"/>
  <c r="GU19" i="36" a="1"/>
  <c r="GU19" i="36" s="1"/>
  <c r="GV21" i="36" s="1"/>
  <c r="CA27" i="36" a="1"/>
  <c r="CA27" i="36" s="1"/>
  <c r="CB28" i="36" s="1"/>
  <c r="GQ27" i="36" a="1"/>
  <c r="GQ27" i="36" s="1"/>
  <c r="GR28" i="36" s="1"/>
  <c r="FK27" i="36" a="1"/>
  <c r="FK27" i="36" s="1"/>
  <c r="FL28" i="36" s="1"/>
  <c r="DG25" i="36" a="1"/>
  <c r="DG25" i="36" s="1"/>
  <c r="DH26" i="36" s="1"/>
  <c r="O27" i="36" a="1"/>
  <c r="O27" i="36" s="1"/>
  <c r="P28" i="36" s="1"/>
  <c r="S25" i="36" a="1"/>
  <c r="S25" i="36" s="1"/>
  <c r="T26" i="36" s="1"/>
  <c r="FG19" i="36" a="1"/>
  <c r="FG19" i="36" s="1"/>
  <c r="FH21" i="36" s="1"/>
  <c r="FH22" i="36" s="1"/>
  <c r="W19" i="36" a="1"/>
  <c r="W19" i="36" s="1"/>
  <c r="X21" i="36" s="1"/>
  <c r="X23" i="36" s="1"/>
  <c r="AA25" i="36" a="1"/>
  <c r="AA25" i="36" s="1"/>
  <c r="AB26" i="36" s="1"/>
  <c r="GU27" i="36" a="1"/>
  <c r="GU27" i="36" s="1"/>
  <c r="GV28" i="36" s="1"/>
  <c r="W25" i="36" a="1"/>
  <c r="W25" i="36" s="1"/>
  <c r="X26" i="36" s="1"/>
  <c r="AE27" i="36" a="1"/>
  <c r="AE27" i="36" s="1"/>
  <c r="AF28" i="36" s="1"/>
  <c r="FS27" i="36" a="1"/>
  <c r="FS27" i="36" s="1"/>
  <c r="FT28" i="36" s="1"/>
  <c r="GI27" i="36" a="1"/>
  <c r="GI27" i="36" s="1"/>
  <c r="GJ28" i="36" s="1"/>
  <c r="DK27" i="36" a="1"/>
  <c r="DK27" i="36" s="1"/>
  <c r="DL28" i="36" s="1"/>
  <c r="CI27" i="36" a="1"/>
  <c r="CI27" i="36" s="1"/>
  <c r="CJ28" i="36" s="1"/>
  <c r="AE19" i="36" a="1"/>
  <c r="AE19" i="36" s="1"/>
  <c r="AF21" i="36" s="1"/>
  <c r="AF22" i="36" s="1"/>
  <c r="FC19" i="36" a="1"/>
  <c r="FC19" i="36" s="1"/>
  <c r="FD21" i="36" s="1"/>
  <c r="FD23" i="36" s="1"/>
  <c r="BG19" i="36" a="1"/>
  <c r="BG19" i="36" s="1"/>
  <c r="BH21" i="36" s="1"/>
  <c r="DK19" i="36" a="1"/>
  <c r="DK19" i="36" s="1"/>
  <c r="DL21" i="36" s="1"/>
  <c r="W27" i="36" a="1"/>
  <c r="W27" i="36" s="1"/>
  <c r="X28" i="36" s="1"/>
  <c r="AA19" i="36" a="1"/>
  <c r="AA19" i="36" s="1"/>
  <c r="AB21" i="36" s="1"/>
  <c r="AB23" i="36" s="1"/>
  <c r="FW19" i="36" a="1"/>
  <c r="FW19" i="36" s="1"/>
  <c r="FX21" i="36" s="1"/>
  <c r="FX23" i="36" s="1"/>
  <c r="DO27" i="36" a="1"/>
  <c r="DO27" i="36" s="1"/>
  <c r="DP28" i="36" s="1"/>
  <c r="CM27" i="36" a="1"/>
  <c r="CM27" i="36" s="1"/>
  <c r="CN28" i="36" s="1"/>
  <c r="AI27" i="36" a="1"/>
  <c r="AI27" i="36" s="1"/>
  <c r="AJ28" i="36" s="1"/>
  <c r="CY27" i="36" a="1"/>
  <c r="CY27" i="36" s="1"/>
  <c r="CZ28" i="36" s="1"/>
  <c r="EQ27" i="36" a="1"/>
  <c r="EQ27" i="36" s="1"/>
  <c r="ER28" i="36" s="1"/>
  <c r="DG27" i="36" a="1"/>
  <c r="DG27" i="36" s="1"/>
  <c r="DH28" i="36" s="1"/>
  <c r="GE25" i="36" a="1"/>
  <c r="GE25" i="36" s="1"/>
  <c r="GF26" i="36" s="1"/>
  <c r="AE25" i="36" a="1"/>
  <c r="AE25" i="36" s="1"/>
  <c r="AF26" i="36" s="1"/>
  <c r="EY19" i="36" a="1"/>
  <c r="EY19" i="36" s="1"/>
  <c r="EZ21" i="36" s="1"/>
  <c r="EZ23" i="36" s="1"/>
  <c r="DW19" i="36" a="1"/>
  <c r="DW19" i="36" s="1"/>
  <c r="DX21" i="36" s="1"/>
  <c r="EU25" i="36" a="1"/>
  <c r="EU25" i="36" s="1"/>
  <c r="EV26" i="36" s="1"/>
  <c r="EM25" i="36" a="1"/>
  <c r="EM25" i="36" s="1"/>
  <c r="EN26" i="36" s="1"/>
  <c r="BG27" i="36" a="1"/>
  <c r="BG27" i="36" s="1"/>
  <c r="BH28" i="36" s="1"/>
  <c r="EE19" i="36" a="1"/>
  <c r="EE19" i="36" s="1"/>
  <c r="EF21" i="36" s="1"/>
  <c r="EY27" i="36" a="1"/>
  <c r="EY27" i="36" s="1"/>
  <c r="EZ28" i="36" s="1"/>
  <c r="CA19" i="36" a="1"/>
  <c r="CA19" i="36" s="1"/>
  <c r="CB21" i="36" s="1"/>
  <c r="CE19" i="36" a="1"/>
  <c r="CE19" i="36" s="1"/>
  <c r="CF21" i="36" s="1"/>
  <c r="EA25" i="36" a="1"/>
  <c r="EA25" i="36" s="1"/>
  <c r="EB26" i="36" s="1"/>
  <c r="GA27" i="36" a="1"/>
  <c r="GA27" i="36" s="1"/>
  <c r="GB28" i="36" s="1"/>
  <c r="FO27" i="36" a="1"/>
  <c r="FO27" i="36" s="1"/>
  <c r="FP28" i="36" s="1"/>
  <c r="DW27" i="36" a="1"/>
  <c r="DW27" i="36" s="1"/>
  <c r="DX28" i="36" s="1"/>
  <c r="AQ25" i="36" a="1"/>
  <c r="AQ25" i="36" s="1"/>
  <c r="AR26" i="36" s="1"/>
  <c r="CE25" i="36" a="1"/>
  <c r="CE25" i="36" s="1"/>
  <c r="CF26" i="36" s="1"/>
  <c r="EE25" i="36" a="1"/>
  <c r="EE25" i="36" s="1"/>
  <c r="EF26" i="36" s="1"/>
  <c r="AU27" i="36" a="1"/>
  <c r="AU27" i="36" s="1"/>
  <c r="AV28" i="36" s="1"/>
  <c r="AU19" i="36" a="1"/>
  <c r="AU19" i="36" s="1"/>
  <c r="AV21" i="36" s="1"/>
  <c r="CU19" i="36" a="1"/>
  <c r="CU19" i="36" s="1"/>
  <c r="CV21" i="36" s="1"/>
  <c r="GQ19" i="36" a="1"/>
  <c r="GQ19" i="36" s="1"/>
  <c r="GR21" i="36" s="1"/>
  <c r="EI19" i="36" a="1"/>
  <c r="EI19" i="36" s="1"/>
  <c r="EJ21" i="36" s="1"/>
  <c r="AM25" i="36" a="1"/>
  <c r="AM25" i="36" s="1"/>
  <c r="AN26" i="36" s="1"/>
  <c r="FS25" i="36" a="1"/>
  <c r="FS25" i="36" s="1"/>
  <c r="FT26" i="36" s="1"/>
  <c r="EQ19" i="36" a="1"/>
  <c r="EQ19" i="36" s="1"/>
  <c r="ER21" i="36" s="1"/>
  <c r="ER23" i="36" s="1"/>
  <c r="CU27" i="36" a="1"/>
  <c r="CU27" i="36" s="1"/>
  <c r="CV28" i="36" s="1"/>
  <c r="CY25" i="36" a="1"/>
  <c r="CY25" i="36" s="1"/>
  <c r="CZ26" i="36" s="1"/>
  <c r="GE27" i="36" a="1"/>
  <c r="GE27" i="36" s="1"/>
  <c r="GF28" i="36" s="1"/>
  <c r="FG25" i="36" a="1"/>
  <c r="FG25" i="36" s="1"/>
  <c r="FH26" i="36" s="1"/>
  <c r="S27" i="36" a="1"/>
  <c r="S27" i="36" s="1"/>
  <c r="T28" i="36" s="1"/>
  <c r="EA27" i="36" a="1"/>
  <c r="EA27" i="36" s="1"/>
  <c r="EB28" i="36" s="1"/>
  <c r="FW25" i="36" a="1"/>
  <c r="FW25" i="36" s="1"/>
  <c r="FX26" i="36" s="1"/>
  <c r="BW27" i="36" a="1"/>
  <c r="BW27" i="36" s="1"/>
  <c r="BX28" i="36" s="1"/>
  <c r="BW19" i="36" a="1"/>
  <c r="BW19" i="36" s="1"/>
  <c r="BX21" i="36" s="1"/>
  <c r="AY19" i="36" a="1"/>
  <c r="AY19" i="36" s="1"/>
  <c r="AZ21" i="36" s="1"/>
  <c r="O19" i="36" a="1"/>
  <c r="O19" i="36" s="1"/>
  <c r="P21" i="36" s="1"/>
  <c r="P23" i="36" s="1"/>
  <c r="EA19" i="36" a="1"/>
  <c r="EA19" i="36" s="1"/>
  <c r="EB21" i="36" s="1"/>
  <c r="CI19" i="36" a="1"/>
  <c r="CI19" i="36" s="1"/>
  <c r="CJ21" i="36" s="1"/>
  <c r="FC27" i="36" a="1"/>
  <c r="FC27" i="36" s="1"/>
  <c r="FD28" i="36" s="1"/>
  <c r="CQ27" i="36" a="1"/>
  <c r="CQ27" i="36" s="1"/>
  <c r="CR28" i="36" s="1"/>
  <c r="GM27" i="36" a="1"/>
  <c r="GM27" i="36" s="1"/>
  <c r="GN28" i="36" s="1"/>
  <c r="EE27" i="36" a="1"/>
  <c r="EE27" i="36" s="1"/>
  <c r="EF28" i="36" s="1"/>
  <c r="AI19" i="36" a="1"/>
  <c r="AI19" i="36" s="1"/>
  <c r="AJ21" i="36" s="1"/>
  <c r="AJ23" i="36" s="1"/>
  <c r="DS27" i="36" a="1"/>
  <c r="DS27" i="36" s="1"/>
  <c r="DT28" i="36" s="1"/>
  <c r="BC25" i="36" a="1"/>
  <c r="BC25" i="36" s="1"/>
  <c r="BD26" i="36" s="1"/>
  <c r="EY25" i="36" a="1"/>
  <c r="EY25" i="36" s="1"/>
  <c r="EZ26" i="36" s="1"/>
  <c r="DK25" i="36" a="1"/>
  <c r="DK25" i="36" s="1"/>
  <c r="DL26" i="36" s="1"/>
  <c r="EU27" i="36" a="1"/>
  <c r="EU27" i="36" s="1"/>
  <c r="EV28" i="36" s="1"/>
  <c r="FC25" i="36" a="1"/>
  <c r="FC25" i="36" s="1"/>
  <c r="FD26" i="36" s="1"/>
  <c r="AY27" i="36" a="1"/>
  <c r="AY27" i="36" s="1"/>
  <c r="AZ28" i="36" s="1"/>
  <c r="AY25" i="36" a="1"/>
  <c r="AY25" i="36" s="1"/>
  <c r="AZ26" i="36" s="1"/>
  <c r="CY19" i="36" a="1"/>
  <c r="CY19" i="36" s="1"/>
  <c r="CZ21" i="36" s="1"/>
  <c r="AM19" i="36" a="1"/>
  <c r="AM19" i="36" s="1"/>
  <c r="AN21" i="36" s="1"/>
  <c r="AN23" i="36" s="1"/>
  <c r="EU19" i="36" a="1"/>
  <c r="EU19" i="36" s="1"/>
  <c r="EV21" i="36" s="1"/>
  <c r="EV22" i="36" s="1"/>
  <c r="GM19" i="36" a="1"/>
  <c r="GM19" i="36" s="1"/>
  <c r="GN21" i="36" s="1"/>
  <c r="BC19" i="36" a="1"/>
  <c r="BC19" i="36" s="1"/>
  <c r="BD21" i="36" s="1"/>
  <c r="FS19" i="36" a="1"/>
  <c r="FS19" i="36" s="1"/>
  <c r="FT21" i="36" s="1"/>
  <c r="BK19" i="36" a="1"/>
  <c r="BK19" i="36" s="1"/>
  <c r="BL21" i="36" s="1"/>
  <c r="BK25" i="36" a="1"/>
  <c r="BK25" i="36" s="1"/>
  <c r="BL26" i="36" s="1"/>
  <c r="S19" i="36" a="1"/>
  <c r="S19" i="36" s="1"/>
  <c r="T21" i="36" s="1"/>
  <c r="T23" i="36" s="1"/>
  <c r="EM27" i="36" a="1"/>
  <c r="EM27" i="36" s="1"/>
  <c r="EN28" i="36" s="1"/>
  <c r="BC27" i="36" a="1"/>
  <c r="BC27" i="36" s="1"/>
  <c r="BD28" i="36" s="1"/>
  <c r="DW25" i="36" a="1"/>
  <c r="DW25" i="36" s="1"/>
  <c r="DX26" i="36" s="1"/>
  <c r="FG27" i="36" a="1"/>
  <c r="FG27" i="36" s="1"/>
  <c r="FH28" i="36" s="1"/>
  <c r="AQ27" i="36" a="1"/>
  <c r="AQ27" i="36" s="1"/>
  <c r="AR28" i="36" s="1"/>
  <c r="FO25" i="36" a="1"/>
  <c r="FO25" i="36" s="1"/>
  <c r="FP26" i="36" s="1"/>
  <c r="AU25" i="36" a="1"/>
  <c r="AU25" i="36" s="1"/>
  <c r="AV26" i="36" s="1"/>
  <c r="BW25" i="36" a="1"/>
  <c r="BW25" i="36" s="1"/>
  <c r="BX26" i="36" s="1"/>
  <c r="DO19" i="36" a="1"/>
  <c r="DO19" i="36" s="1"/>
  <c r="DP21" i="36" s="1"/>
  <c r="GE19" i="36" a="1"/>
  <c r="GE19" i="36" s="1"/>
  <c r="GF21" i="36" s="1"/>
  <c r="GF23" i="36" s="1"/>
  <c r="GU25" i="36" a="1"/>
  <c r="GU25" i="36" s="1"/>
  <c r="GV26" i="36" s="1"/>
  <c r="BO19" i="36" a="1"/>
  <c r="BO19" i="36" s="1"/>
  <c r="BP21" i="36" s="1"/>
  <c r="AM27" i="36" a="1"/>
  <c r="AM27" i="36" s="1"/>
  <c r="AN28" i="36" s="1"/>
  <c r="DS25" i="36" a="1"/>
  <c r="DS25" i="36" s="1"/>
  <c r="DT26" i="36" s="1"/>
  <c r="DO25" i="36" a="1"/>
  <c r="DO25" i="36" s="1"/>
  <c r="DP26" i="36" s="1"/>
  <c r="GQ25" i="36" a="1"/>
  <c r="GQ25" i="36" s="1"/>
  <c r="GR26" i="36" s="1"/>
  <c r="CM19" i="36" a="1"/>
  <c r="CM19" i="36" s="1"/>
  <c r="CN21" i="36" s="1"/>
  <c r="BS19" i="36" a="1"/>
  <c r="BS19" i="36" s="1"/>
  <c r="BT21" i="36" s="1"/>
  <c r="CQ25" i="36" a="1"/>
  <c r="CQ25" i="36" s="1"/>
  <c r="CR26" i="36" s="1"/>
  <c r="EQ25" i="36" a="1"/>
  <c r="EQ25" i="36" s="1"/>
  <c r="ER26" i="36" s="1"/>
  <c r="CU25" i="36" a="1"/>
  <c r="CU25" i="36" s="1"/>
  <c r="CV26" i="36" s="1"/>
  <c r="BK27" i="36" a="1"/>
  <c r="BK27" i="36" s="1"/>
  <c r="BL28" i="36" s="1"/>
  <c r="GA25" i="36" a="1"/>
  <c r="GA25" i="36" s="1"/>
  <c r="GB26" i="36" s="1"/>
  <c r="DC27" i="36" a="1"/>
  <c r="DC27" i="36" s="1"/>
  <c r="DD28" i="36" s="1"/>
  <c r="BO27" i="36" a="1"/>
  <c r="BO27" i="36" s="1"/>
  <c r="BP28" i="36" s="1"/>
  <c r="BS27" i="36" a="1"/>
  <c r="BS27" i="36" s="1"/>
  <c r="BT28" i="36" s="1"/>
  <c r="DS19" i="36" a="1"/>
  <c r="DS19" i="36" s="1"/>
  <c r="DT21" i="36" s="1"/>
  <c r="DG19" i="36" a="1"/>
  <c r="DG19" i="36" s="1"/>
  <c r="DH21" i="36" s="1"/>
  <c r="GI19" i="36" a="1"/>
  <c r="GI19" i="36" s="1"/>
  <c r="GJ21" i="36" s="1"/>
  <c r="AI25" i="36" a="1"/>
  <c r="AI25" i="36" s="1"/>
  <c r="AJ26" i="36" s="1"/>
  <c r="EM19" i="36" a="1"/>
  <c r="EM19" i="36" s="1"/>
  <c r="EN21" i="36" s="1"/>
  <c r="DC19" i="36" a="1"/>
  <c r="DC19" i="36" s="1"/>
  <c r="DD21" i="36" s="1"/>
  <c r="BO25" i="36" a="1"/>
  <c r="BO25" i="36" s="1"/>
  <c r="BP26" i="36" s="1"/>
  <c r="EI25" i="36" a="1"/>
  <c r="EI25" i="36" s="1"/>
  <c r="EJ26" i="36" s="1"/>
  <c r="DC25" i="36" a="1"/>
  <c r="DC25" i="36" s="1"/>
  <c r="DD26" i="36" s="1"/>
  <c r="CA25" i="36" a="1"/>
  <c r="CA25" i="36" s="1"/>
  <c r="CB26" i="36" s="1"/>
  <c r="CE27" i="36" a="1"/>
  <c r="CE27" i="36" s="1"/>
  <c r="CF28" i="36" s="1"/>
  <c r="GA19" i="36" a="1"/>
  <c r="GA19" i="36" s="1"/>
  <c r="GB21" i="36" s="1"/>
  <c r="GB22" i="36" s="1"/>
  <c r="FO19" i="36" a="1"/>
  <c r="FO19" i="36" s="1"/>
  <c r="FP21" i="36" s="1"/>
  <c r="FP23" i="36" s="1"/>
  <c r="FK19" i="36" a="1"/>
  <c r="FK19" i="36" s="1"/>
  <c r="FL21" i="36" s="1"/>
  <c r="FL22" i="36" s="1"/>
  <c r="K22" i="39"/>
  <c r="L39" i="39"/>
  <c r="J18" i="39"/>
  <c r="L39" i="36"/>
  <c r="J18" i="36"/>
  <c r="L39" i="38"/>
  <c r="J18" i="38"/>
  <c r="K24" i="36"/>
  <c r="J30" i="36"/>
  <c r="J26" i="39"/>
  <c r="K23" i="34" a="1"/>
  <c r="K23" i="34" s="1"/>
  <c r="K35" i="34" a="1"/>
  <c r="K35" i="34" s="1"/>
  <c r="K36" i="34" a="1"/>
  <c r="K36" i="34" s="1"/>
  <c r="K24" i="34" a="1"/>
  <c r="K24" i="34" s="1"/>
  <c r="K25" i="34" a="1"/>
  <c r="K25" i="34" s="1"/>
  <c r="K26" i="34" a="1"/>
  <c r="K26" i="34" s="1"/>
  <c r="K27" i="34" a="1"/>
  <c r="K27" i="34" s="1"/>
  <c r="K28" i="34" a="1"/>
  <c r="K28" i="34" s="1"/>
  <c r="K33" i="34" a="1"/>
  <c r="K33" i="34" s="1"/>
  <c r="K34" i="34" a="1"/>
  <c r="K34" i="34" s="1"/>
  <c r="K19" i="34" a="1"/>
  <c r="K19" i="34" s="1"/>
  <c r="N19" i="34" s="1"/>
  <c r="K31" i="34" a="1"/>
  <c r="K31" i="34" s="1"/>
  <c r="K21" i="34" a="1"/>
  <c r="K21" i="34" s="1"/>
  <c r="K20" i="34" a="1"/>
  <c r="K20" i="34" s="1"/>
  <c r="N20" i="34" s="1"/>
  <c r="K32" i="34" a="1"/>
  <c r="K32" i="34" s="1"/>
  <c r="K18" i="34" a="1"/>
  <c r="K18" i="34" s="1"/>
  <c r="N18" i="34" s="1"/>
  <c r="K30" i="34" a="1"/>
  <c r="K30" i="34" s="1"/>
  <c r="K29" i="34" a="1"/>
  <c r="K29" i="34" s="1"/>
  <c r="K22" i="34" a="1"/>
  <c r="K22" i="34" s="1"/>
  <c r="K42" i="34" a="1"/>
  <c r="K42" i="34" s="1"/>
  <c r="K54" i="34" a="1"/>
  <c r="K54" i="34" s="1"/>
  <c r="K45" i="34" a="1"/>
  <c r="K45" i="34" s="1"/>
  <c r="K46" i="34" a="1"/>
  <c r="K46" i="34" s="1"/>
  <c r="K44" i="34" a="1"/>
  <c r="K44" i="34" s="1"/>
  <c r="K47" i="34" a="1"/>
  <c r="K47" i="34" s="1"/>
  <c r="K43" i="34" a="1"/>
  <c r="K43" i="34" s="1"/>
  <c r="K55" i="34" a="1"/>
  <c r="K55" i="34" s="1"/>
  <c r="K39" i="34" a="1"/>
  <c r="K39" i="34" s="1"/>
  <c r="K38" i="34" a="1"/>
  <c r="K38" i="34" s="1"/>
  <c r="K51" i="34" a="1"/>
  <c r="K51" i="34" s="1"/>
  <c r="K50" i="34" a="1"/>
  <c r="K50" i="34" s="1"/>
  <c r="K53" i="34" a="1"/>
  <c r="K53" i="34" s="1"/>
  <c r="K40" i="34" a="1"/>
  <c r="K40" i="34" s="1"/>
  <c r="K48" i="34" a="1"/>
  <c r="K48" i="34" s="1"/>
  <c r="K49" i="34" a="1"/>
  <c r="K49" i="34" s="1"/>
  <c r="K37" i="34" a="1"/>
  <c r="K37" i="34" s="1"/>
  <c r="K41" i="34" a="1"/>
  <c r="K41" i="34" s="1"/>
  <c r="K52" i="34" a="1"/>
  <c r="K52" i="34" s="1"/>
  <c r="K27" i="33" a="1"/>
  <c r="K27" i="33" s="1"/>
  <c r="X27" i="33" s="1" a="1"/>
  <c r="X27" i="33" s="1"/>
  <c r="K31" i="33" a="1"/>
  <c r="K31" i="33" s="1"/>
  <c r="X31" i="33" s="1" a="1"/>
  <c r="X31" i="33" s="1"/>
  <c r="K28" i="33" a="1"/>
  <c r="K28" i="33" s="1"/>
  <c r="X28" i="33" s="1" a="1"/>
  <c r="X28" i="33" s="1"/>
  <c r="K29" i="33" a="1"/>
  <c r="K29" i="33" s="1"/>
  <c r="X29" i="33" s="1" a="1"/>
  <c r="X29" i="33" s="1"/>
  <c r="K30" i="33" a="1"/>
  <c r="K30" i="33" s="1"/>
  <c r="X30" i="33" s="1" a="1"/>
  <c r="X30" i="33" s="1"/>
  <c r="K32" i="33" a="1"/>
  <c r="K32" i="33" s="1"/>
  <c r="X32" i="33" s="1" a="1"/>
  <c r="X32" i="33" s="1"/>
  <c r="K36" i="33" a="1"/>
  <c r="K36" i="33" s="1"/>
  <c r="X36" i="33" s="1" a="1"/>
  <c r="X36" i="33" s="1"/>
  <c r="K35" i="33" a="1"/>
  <c r="K35" i="33" s="1"/>
  <c r="X35" i="33" s="1" a="1"/>
  <c r="X35" i="33" s="1"/>
  <c r="K34" i="33" a="1"/>
  <c r="K34" i="33" s="1"/>
  <c r="X34" i="33" s="1" a="1"/>
  <c r="X34" i="33" s="1"/>
  <c r="K33" i="33" a="1"/>
  <c r="K33" i="33" s="1"/>
  <c r="X33" i="33" s="1" a="1"/>
  <c r="X33" i="33" s="1"/>
  <c r="K26" i="33" a="1"/>
  <c r="K26" i="33" s="1"/>
  <c r="X26" i="33" s="1" a="1"/>
  <c r="X26" i="33" s="1"/>
  <c r="K38" i="33" a="1"/>
  <c r="K38" i="33" s="1"/>
  <c r="X38" i="33" s="1" a="1"/>
  <c r="X38" i="33" s="1"/>
  <c r="K44" i="33" a="1"/>
  <c r="K44" i="33" s="1"/>
  <c r="X44" i="33" s="1" a="1"/>
  <c r="X44" i="33" s="1"/>
  <c r="K39" i="33" a="1"/>
  <c r="K39" i="33" s="1"/>
  <c r="X39" i="33" s="1" a="1"/>
  <c r="X39" i="33" s="1"/>
  <c r="K45" i="33" a="1"/>
  <c r="K45" i="33" s="1"/>
  <c r="X45" i="33" s="1" a="1"/>
  <c r="X45" i="33" s="1"/>
  <c r="K40" i="33" a="1"/>
  <c r="K40" i="33" s="1"/>
  <c r="X40" i="33" s="1" a="1"/>
  <c r="X40" i="33" s="1"/>
  <c r="K46" i="33" a="1"/>
  <c r="K46" i="33" s="1"/>
  <c r="X46" i="33" s="1" a="1"/>
  <c r="X46" i="33" s="1"/>
  <c r="K47" i="33" a="1"/>
  <c r="K47" i="33" s="1"/>
  <c r="X47" i="33" s="1" a="1"/>
  <c r="X47" i="33" s="1"/>
  <c r="K43" i="33" a="1"/>
  <c r="K43" i="33" s="1"/>
  <c r="X43" i="33" s="1" a="1"/>
  <c r="X43" i="33" s="1"/>
  <c r="K37" i="33" a="1"/>
  <c r="K37" i="33" s="1"/>
  <c r="X37" i="33" s="1" a="1"/>
  <c r="X37" i="33" s="1"/>
  <c r="K42" i="33" a="1"/>
  <c r="K42" i="33" s="1"/>
  <c r="X42" i="33" s="1" a="1"/>
  <c r="X42" i="33" s="1"/>
  <c r="K41" i="33" a="1"/>
  <c r="K41" i="33" s="1"/>
  <c r="X41" i="33" s="1" a="1"/>
  <c r="X41" i="33" s="1"/>
  <c r="K49" i="33" a="1"/>
  <c r="K49" i="33" s="1"/>
  <c r="X49" i="33" s="1" a="1"/>
  <c r="X49" i="33" s="1"/>
  <c r="K52" i="33" a="1"/>
  <c r="K52" i="33" s="1"/>
  <c r="K51" i="33" a="1"/>
  <c r="K51" i="33" s="1"/>
  <c r="X51" i="33" s="1" a="1"/>
  <c r="X51" i="33" s="1"/>
  <c r="K56" i="33" a="1"/>
  <c r="K56" i="33" s="1"/>
  <c r="X56" i="33" s="1" a="1"/>
  <c r="X56" i="33" s="1"/>
  <c r="K57" i="33" a="1"/>
  <c r="K57" i="33" s="1"/>
  <c r="X57" i="33" s="1" a="1"/>
  <c r="X57" i="33" s="1"/>
  <c r="K58" i="33" a="1"/>
  <c r="K58" i="33" s="1"/>
  <c r="X58" i="33" s="1" a="1"/>
  <c r="X58" i="33" s="1"/>
  <c r="K55" i="33" a="1"/>
  <c r="K55" i="33" s="1"/>
  <c r="X55" i="33" s="1" a="1"/>
  <c r="X55" i="33" s="1"/>
  <c r="K50" i="33" a="1"/>
  <c r="K50" i="33" s="1"/>
  <c r="X50" i="33" s="1" a="1"/>
  <c r="X50" i="33" s="1"/>
  <c r="K48" i="33" a="1"/>
  <c r="K48" i="33" s="1"/>
  <c r="X48" i="33" s="1" a="1"/>
  <c r="X48" i="33" s="1"/>
  <c r="K54" i="33" a="1"/>
  <c r="K54" i="33" s="1"/>
  <c r="X54" i="33" s="1" a="1"/>
  <c r="X54" i="33" s="1"/>
  <c r="K53" i="33" a="1"/>
  <c r="K53" i="33" s="1"/>
  <c r="X53" i="33" s="1" a="1"/>
  <c r="X53" i="33" s="1"/>
  <c r="K63" i="17" a="1"/>
  <c r="K63" i="17" s="1"/>
  <c r="K64" i="17" a="1"/>
  <c r="K64" i="17" s="1"/>
  <c r="K37" i="17" a="1"/>
  <c r="K37" i="17" s="1"/>
  <c r="K27" i="17" a="1"/>
  <c r="K27" i="17" s="1"/>
  <c r="K30" i="17" a="1"/>
  <c r="K30" i="17" s="1"/>
  <c r="K26" i="17" a="1"/>
  <c r="K26" i="17" s="1"/>
  <c r="K38" i="17" a="1"/>
  <c r="K38" i="17" s="1"/>
  <c r="K29" i="17" a="1"/>
  <c r="K29" i="17" s="1"/>
  <c r="K36" i="17" a="1"/>
  <c r="K36" i="17" s="1"/>
  <c r="K35" i="17" a="1"/>
  <c r="K35" i="17" s="1"/>
  <c r="K32" i="17" a="1"/>
  <c r="K32" i="17" s="1"/>
  <c r="K31" i="17" a="1"/>
  <c r="K31" i="17" s="1"/>
  <c r="K33" i="17" a="1"/>
  <c r="K33" i="17" s="1"/>
  <c r="K28" i="17" a="1"/>
  <c r="K28" i="17" s="1"/>
  <c r="N28" i="17" s="1"/>
  <c r="K34" i="17" a="1"/>
  <c r="K34" i="17" s="1"/>
  <c r="K50" i="17" a="1"/>
  <c r="K50" i="17" s="1"/>
  <c r="K40" i="17" a="1"/>
  <c r="K40" i="17" s="1"/>
  <c r="K41" i="17" a="1"/>
  <c r="K41" i="17" s="1"/>
  <c r="N41" i="17" s="1"/>
  <c r="K42" i="17" a="1"/>
  <c r="K42" i="17" s="1"/>
  <c r="K43" i="17" a="1"/>
  <c r="K43" i="17" s="1"/>
  <c r="K39" i="17" a="1"/>
  <c r="K39" i="17" s="1"/>
  <c r="K51" i="17" a="1"/>
  <c r="K51" i="17" s="1"/>
  <c r="K47" i="17" a="1"/>
  <c r="K47" i="17" s="1"/>
  <c r="K46" i="17" a="1"/>
  <c r="K46" i="17" s="1"/>
  <c r="K45" i="17" a="1"/>
  <c r="K45" i="17" s="1"/>
  <c r="K49" i="17" a="1"/>
  <c r="K49" i="17" s="1"/>
  <c r="K48" i="17" a="1"/>
  <c r="K48" i="17" s="1"/>
  <c r="K44" i="17" a="1"/>
  <c r="K44" i="17" s="1"/>
  <c r="K66" i="17" a="1"/>
  <c r="K66" i="17" s="1"/>
  <c r="K65" i="17" a="1"/>
  <c r="K65" i="17" s="1"/>
  <c r="J28" i="36"/>
  <c r="J16" i="36"/>
  <c r="K58" i="34" a="1"/>
  <c r="K58" i="34" s="1"/>
  <c r="K18" i="33" a="1"/>
  <c r="K18" i="33" s="1"/>
  <c r="K62" i="17" a="1"/>
  <c r="K62" i="17" s="1"/>
  <c r="G22" i="39"/>
  <c r="K22" i="38"/>
  <c r="G22" i="38"/>
  <c r="K22" i="36"/>
  <c r="G22" i="36"/>
  <c r="J31" i="39"/>
  <c r="K32" i="39" s="1" a="1"/>
  <c r="K32" i="39" s="1"/>
  <c r="K59" i="34" a="1"/>
  <c r="K59" i="34" s="1"/>
  <c r="J27" i="39"/>
  <c r="K27" i="39" s="1" a="1"/>
  <c r="K27" i="39" s="1"/>
  <c r="J15" i="39"/>
  <c r="J17" i="39" s="1"/>
  <c r="K65" i="34" a="1"/>
  <c r="K65" i="34" s="1"/>
  <c r="J24" i="39"/>
  <c r="K24" i="39" s="1"/>
  <c r="J16" i="39"/>
  <c r="K17" i="33" a="1"/>
  <c r="K17" i="33" s="1"/>
  <c r="K23" i="33" a="1"/>
  <c r="K23" i="33" s="1"/>
  <c r="X23" i="33" s="1" a="1"/>
  <c r="X23" i="33" s="1"/>
  <c r="K65" i="33" a="1"/>
  <c r="K65" i="33" s="1"/>
  <c r="X65" i="33" s="1" a="1"/>
  <c r="X65" i="33" s="1"/>
  <c r="J26" i="36"/>
  <c r="J25" i="36"/>
  <c r="K25" i="36" s="1" a="1"/>
  <c r="K25" i="36" s="1"/>
  <c r="J20" i="39"/>
  <c r="K62" i="34" a="1"/>
  <c r="K62" i="34" s="1"/>
  <c r="J30" i="39"/>
  <c r="J28" i="39"/>
  <c r="L59" i="34"/>
  <c r="J25" i="39"/>
  <c r="K25" i="39" s="1" a="1"/>
  <c r="K25" i="39" s="1"/>
  <c r="K20" i="33" a="1"/>
  <c r="K20" i="33" s="1"/>
  <c r="N20" i="33" s="1"/>
  <c r="K62" i="33" a="1"/>
  <c r="K62" i="33" s="1"/>
  <c r="X62" i="33" s="1" a="1"/>
  <c r="X62" i="33" s="1"/>
  <c r="L23" i="33"/>
  <c r="K59" i="33" a="1"/>
  <c r="K59" i="33" s="1"/>
  <c r="X59" i="33" s="1" a="1"/>
  <c r="X59" i="33" s="1"/>
  <c r="F26" i="38"/>
  <c r="K21" i="17" a="1"/>
  <c r="K21" i="17" s="1"/>
  <c r="N21" i="17" s="1"/>
  <c r="F16" i="36"/>
  <c r="K20" i="17" a="1"/>
  <c r="K20" i="17" s="1"/>
  <c r="N20" i="17" s="1"/>
  <c r="K60" i="17" a="1"/>
  <c r="K60" i="17" s="1"/>
  <c r="K59" i="17" a="1"/>
  <c r="K59" i="17" s="1"/>
  <c r="N59" i="17" s="1"/>
  <c r="K18" i="17" a="1"/>
  <c r="K18" i="17" s="1"/>
  <c r="N18" i="17" s="1"/>
  <c r="K58" i="17" a="1"/>
  <c r="K58" i="17" s="1"/>
  <c r="K56" i="17" a="1"/>
  <c r="K56" i="17" s="1"/>
  <c r="K25" i="17" a="1"/>
  <c r="K25" i="17" s="1"/>
  <c r="L58" i="17"/>
  <c r="K55" i="17" a="1"/>
  <c r="K55" i="17" s="1"/>
  <c r="K24" i="17" a="1"/>
  <c r="K24" i="17" s="1"/>
  <c r="L24" i="17"/>
  <c r="K54" i="17" a="1"/>
  <c r="K54" i="17" s="1"/>
  <c r="K17" i="17" a="1"/>
  <c r="K17" i="17" s="1"/>
  <c r="N17" i="17" s="1"/>
  <c r="K53" i="17" a="1"/>
  <c r="K53" i="17" s="1"/>
  <c r="L25" i="17"/>
  <c r="K52" i="17" a="1"/>
  <c r="K52" i="17" s="1"/>
  <c r="F16" i="39"/>
  <c r="K56" i="34" a="1"/>
  <c r="K56" i="34" s="1"/>
  <c r="K61" i="34" a="1"/>
  <c r="K61" i="34" s="1"/>
  <c r="K17" i="34" a="1"/>
  <c r="K17" i="34" s="1"/>
  <c r="N17" i="34" s="1"/>
  <c r="F24" i="39"/>
  <c r="G24" i="39" s="1"/>
  <c r="F15" i="39"/>
  <c r="F17" i="39" s="1"/>
  <c r="F30" i="39"/>
  <c r="F25" i="39"/>
  <c r="G25" i="39" s="1" a="1"/>
  <c r="G25" i="39" s="1"/>
  <c r="K64" i="34" a="1"/>
  <c r="K64" i="34" s="1"/>
  <c r="F31" i="39"/>
  <c r="G32" i="39" s="1" a="1"/>
  <c r="G32" i="39" s="1"/>
  <c r="F28" i="39"/>
  <c r="F27" i="39"/>
  <c r="G27" i="39" s="1" a="1"/>
  <c r="G27" i="39" s="1"/>
  <c r="F20" i="39"/>
  <c r="F26" i="39"/>
  <c r="J30" i="38"/>
  <c r="J31" i="38"/>
  <c r="K32" i="38" s="1" a="1"/>
  <c r="K32" i="38" s="1"/>
  <c r="F27" i="38"/>
  <c r="G27" i="38" s="1" a="1"/>
  <c r="G27" i="38" s="1"/>
  <c r="F31" i="38"/>
  <c r="G32" i="38" s="1" a="1"/>
  <c r="G32" i="38" s="1"/>
  <c r="K24" i="38"/>
  <c r="J28" i="38"/>
  <c r="G24" i="38"/>
  <c r="F25" i="38"/>
  <c r="G25" i="38" s="1" a="1"/>
  <c r="G25" i="38" s="1"/>
  <c r="J27" i="38"/>
  <c r="K27" i="38" s="1" a="1"/>
  <c r="K27" i="38" s="1"/>
  <c r="F28" i="38"/>
  <c r="J26" i="38"/>
  <c r="F20" i="38"/>
  <c r="J25" i="38"/>
  <c r="K25" i="38" s="1" a="1"/>
  <c r="K25" i="38" s="1"/>
  <c r="F16" i="38"/>
  <c r="J20" i="38"/>
  <c r="J16" i="38"/>
  <c r="F15" i="38"/>
  <c r="F17" i="38" s="1"/>
  <c r="F30" i="38"/>
  <c r="J15" i="38"/>
  <c r="J17" i="38" s="1"/>
  <c r="L59" i="17"/>
  <c r="F15" i="36"/>
  <c r="F17" i="36" s="1"/>
  <c r="F28" i="36"/>
  <c r="K61" i="17" a="1"/>
  <c r="K61" i="17" s="1"/>
  <c r="K57" i="17" a="1"/>
  <c r="K57" i="17" s="1"/>
  <c r="K23" i="17" a="1"/>
  <c r="K23" i="17" s="1"/>
  <c r="K19" i="17" a="1"/>
  <c r="K19" i="17" s="1"/>
  <c r="N19" i="17" s="1"/>
  <c r="L60" i="17"/>
  <c r="J15" i="36"/>
  <c r="J17" i="36" s="1"/>
  <c r="F31" i="36"/>
  <c r="G32" i="36" s="1" a="1"/>
  <c r="G32" i="36" s="1"/>
  <c r="K22" i="17" a="1"/>
  <c r="K22" i="17" s="1"/>
  <c r="L21" i="17"/>
  <c r="F30" i="36"/>
  <c r="L20" i="17"/>
  <c r="F27" i="36"/>
  <c r="G27" i="36" s="1" a="1"/>
  <c r="G27" i="36" s="1"/>
  <c r="J31" i="36"/>
  <c r="F26" i="36"/>
  <c r="F25" i="36"/>
  <c r="G25" i="36" s="1" a="1"/>
  <c r="G25" i="36" s="1"/>
  <c r="J27" i="36"/>
  <c r="K27" i="36" s="1" a="1"/>
  <c r="K27" i="36" s="1"/>
  <c r="G24" i="36"/>
  <c r="F20" i="36"/>
  <c r="K66" i="34" a="1"/>
  <c r="K66" i="34" s="1"/>
  <c r="K63" i="34" a="1"/>
  <c r="K63" i="34" s="1"/>
  <c r="K60" i="34" a="1"/>
  <c r="K60" i="34" s="1"/>
  <c r="K57" i="34" a="1"/>
  <c r="K57" i="34" s="1"/>
  <c r="K64" i="33" a="1"/>
  <c r="K64" i="33" s="1"/>
  <c r="X64" i="33" s="1" a="1"/>
  <c r="X64" i="33" s="1"/>
  <c r="K25" i="33" a="1"/>
  <c r="K25" i="33" s="1"/>
  <c r="X25" i="33" s="1" a="1"/>
  <c r="X25" i="33" s="1"/>
  <c r="K19" i="33" a="1"/>
  <c r="K19" i="33" s="1"/>
  <c r="N19" i="33" s="1"/>
  <c r="K61" i="33" a="1"/>
  <c r="K61" i="33" s="1"/>
  <c r="X61" i="33" s="1" a="1"/>
  <c r="X61" i="33" s="1"/>
  <c r="K22" i="33" a="1"/>
  <c r="K22" i="33" s="1"/>
  <c r="X22" i="33" s="1" a="1"/>
  <c r="X22" i="33" s="1"/>
  <c r="K66" i="33" a="1"/>
  <c r="K66" i="33" s="1"/>
  <c r="K63" i="33" a="1"/>
  <c r="K63" i="33" s="1"/>
  <c r="X63" i="33" s="1" a="1"/>
  <c r="X63" i="33" s="1"/>
  <c r="K60" i="33" a="1"/>
  <c r="K60" i="33" s="1"/>
  <c r="X60" i="33" s="1" a="1"/>
  <c r="X60" i="33" s="1"/>
  <c r="K24" i="33" a="1"/>
  <c r="K24" i="33" s="1"/>
  <c r="X24" i="33" s="1" a="1"/>
  <c r="X24" i="33" s="1"/>
  <c r="K21" i="33" a="1"/>
  <c r="K21" i="33" s="1"/>
  <c r="X21" i="33" s="1" a="1"/>
  <c r="X21" i="33" s="1"/>
  <c r="J20" i="36"/>
  <c r="N17" i="33" l="1"/>
  <c r="X17" i="33" s="1" a="1"/>
  <c r="X17" i="33" s="1"/>
  <c r="N52" i="33"/>
  <c r="X52" i="33" s="1" a="1"/>
  <c r="X52" i="33" s="1"/>
  <c r="N18" i="33"/>
  <c r="X18" i="33" s="1" a="1"/>
  <c r="X18" i="33" s="1"/>
  <c r="AN22" i="36"/>
  <c r="FL23" i="36"/>
  <c r="GF22" i="36"/>
  <c r="T22" i="36"/>
  <c r="ER22" i="36"/>
  <c r="FH23" i="36"/>
  <c r="P22" i="36"/>
  <c r="FP22" i="36"/>
  <c r="EZ22" i="36"/>
  <c r="X28" i="17" a="1"/>
  <c r="X28" i="17" s="1"/>
  <c r="V28" i="17" a="1"/>
  <c r="V28" i="17" s="1"/>
  <c r="X64" i="17" a="1"/>
  <c r="X64" i="17" s="1"/>
  <c r="V64" i="17" a="1"/>
  <c r="V64" i="17" s="1"/>
  <c r="X41" i="34" a="1"/>
  <c r="X41" i="34" s="1"/>
  <c r="V41" i="34" a="1"/>
  <c r="V41" i="34" s="1"/>
  <c r="V47" i="34" a="1"/>
  <c r="V47" i="34" s="1"/>
  <c r="X47" i="34" a="1"/>
  <c r="X47" i="34" s="1"/>
  <c r="V21" i="34" a="1"/>
  <c r="V21" i="34" s="1"/>
  <c r="X21" i="34" a="1"/>
  <c r="X21" i="34" s="1"/>
  <c r="V23" i="34" a="1"/>
  <c r="V23" i="34" s="1"/>
  <c r="X23" i="34" a="1"/>
  <c r="X23" i="34" s="1"/>
  <c r="GF32" i="36"/>
  <c r="GE29" i="36" a="1"/>
  <c r="GE29" i="36" s="1"/>
  <c r="GF29" i="36" s="1"/>
  <c r="GF30" i="36"/>
  <c r="GF24" i="36"/>
  <c r="BL22" i="36"/>
  <c r="BL24" i="36"/>
  <c r="BK29" i="36" a="1"/>
  <c r="BK29" i="36" s="1"/>
  <c r="BL29" i="36" s="1"/>
  <c r="BL30" i="36"/>
  <c r="BL23" i="36"/>
  <c r="BL32" i="36"/>
  <c r="BX24" i="36"/>
  <c r="BX30" i="36"/>
  <c r="BX23" i="36"/>
  <c r="BX22" i="36"/>
  <c r="BX32" i="36"/>
  <c r="BW29" i="36" a="1"/>
  <c r="BW29" i="36" s="1"/>
  <c r="BX29" i="36" s="1"/>
  <c r="EJ23" i="36"/>
  <c r="EJ22" i="36"/>
  <c r="EJ24" i="36"/>
  <c r="EJ30" i="36"/>
  <c r="EJ32" i="36"/>
  <c r="EI29" i="36" a="1"/>
  <c r="EI29" i="36" s="1"/>
  <c r="EJ29" i="36" s="1"/>
  <c r="CF30" i="36"/>
  <c r="CF24" i="36"/>
  <c r="CF32" i="36"/>
  <c r="CF22" i="36"/>
  <c r="CE29" i="36" a="1"/>
  <c r="CE29" i="36" s="1"/>
  <c r="CF29" i="36" s="1"/>
  <c r="CF23" i="36"/>
  <c r="FT23" i="38"/>
  <c r="FT32" i="38"/>
  <c r="FT30" i="38"/>
  <c r="FS29" i="38" a="1"/>
  <c r="FS29" i="38" s="1"/>
  <c r="FT29" i="38" s="1"/>
  <c r="FT22" i="38"/>
  <c r="FT24" i="38"/>
  <c r="EV30" i="38"/>
  <c r="EV23" i="38"/>
  <c r="EU29" i="38" a="1"/>
  <c r="EU29" i="38" s="1"/>
  <c r="EV29" i="38" s="1"/>
  <c r="EV32" i="38"/>
  <c r="EV24" i="38"/>
  <c r="EV22" i="38"/>
  <c r="CR32" i="38"/>
  <c r="CR24" i="38"/>
  <c r="CR22" i="38"/>
  <c r="CR23" i="38"/>
  <c r="CR30" i="38"/>
  <c r="CQ29" i="38" a="1"/>
  <c r="CQ29" i="38" s="1"/>
  <c r="CR29" i="38" s="1"/>
  <c r="AR32" i="38"/>
  <c r="AQ29" i="38" a="1"/>
  <c r="AQ29" i="38" s="1"/>
  <c r="AR29" i="38" s="1"/>
  <c r="AR22" i="38"/>
  <c r="AR24" i="38"/>
  <c r="AR23" i="38"/>
  <c r="AR30" i="38"/>
  <c r="GF30" i="38"/>
  <c r="GF23" i="38"/>
  <c r="GF32" i="38"/>
  <c r="GE29" i="38" a="1"/>
  <c r="GE29" i="38" s="1"/>
  <c r="GF29" i="38" s="1"/>
  <c r="GF22" i="38"/>
  <c r="GF24" i="38"/>
  <c r="AJ22" i="38"/>
  <c r="AJ30" i="38"/>
  <c r="AJ32" i="38"/>
  <c r="AI29" i="38" a="1"/>
  <c r="AI29" i="38" s="1"/>
  <c r="AJ29" i="38" s="1"/>
  <c r="AJ23" i="38"/>
  <c r="AJ24" i="38"/>
  <c r="BH22" i="38"/>
  <c r="BH23" i="38"/>
  <c r="BG29" i="38" a="1"/>
  <c r="BG29" i="38" s="1"/>
  <c r="BH29" i="38" s="1"/>
  <c r="BH30" i="38"/>
  <c r="BH24" i="38"/>
  <c r="BH32" i="38"/>
  <c r="P30" i="38"/>
  <c r="P22" i="38"/>
  <c r="P32" i="38"/>
  <c r="P24" i="38"/>
  <c r="O29" i="38" a="1"/>
  <c r="O29" i="38" s="1"/>
  <c r="P29" i="38" s="1"/>
  <c r="P23" i="38"/>
  <c r="FX22" i="36"/>
  <c r="CU29" i="39" a="1"/>
  <c r="CU29" i="39" s="1"/>
  <c r="CV29" i="39" s="1"/>
  <c r="CV32" i="39"/>
  <c r="CV22" i="39"/>
  <c r="CV30" i="39"/>
  <c r="CV24" i="39"/>
  <c r="AB22" i="39"/>
  <c r="AA29" i="39" a="1"/>
  <c r="AA29" i="39" s="1"/>
  <c r="AB29" i="39" s="1"/>
  <c r="AB32" i="39"/>
  <c r="AB24" i="39"/>
  <c r="AB30" i="39"/>
  <c r="X24" i="17" a="1"/>
  <c r="X24" i="17" s="1"/>
  <c r="V24" i="17" a="1"/>
  <c r="V24" i="17" s="1"/>
  <c r="V37" i="17" a="1"/>
  <c r="V37" i="17" s="1"/>
  <c r="X37" i="17" a="1"/>
  <c r="X37" i="17" s="1"/>
  <c r="EJ22" i="38"/>
  <c r="EI29" i="38" a="1"/>
  <c r="EI29" i="38" s="1"/>
  <c r="EJ29" i="38" s="1"/>
  <c r="EJ30" i="38"/>
  <c r="EJ23" i="38"/>
  <c r="EJ24" i="38"/>
  <c r="EJ32" i="38"/>
  <c r="V17" i="34" a="1"/>
  <c r="V17" i="34" s="1"/>
  <c r="X17" i="34" a="1"/>
  <c r="X17" i="34" s="1"/>
  <c r="X45" i="17" a="1"/>
  <c r="X45" i="17" s="1"/>
  <c r="V45" i="17" a="1"/>
  <c r="V45" i="17" s="1"/>
  <c r="X33" i="17" a="1"/>
  <c r="X33" i="17" s="1"/>
  <c r="V33" i="17" a="1"/>
  <c r="V33" i="17" s="1"/>
  <c r="X63" i="17" a="1"/>
  <c r="X63" i="17" s="1"/>
  <c r="V63" i="17" a="1"/>
  <c r="V63" i="17" s="1"/>
  <c r="V37" i="34" a="1"/>
  <c r="V37" i="34" s="1"/>
  <c r="X37" i="34" a="1"/>
  <c r="X37" i="34" s="1"/>
  <c r="X44" i="34" a="1"/>
  <c r="X44" i="34" s="1"/>
  <c r="V44" i="34" a="1"/>
  <c r="V44" i="34" s="1"/>
  <c r="X31" i="34" a="1"/>
  <c r="X31" i="34" s="1"/>
  <c r="V31" i="34" a="1"/>
  <c r="V31" i="34" s="1"/>
  <c r="DP22" i="36"/>
  <c r="DP30" i="36"/>
  <c r="DO29" i="36" a="1"/>
  <c r="DO29" i="36" s="1"/>
  <c r="DP29" i="36" s="1"/>
  <c r="DP24" i="36"/>
  <c r="DP23" i="36"/>
  <c r="DP32" i="36"/>
  <c r="FS30" i="36" a="1"/>
  <c r="FS30" i="36" s="1"/>
  <c r="FT30" i="36" s="1"/>
  <c r="FS29" i="36" a="1"/>
  <c r="FS29" i="36" s="1"/>
  <c r="FT29" i="36" s="1"/>
  <c r="FT32" i="36"/>
  <c r="FT24" i="36"/>
  <c r="GR23" i="36"/>
  <c r="GR24" i="36"/>
  <c r="GR22" i="36"/>
  <c r="GR30" i="36"/>
  <c r="GQ29" i="36" a="1"/>
  <c r="GQ29" i="36" s="1"/>
  <c r="GR29" i="36" s="1"/>
  <c r="GR32" i="36"/>
  <c r="CB23" i="36"/>
  <c r="CB24" i="36"/>
  <c r="CB22" i="36"/>
  <c r="CB32" i="36"/>
  <c r="CA29" i="36" a="1"/>
  <c r="CA29" i="36" s="1"/>
  <c r="CB29" i="36" s="1"/>
  <c r="CB30" i="36"/>
  <c r="FP24" i="38"/>
  <c r="FP32" i="38"/>
  <c r="FO29" i="38" a="1"/>
  <c r="FO29" i="38" s="1"/>
  <c r="FP29" i="38" s="1"/>
  <c r="FP22" i="38"/>
  <c r="FP30" i="38"/>
  <c r="FP23" i="38"/>
  <c r="AN30" i="38"/>
  <c r="AN23" i="38"/>
  <c r="AM29" i="38" a="1"/>
  <c r="AM29" i="38" s="1"/>
  <c r="AN29" i="38" s="1"/>
  <c r="AN24" i="38"/>
  <c r="AN22" i="38"/>
  <c r="AN32" i="38"/>
  <c r="GB24" i="38"/>
  <c r="GB23" i="38"/>
  <c r="GB30" i="38"/>
  <c r="GA29" i="38" a="1"/>
  <c r="GA29" i="38" s="1"/>
  <c r="GB29" i="38" s="1"/>
  <c r="GB32" i="38"/>
  <c r="GB22" i="38"/>
  <c r="FX32" i="38"/>
  <c r="FX30" i="38"/>
  <c r="FX23" i="38"/>
  <c r="FX24" i="38"/>
  <c r="FX22" i="38"/>
  <c r="FW29" i="38" a="1"/>
  <c r="FW29" i="38" s="1"/>
  <c r="FX29" i="38" s="1"/>
  <c r="DX30" i="39"/>
  <c r="DW29" i="39" a="1"/>
  <c r="DW29" i="39" s="1"/>
  <c r="DX29" i="39" s="1"/>
  <c r="DX24" i="39"/>
  <c r="DX22" i="39"/>
  <c r="DX32" i="39"/>
  <c r="DT24" i="39"/>
  <c r="DT22" i="39"/>
  <c r="DT32" i="39"/>
  <c r="DT30" i="39"/>
  <c r="DS29" i="39" a="1"/>
  <c r="DS29" i="39" s="1"/>
  <c r="DT29" i="39" s="1"/>
  <c r="AV22" i="39"/>
  <c r="AU29" i="39" a="1"/>
  <c r="AU29" i="39" s="1"/>
  <c r="AV29" i="39" s="1"/>
  <c r="AV24" i="39"/>
  <c r="AV32" i="39"/>
  <c r="AV30" i="39"/>
  <c r="AR32" i="39"/>
  <c r="AQ29" i="39" a="1"/>
  <c r="AQ29" i="39" s="1"/>
  <c r="AR29" i="39" s="1"/>
  <c r="AR30" i="39"/>
  <c r="AR22" i="39"/>
  <c r="AR24" i="39"/>
  <c r="GV24" i="39"/>
  <c r="GU29" i="39" a="1"/>
  <c r="GU29" i="39" s="1"/>
  <c r="GV29" i="39" s="1"/>
  <c r="GV32" i="39"/>
  <c r="GV22" i="39"/>
  <c r="GV30" i="39"/>
  <c r="V46" i="17" a="1"/>
  <c r="V46" i="17" s="1"/>
  <c r="X46" i="17" a="1"/>
  <c r="X46" i="17" s="1"/>
  <c r="V31" i="17" a="1"/>
  <c r="V31" i="17" s="1"/>
  <c r="X31" i="17" a="1"/>
  <c r="X31" i="17" s="1"/>
  <c r="AA31" i="17" s="1" a="1"/>
  <c r="AA31" i="17" s="1"/>
  <c r="V49" i="34" a="1"/>
  <c r="V49" i="34" s="1"/>
  <c r="X49" i="34" a="1"/>
  <c r="X49" i="34" s="1"/>
  <c r="V46" i="34" a="1"/>
  <c r="V46" i="34" s="1"/>
  <c r="X46" i="34" a="1"/>
  <c r="X46" i="34" s="1"/>
  <c r="DD23" i="36"/>
  <c r="DD30" i="36"/>
  <c r="DD22" i="36"/>
  <c r="DD24" i="36"/>
  <c r="DC29" i="36" a="1"/>
  <c r="DC29" i="36" s="1"/>
  <c r="DD29" i="36" s="1"/>
  <c r="DD32" i="36"/>
  <c r="BC29" i="36" a="1"/>
  <c r="BC29" i="36" s="1"/>
  <c r="BD29" i="36" s="1"/>
  <c r="BD24" i="36"/>
  <c r="BD22" i="36"/>
  <c r="BD30" i="36"/>
  <c r="BD23" i="36"/>
  <c r="BD32" i="36"/>
  <c r="CV23" i="36"/>
  <c r="CV32" i="36"/>
  <c r="CV30" i="36"/>
  <c r="CV22" i="36"/>
  <c r="CV24" i="36"/>
  <c r="CU29" i="36" a="1"/>
  <c r="CU29" i="36" s="1"/>
  <c r="CV29" i="36" s="1"/>
  <c r="DX32" i="38"/>
  <c r="DX23" i="38"/>
  <c r="DX24" i="38"/>
  <c r="DX22" i="38"/>
  <c r="DW29" i="38" a="1"/>
  <c r="DW29" i="38" s="1"/>
  <c r="DX29" i="38" s="1"/>
  <c r="DX30" i="38"/>
  <c r="AF30" i="38"/>
  <c r="AF23" i="38"/>
  <c r="AF32" i="38"/>
  <c r="AF22" i="38"/>
  <c r="AF24" i="38"/>
  <c r="AE29" i="38" a="1"/>
  <c r="AE29" i="38" s="1"/>
  <c r="AF29" i="38" s="1"/>
  <c r="DP32" i="39"/>
  <c r="DO29" i="39" a="1"/>
  <c r="DO29" i="39" s="1"/>
  <c r="DP29" i="39" s="1"/>
  <c r="DP30" i="39"/>
  <c r="DP24" i="39"/>
  <c r="DP22" i="39"/>
  <c r="BP24" i="39"/>
  <c r="BP30" i="39"/>
  <c r="BP32" i="39"/>
  <c r="BO29" i="39" a="1"/>
  <c r="BO29" i="39" s="1"/>
  <c r="BP29" i="39" s="1"/>
  <c r="BP22" i="39"/>
  <c r="V34" i="17" a="1"/>
  <c r="V34" i="17" s="1"/>
  <c r="X34" i="17" a="1"/>
  <c r="X34" i="17" s="1"/>
  <c r="X52" i="34" a="1"/>
  <c r="X52" i="34" s="1"/>
  <c r="V52" i="34" a="1"/>
  <c r="V52" i="34" s="1"/>
  <c r="AU29" i="38" a="1"/>
  <c r="AU29" i="38" s="1"/>
  <c r="AV29" i="38" s="1"/>
  <c r="AV23" i="38"/>
  <c r="AV32" i="38"/>
  <c r="AV30" i="38"/>
  <c r="AV22" i="38"/>
  <c r="AV24" i="38"/>
  <c r="V49" i="17" a="1"/>
  <c r="V49" i="17" s="1"/>
  <c r="X49" i="17" a="1"/>
  <c r="X49" i="17" s="1"/>
  <c r="X61" i="34" a="1"/>
  <c r="X61" i="34" s="1"/>
  <c r="V61" i="34" a="1"/>
  <c r="V61" i="34" s="1"/>
  <c r="V56" i="17" a="1"/>
  <c r="V56" i="17" s="1"/>
  <c r="X56" i="17" a="1"/>
  <c r="X56" i="17" s="1"/>
  <c r="AA56" i="17" s="1" a="1"/>
  <c r="AA56" i="17" s="1"/>
  <c r="FH33" i="36" s="1"/>
  <c r="FH34" i="36" s="1"/>
  <c r="X62" i="17" a="1"/>
  <c r="X62" i="17" s="1"/>
  <c r="V62" i="17" a="1"/>
  <c r="V62" i="17" s="1"/>
  <c r="X47" i="17" a="1"/>
  <c r="X47" i="17" s="1"/>
  <c r="V47" i="17" a="1"/>
  <c r="V47" i="17" s="1"/>
  <c r="X32" i="17" a="1"/>
  <c r="X32" i="17" s="1"/>
  <c r="V32" i="17" a="1"/>
  <c r="V32" i="17" s="1"/>
  <c r="X48" i="34" a="1"/>
  <c r="X48" i="34" s="1"/>
  <c r="V48" i="34" a="1"/>
  <c r="V48" i="34" s="1"/>
  <c r="V45" i="34" a="1"/>
  <c r="V45" i="34" s="1"/>
  <c r="X45" i="34" a="1"/>
  <c r="X45" i="34" s="1"/>
  <c r="V34" i="34" a="1"/>
  <c r="V34" i="34" s="1"/>
  <c r="X34" i="34" a="1"/>
  <c r="X34" i="34" s="1"/>
  <c r="X22" i="36"/>
  <c r="EN22" i="36"/>
  <c r="EN32" i="36"/>
  <c r="EN30" i="36"/>
  <c r="EM29" i="36" a="1"/>
  <c r="EM29" i="36" s="1"/>
  <c r="EN29" i="36" s="1"/>
  <c r="EN24" i="36"/>
  <c r="EN23" i="36"/>
  <c r="GN32" i="36"/>
  <c r="GN30" i="36"/>
  <c r="GN23" i="36"/>
  <c r="GM29" i="36" a="1"/>
  <c r="GM29" i="36" s="1"/>
  <c r="GN29" i="36" s="1"/>
  <c r="GN24" i="36"/>
  <c r="GN22" i="36"/>
  <c r="AJ24" i="36"/>
  <c r="AJ32" i="36"/>
  <c r="AI29" i="36" a="1"/>
  <c r="AI29" i="36" s="1"/>
  <c r="AJ29" i="36" s="1"/>
  <c r="AJ30" i="36"/>
  <c r="AV30" i="36"/>
  <c r="AU29" i="36" a="1"/>
  <c r="AU29" i="36" s="1"/>
  <c r="AV29" i="36" s="1"/>
  <c r="AV22" i="36"/>
  <c r="AV24" i="36"/>
  <c r="AV23" i="36"/>
  <c r="AV32" i="36"/>
  <c r="EF30" i="36"/>
  <c r="EF23" i="36"/>
  <c r="EF24" i="36"/>
  <c r="EF22" i="36"/>
  <c r="EE29" i="36" a="1"/>
  <c r="EE29" i="36" s="1"/>
  <c r="EF29" i="36" s="1"/>
  <c r="EF32" i="36"/>
  <c r="FL30" i="38"/>
  <c r="FK29" i="38" a="1"/>
  <c r="FK29" i="38" s="1"/>
  <c r="FL29" i="38" s="1"/>
  <c r="FL23" i="38"/>
  <c r="FL32" i="38"/>
  <c r="FL24" i="38"/>
  <c r="FL22" i="38"/>
  <c r="X32" i="38"/>
  <c r="X23" i="38"/>
  <c r="W29" i="38" a="1"/>
  <c r="W29" i="38" s="1"/>
  <c r="X29" i="38" s="1"/>
  <c r="X22" i="38"/>
  <c r="X24" i="38"/>
  <c r="X30" i="38"/>
  <c r="BC29" i="39" a="1"/>
  <c r="BC29" i="39" s="1"/>
  <c r="BD29" i="39" s="1"/>
  <c r="BD22" i="39"/>
  <c r="BD32" i="39"/>
  <c r="BD24" i="39"/>
  <c r="BD30" i="39"/>
  <c r="BK29" i="39" a="1"/>
  <c r="BK29" i="39" s="1"/>
  <c r="BL29" i="39" s="1"/>
  <c r="BL24" i="39"/>
  <c r="BL22" i="39"/>
  <c r="BL32" i="39"/>
  <c r="BL30" i="39"/>
  <c r="V43" i="34" a="1"/>
  <c r="V43" i="34" s="1"/>
  <c r="X43" i="34" a="1"/>
  <c r="X43" i="34" s="1"/>
  <c r="X55" i="17" a="1"/>
  <c r="X55" i="17" s="1"/>
  <c r="V55" i="17" a="1"/>
  <c r="V55" i="17" s="1"/>
  <c r="AA55" i="17" s="1" a="1"/>
  <c r="AA55" i="17" s="1"/>
  <c r="FD33" i="36" s="1"/>
  <c r="FD41" i="36" s="1"/>
  <c r="X56" i="34" a="1"/>
  <c r="X56" i="34" s="1"/>
  <c r="V56" i="34" a="1"/>
  <c r="V56" i="34" s="1"/>
  <c r="X35" i="17" a="1"/>
  <c r="X35" i="17" s="1"/>
  <c r="V35" i="17" a="1"/>
  <c r="V35" i="17" s="1"/>
  <c r="V40" i="34" a="1"/>
  <c r="V40" i="34" s="1"/>
  <c r="X40" i="34" a="1"/>
  <c r="X40" i="34" s="1"/>
  <c r="X54" i="34" a="1"/>
  <c r="X54" i="34" s="1"/>
  <c r="V54" i="34" a="1"/>
  <c r="V54" i="34" s="1"/>
  <c r="V33" i="34" a="1"/>
  <c r="V33" i="34" s="1"/>
  <c r="X33" i="34" a="1"/>
  <c r="X33" i="34" s="1"/>
  <c r="BT23" i="36"/>
  <c r="BT32" i="36"/>
  <c r="BT24" i="36"/>
  <c r="BT30" i="36"/>
  <c r="BT22" i="36"/>
  <c r="BS29" i="36" a="1"/>
  <c r="BS29" i="36" s="1"/>
  <c r="BT29" i="36" s="1"/>
  <c r="EU29" i="36" a="1"/>
  <c r="EU29" i="36" s="1"/>
  <c r="EV29" i="36" s="1"/>
  <c r="EV30" i="36"/>
  <c r="EV32" i="36"/>
  <c r="EV24" i="36"/>
  <c r="GV30" i="36"/>
  <c r="GV24" i="36"/>
  <c r="GU29" i="36" a="1"/>
  <c r="GU29" i="36" s="1"/>
  <c r="GV29" i="36" s="1"/>
  <c r="GV32" i="36"/>
  <c r="GV23" i="36"/>
  <c r="GV22" i="36"/>
  <c r="DT24" i="38"/>
  <c r="DT30" i="38"/>
  <c r="DT22" i="38"/>
  <c r="DS29" i="38" a="1"/>
  <c r="DS29" i="38" s="1"/>
  <c r="DT29" i="38" s="1"/>
  <c r="DT23" i="38"/>
  <c r="DT32" i="38"/>
  <c r="GR23" i="38"/>
  <c r="GR22" i="38"/>
  <c r="GR24" i="38"/>
  <c r="GR30" i="38"/>
  <c r="GQ29" i="38" a="1"/>
  <c r="GQ29" i="38" s="1"/>
  <c r="GR29" i="38" s="1"/>
  <c r="GR32" i="38"/>
  <c r="DG29" i="38" a="1"/>
  <c r="DG29" i="38" s="1"/>
  <c r="DH29" i="38" s="1"/>
  <c r="DH30" i="38"/>
  <c r="DH23" i="38"/>
  <c r="DH32" i="38"/>
  <c r="DH22" i="38"/>
  <c r="DH24" i="38"/>
  <c r="FD22" i="38"/>
  <c r="FD32" i="38"/>
  <c r="FD23" i="38"/>
  <c r="FD30" i="38"/>
  <c r="FC29" i="38" a="1"/>
  <c r="FC29" i="38" s="1"/>
  <c r="FD29" i="38" s="1"/>
  <c r="FD24" i="38"/>
  <c r="DD30" i="38"/>
  <c r="DD23" i="38"/>
  <c r="DD22" i="38"/>
  <c r="DD24" i="38"/>
  <c r="DC29" i="38" a="1"/>
  <c r="DC29" i="38" s="1"/>
  <c r="DD29" i="38" s="1"/>
  <c r="DD32" i="38"/>
  <c r="EZ32" i="38"/>
  <c r="EZ23" i="38"/>
  <c r="EY29" i="38" a="1"/>
  <c r="EY29" i="38" s="1"/>
  <c r="EZ29" i="38" s="1"/>
  <c r="EZ22" i="38"/>
  <c r="EZ24" i="38"/>
  <c r="EZ30" i="38"/>
  <c r="AZ24" i="39"/>
  <c r="AZ22" i="39"/>
  <c r="AZ32" i="39"/>
  <c r="AZ30" i="39"/>
  <c r="AY29" i="39" a="1"/>
  <c r="AY29" i="39" s="1"/>
  <c r="AZ29" i="39" s="1"/>
  <c r="BT24" i="39"/>
  <c r="BT22" i="39"/>
  <c r="BT32" i="39"/>
  <c r="BT30" i="39"/>
  <c r="BS29" i="39" a="1"/>
  <c r="BS29" i="39" s="1"/>
  <c r="BT29" i="39" s="1"/>
  <c r="AN24" i="39"/>
  <c r="AM29" i="39" a="1"/>
  <c r="AM29" i="39" s="1"/>
  <c r="AN29" i="39" s="1"/>
  <c r="AN32" i="39"/>
  <c r="AN30" i="39"/>
  <c r="AN22" i="39"/>
  <c r="CN32" i="39"/>
  <c r="CN24" i="39"/>
  <c r="CN22" i="39"/>
  <c r="CN30" i="39"/>
  <c r="CM29" i="39" a="1"/>
  <c r="CM29" i="39" s="1"/>
  <c r="CN29" i="39" s="1"/>
  <c r="X24" i="39"/>
  <c r="X30" i="39"/>
  <c r="W29" i="39" a="1"/>
  <c r="W29" i="39" s="1"/>
  <c r="X29" i="39" s="1"/>
  <c r="X32" i="39"/>
  <c r="X22" i="39"/>
  <c r="AF22" i="39"/>
  <c r="AF24" i="39"/>
  <c r="AE29" i="39" a="1"/>
  <c r="AE29" i="39" s="1"/>
  <c r="AF29" i="39" s="1"/>
  <c r="AF32" i="39"/>
  <c r="AF30" i="39"/>
  <c r="AJ22" i="39"/>
  <c r="AI29" i="39" a="1"/>
  <c r="AI29" i="39" s="1"/>
  <c r="AJ29" i="39" s="1"/>
  <c r="AJ30" i="39"/>
  <c r="AJ24" i="39"/>
  <c r="AJ32" i="39"/>
  <c r="X48" i="17" a="1"/>
  <c r="X48" i="17" s="1"/>
  <c r="V48" i="17" a="1"/>
  <c r="V48" i="17" s="1"/>
  <c r="GJ32" i="38"/>
  <c r="GI29" i="38" a="1"/>
  <c r="GI29" i="38" s="1"/>
  <c r="GJ29" i="38" s="1"/>
  <c r="GJ23" i="38"/>
  <c r="GJ24" i="38"/>
  <c r="GJ30" i="38"/>
  <c r="GJ22" i="38"/>
  <c r="GR22" i="39"/>
  <c r="GR30" i="39"/>
  <c r="GR32" i="39"/>
  <c r="GR24" i="39"/>
  <c r="GQ29" i="39" a="1"/>
  <c r="GQ29" i="39" s="1"/>
  <c r="GR29" i="39" s="1"/>
  <c r="EB24" i="39"/>
  <c r="EB30" i="39"/>
  <c r="EB22" i="39"/>
  <c r="EB32" i="39"/>
  <c r="EA29" i="39" a="1"/>
  <c r="EA29" i="39" s="1"/>
  <c r="EB29" i="39" s="1"/>
  <c r="V19" i="17" a="1"/>
  <c r="V19" i="17" s="1"/>
  <c r="X19" i="17" a="1"/>
  <c r="X19" i="17" s="1"/>
  <c r="V25" i="17" a="1"/>
  <c r="V25" i="17" s="1"/>
  <c r="X25" i="17" a="1"/>
  <c r="X25" i="17" s="1"/>
  <c r="X57" i="17" a="1"/>
  <c r="X57" i="17" s="1"/>
  <c r="V57" i="17" a="1"/>
  <c r="V57" i="17" s="1"/>
  <c r="X61" i="17" a="1"/>
  <c r="X61" i="17" s="1"/>
  <c r="V61" i="17" a="1"/>
  <c r="V61" i="17" s="1"/>
  <c r="V52" i="17" a="1"/>
  <c r="V52" i="17" s="1"/>
  <c r="X52" i="17" a="1"/>
  <c r="X52" i="17" s="1"/>
  <c r="AA52" i="17" s="1" a="1"/>
  <c r="AA52" i="17" s="1"/>
  <c r="ER33" i="36" s="1"/>
  <c r="ER41" i="36" s="1"/>
  <c r="X18" i="17" a="1"/>
  <c r="X18" i="17" s="1"/>
  <c r="V18" i="17" a="1"/>
  <c r="V18" i="17" s="1"/>
  <c r="X65" i="34" a="1"/>
  <c r="X65" i="34" s="1"/>
  <c r="V65" i="34" a="1"/>
  <c r="V65" i="34" s="1"/>
  <c r="X58" i="34" a="1"/>
  <c r="X58" i="34" s="1"/>
  <c r="V58" i="34" a="1"/>
  <c r="V58" i="34" s="1"/>
  <c r="X39" i="17" a="1"/>
  <c r="X39" i="17" s="1"/>
  <c r="V39" i="17" a="1"/>
  <c r="V39" i="17" s="1"/>
  <c r="V36" i="17" a="1"/>
  <c r="V36" i="17" s="1"/>
  <c r="X36" i="17" a="1"/>
  <c r="X36" i="17" s="1"/>
  <c r="V53" i="34" a="1"/>
  <c r="V53" i="34" s="1"/>
  <c r="X53" i="34" a="1"/>
  <c r="X53" i="34" s="1"/>
  <c r="X42" i="34" a="1"/>
  <c r="X42" i="34" s="1"/>
  <c r="V42" i="34" a="1"/>
  <c r="V42" i="34" s="1"/>
  <c r="X28" i="34" a="1"/>
  <c r="X28" i="34" s="1"/>
  <c r="V28" i="34" a="1"/>
  <c r="V28" i="34" s="1"/>
  <c r="FT22" i="36"/>
  <c r="GJ22" i="36"/>
  <c r="GJ30" i="36"/>
  <c r="GI29" i="36" a="1"/>
  <c r="GI29" i="36" s="1"/>
  <c r="GJ29" i="36" s="1"/>
  <c r="GJ24" i="36"/>
  <c r="GJ23" i="36"/>
  <c r="GJ32" i="36"/>
  <c r="CN32" i="36"/>
  <c r="CN22" i="36"/>
  <c r="CM29" i="36" a="1"/>
  <c r="CM29" i="36" s="1"/>
  <c r="CN29" i="36" s="1"/>
  <c r="CN23" i="36"/>
  <c r="CN30" i="36"/>
  <c r="CN24" i="36"/>
  <c r="AN32" i="36"/>
  <c r="AN30" i="36"/>
  <c r="AN24" i="36"/>
  <c r="AM29" i="36" a="1"/>
  <c r="AM29" i="36" s="1"/>
  <c r="AN29" i="36" s="1"/>
  <c r="FW29" i="36" a="1"/>
  <c r="FW29" i="36" s="1"/>
  <c r="FX29" i="36" s="1"/>
  <c r="FX32" i="36"/>
  <c r="FX24" i="36"/>
  <c r="FX30" i="36"/>
  <c r="AZ24" i="38"/>
  <c r="AY29" i="38" a="1"/>
  <c r="AY29" i="38" s="1"/>
  <c r="AZ29" i="38" s="1"/>
  <c r="AZ32" i="38"/>
  <c r="AZ30" i="38"/>
  <c r="AZ22" i="38"/>
  <c r="AZ23" i="38"/>
  <c r="EB32" i="38"/>
  <c r="EB24" i="38"/>
  <c r="EA29" i="38" a="1"/>
  <c r="EA29" i="38" s="1"/>
  <c r="EB29" i="38" s="1"/>
  <c r="EB30" i="38"/>
  <c r="EB23" i="38"/>
  <c r="EB22" i="38"/>
  <c r="GV32" i="38"/>
  <c r="GV23" i="38"/>
  <c r="GV30" i="38"/>
  <c r="GV22" i="38"/>
  <c r="GV24" i="38"/>
  <c r="GU29" i="38" a="1"/>
  <c r="GU29" i="38" s="1"/>
  <c r="GV29" i="38" s="1"/>
  <c r="EV24" i="39"/>
  <c r="EV22" i="39"/>
  <c r="EV32" i="39"/>
  <c r="EV30" i="39"/>
  <c r="EU29" i="39" a="1"/>
  <c r="EU29" i="39" s="1"/>
  <c r="EV29" i="39" s="1"/>
  <c r="FP32" i="39"/>
  <c r="FP30" i="39"/>
  <c r="FO29" i="39" a="1"/>
  <c r="FO29" i="39" s="1"/>
  <c r="FP29" i="39" s="1"/>
  <c r="FP22" i="39"/>
  <c r="FP24" i="39"/>
  <c r="FL30" i="39"/>
  <c r="FK29" i="39" a="1"/>
  <c r="FK29" i="39" s="1"/>
  <c r="FL29" i="39" s="1"/>
  <c r="FL24" i="39"/>
  <c r="FL22" i="39"/>
  <c r="FL32" i="39"/>
  <c r="FH22" i="39"/>
  <c r="FG29" i="39" a="1"/>
  <c r="FG29" i="39" s="1"/>
  <c r="FH29" i="39" s="1"/>
  <c r="FH24" i="39"/>
  <c r="FH32" i="39"/>
  <c r="FH30" i="39"/>
  <c r="FD24" i="39"/>
  <c r="FD22" i="39"/>
  <c r="FD32" i="39"/>
  <c r="FC29" i="39" a="1"/>
  <c r="FC29" i="39" s="1"/>
  <c r="FD29" i="39" s="1"/>
  <c r="FD30" i="39"/>
  <c r="GB24" i="39"/>
  <c r="GB22" i="39"/>
  <c r="GB30" i="39"/>
  <c r="GB32" i="39"/>
  <c r="GA29" i="39" a="1"/>
  <c r="GA29" i="39" s="1"/>
  <c r="GB29" i="39" s="1"/>
  <c r="BH30" i="39"/>
  <c r="BH22" i="39"/>
  <c r="BH32" i="39"/>
  <c r="BH24" i="39"/>
  <c r="BG29" i="39" a="1"/>
  <c r="BG29" i="39" s="1"/>
  <c r="BH29" i="39" s="1"/>
  <c r="AY30" i="36" a="1"/>
  <c r="AY30" i="36" s="1"/>
  <c r="AZ30" i="36" s="1"/>
  <c r="AZ23" i="36"/>
  <c r="AZ24" i="36"/>
  <c r="AY29" i="36" a="1"/>
  <c r="AY29" i="36" s="1"/>
  <c r="AZ29" i="36" s="1"/>
  <c r="AZ32" i="36"/>
  <c r="AZ22" i="36"/>
  <c r="ER24" i="39"/>
  <c r="ER22" i="39"/>
  <c r="ER30" i="39"/>
  <c r="ER32" i="39"/>
  <c r="EQ29" i="39" a="1"/>
  <c r="EQ29" i="39" s="1"/>
  <c r="ER29" i="39" s="1"/>
  <c r="X23" i="17" a="1"/>
  <c r="X23" i="17" s="1"/>
  <c r="V23" i="17" a="1"/>
  <c r="V23" i="17" s="1"/>
  <c r="X59" i="17" a="1"/>
  <c r="X59" i="17" s="1"/>
  <c r="V59" i="17" a="1"/>
  <c r="V59" i="17" s="1"/>
  <c r="V43" i="17" a="1"/>
  <c r="V43" i="17" s="1"/>
  <c r="X43" i="17" a="1"/>
  <c r="X43" i="17" s="1"/>
  <c r="X29" i="17" a="1"/>
  <c r="X29" i="17" s="1"/>
  <c r="V29" i="17" a="1"/>
  <c r="V29" i="17" s="1"/>
  <c r="V50" i="34" a="1"/>
  <c r="V50" i="34" s="1"/>
  <c r="X50" i="34" a="1"/>
  <c r="X50" i="34" s="1"/>
  <c r="X22" i="34" a="1"/>
  <c r="X22" i="34" s="1"/>
  <c r="V22" i="34" a="1"/>
  <c r="V22" i="34" s="1"/>
  <c r="V27" i="34" a="1"/>
  <c r="V27" i="34" s="1"/>
  <c r="X27" i="34" a="1"/>
  <c r="X27" i="34" s="1"/>
  <c r="FK29" i="36" a="1"/>
  <c r="FK29" i="36" s="1"/>
  <c r="FL29" i="36" s="1"/>
  <c r="FL24" i="36"/>
  <c r="FL30" i="36"/>
  <c r="FL32" i="36"/>
  <c r="DH32" i="36"/>
  <c r="DH24" i="36"/>
  <c r="DG29" i="36" a="1"/>
  <c r="DG29" i="36" s="1"/>
  <c r="DH29" i="36" s="1"/>
  <c r="DH30" i="36"/>
  <c r="DH23" i="36"/>
  <c r="DH22" i="36"/>
  <c r="CY30" i="36" a="1"/>
  <c r="CY30" i="36" s="1"/>
  <c r="CZ30" i="36" s="1"/>
  <c r="CZ22" i="36"/>
  <c r="CZ24" i="36"/>
  <c r="CZ32" i="36"/>
  <c r="CY29" i="36" a="1"/>
  <c r="CY29" i="36" s="1"/>
  <c r="CZ29" i="36" s="1"/>
  <c r="CZ23" i="36"/>
  <c r="AB30" i="36"/>
  <c r="AB24" i="36"/>
  <c r="AB32" i="36"/>
  <c r="AA29" i="36" a="1"/>
  <c r="AA29" i="36" s="1"/>
  <c r="AB29" i="36" s="1"/>
  <c r="CE29" i="38" a="1"/>
  <c r="CE29" i="38" s="1"/>
  <c r="CF29" i="38" s="1"/>
  <c r="CF32" i="38"/>
  <c r="CF24" i="38"/>
  <c r="CF30" i="38"/>
  <c r="CF22" i="38"/>
  <c r="CF23" i="38"/>
  <c r="EN32" i="39"/>
  <c r="EN22" i="39"/>
  <c r="EN30" i="39"/>
  <c r="EM29" i="39" a="1"/>
  <c r="EM29" i="39" s="1"/>
  <c r="EN29" i="39" s="1"/>
  <c r="EN24" i="39"/>
  <c r="DL24" i="39"/>
  <c r="DL32" i="39"/>
  <c r="DL22" i="39"/>
  <c r="DL30" i="39"/>
  <c r="DK29" i="39" a="1"/>
  <c r="DK29" i="39" s="1"/>
  <c r="DL29" i="39" s="1"/>
  <c r="CR32" i="39"/>
  <c r="CR30" i="39"/>
  <c r="CQ29" i="39" a="1"/>
  <c r="CQ29" i="39" s="1"/>
  <c r="CR29" i="39" s="1"/>
  <c r="CR22" i="39"/>
  <c r="CR24" i="39"/>
  <c r="CF24" i="39"/>
  <c r="CE29" i="39" a="1"/>
  <c r="CE29" i="39" s="1"/>
  <c r="CF29" i="39" s="1"/>
  <c r="CF30" i="39"/>
  <c r="CF32" i="39"/>
  <c r="CF22" i="39"/>
  <c r="FX30" i="39"/>
  <c r="FX24" i="39"/>
  <c r="FW29" i="39" a="1"/>
  <c r="FW29" i="39" s="1"/>
  <c r="FX29" i="39" s="1"/>
  <c r="FX22" i="39"/>
  <c r="FX32" i="39"/>
  <c r="FD22" i="36"/>
  <c r="X35" i="34" a="1"/>
  <c r="X35" i="34" s="1"/>
  <c r="V35" i="34" a="1"/>
  <c r="V35" i="34" s="1"/>
  <c r="AF24" i="36"/>
  <c r="AE29" i="36" a="1"/>
  <c r="AE29" i="36" s="1"/>
  <c r="AF29" i="36" s="1"/>
  <c r="AF32" i="36"/>
  <c r="AF30" i="36"/>
  <c r="V58" i="17" a="1"/>
  <c r="V58" i="17" s="1"/>
  <c r="X58" i="17" a="1"/>
  <c r="X58" i="17" s="1"/>
  <c r="X51" i="17" a="1"/>
  <c r="X51" i="17" s="1"/>
  <c r="V51" i="17" a="1"/>
  <c r="V51" i="17" s="1"/>
  <c r="AA51" i="17" s="1" a="1"/>
  <c r="AA51" i="17" s="1"/>
  <c r="X57" i="34" a="1"/>
  <c r="X57" i="34" s="1"/>
  <c r="V57" i="34" a="1"/>
  <c r="V57" i="34" s="1"/>
  <c r="X53" i="17" a="1"/>
  <c r="X53" i="17" s="1"/>
  <c r="V53" i="17" a="1"/>
  <c r="V53" i="17" s="1"/>
  <c r="V60" i="17" a="1"/>
  <c r="V60" i="17" s="1"/>
  <c r="X60" i="17" a="1"/>
  <c r="X60" i="17" s="1"/>
  <c r="X42" i="17" a="1"/>
  <c r="X42" i="17" s="1"/>
  <c r="V42" i="17" a="1"/>
  <c r="V42" i="17" s="1"/>
  <c r="X38" i="17" a="1"/>
  <c r="X38" i="17" s="1"/>
  <c r="V38" i="17" a="1"/>
  <c r="V38" i="17" s="1"/>
  <c r="AA38" i="17" s="1" a="1"/>
  <c r="AA38" i="17" s="1"/>
  <c r="X51" i="34" a="1"/>
  <c r="X51" i="34" s="1"/>
  <c r="V51" i="34" a="1"/>
  <c r="V51" i="34" s="1"/>
  <c r="V29" i="34" a="1"/>
  <c r="V29" i="34" s="1"/>
  <c r="X29" i="34" a="1"/>
  <c r="X29" i="34" s="1"/>
  <c r="V26" i="34" a="1"/>
  <c r="V26" i="34" s="1"/>
  <c r="X26" i="34" a="1"/>
  <c r="X26" i="34" s="1"/>
  <c r="FP32" i="36"/>
  <c r="FO29" i="36" a="1"/>
  <c r="FO29" i="36" s="1"/>
  <c r="FP29" i="36" s="1"/>
  <c r="FP24" i="36"/>
  <c r="FP30" i="36"/>
  <c r="DT22" i="36"/>
  <c r="DT32" i="36"/>
  <c r="DT30" i="36"/>
  <c r="DT24" i="36"/>
  <c r="DS29" i="36" a="1"/>
  <c r="DS29" i="36" s="1"/>
  <c r="DT29" i="36" s="1"/>
  <c r="DT23" i="36"/>
  <c r="DX22" i="36"/>
  <c r="DW29" i="36" a="1"/>
  <c r="DW29" i="36" s="1"/>
  <c r="DX29" i="36" s="1"/>
  <c r="DX32" i="36"/>
  <c r="DX30" i="36"/>
  <c r="DX24" i="36"/>
  <c r="DX23" i="36"/>
  <c r="EV23" i="36"/>
  <c r="BT22" i="38"/>
  <c r="BT23" i="38"/>
  <c r="BT30" i="38"/>
  <c r="BT24" i="38"/>
  <c r="BT32" i="38"/>
  <c r="BS29" i="38" a="1"/>
  <c r="BS29" i="38" s="1"/>
  <c r="BT29" i="38" s="1"/>
  <c r="CN23" i="38"/>
  <c r="CN32" i="38"/>
  <c r="CN30" i="38"/>
  <c r="CN24" i="38"/>
  <c r="CN22" i="38"/>
  <c r="CM29" i="38" a="1"/>
  <c r="CM29" i="38" s="1"/>
  <c r="CN29" i="38" s="1"/>
  <c r="CJ30" i="38"/>
  <c r="CJ22" i="38"/>
  <c r="CI29" i="38" a="1"/>
  <c r="CI29" i="38" s="1"/>
  <c r="CJ29" i="38" s="1"/>
  <c r="CJ23" i="38"/>
  <c r="CJ24" i="38"/>
  <c r="CJ32" i="38"/>
  <c r="FT22" i="39"/>
  <c r="FT32" i="39"/>
  <c r="FT30" i="39"/>
  <c r="FS29" i="39" a="1"/>
  <c r="FS29" i="39" s="1"/>
  <c r="FT29" i="39" s="1"/>
  <c r="FT24" i="39"/>
  <c r="GF32" i="39"/>
  <c r="GF30" i="39"/>
  <c r="GF24" i="39"/>
  <c r="GF22" i="39"/>
  <c r="GE29" i="39" a="1"/>
  <c r="GE29" i="39" s="1"/>
  <c r="GF29" i="39" s="1"/>
  <c r="EJ24" i="39"/>
  <c r="EJ30" i="39"/>
  <c r="EJ22" i="39"/>
  <c r="EJ32" i="39"/>
  <c r="EI29" i="39" a="1"/>
  <c r="EI29" i="39" s="1"/>
  <c r="EJ29" i="39" s="1"/>
  <c r="DD32" i="39"/>
  <c r="DD30" i="39"/>
  <c r="DC29" i="39" a="1"/>
  <c r="DC29" i="39" s="1"/>
  <c r="DD29" i="39" s="1"/>
  <c r="DD24" i="39"/>
  <c r="DD22" i="39"/>
  <c r="X59" i="34" a="1"/>
  <c r="X59" i="34" s="1"/>
  <c r="V59" i="34" a="1"/>
  <c r="V59" i="34" s="1"/>
  <c r="X41" i="17" a="1"/>
  <c r="X41" i="17" s="1"/>
  <c r="V41" i="17" a="1"/>
  <c r="V41" i="17" s="1"/>
  <c r="X38" i="34" a="1"/>
  <c r="X38" i="34" s="1"/>
  <c r="V38" i="34" a="1"/>
  <c r="V38" i="34" s="1"/>
  <c r="V25" i="34" a="1"/>
  <c r="V25" i="34" s="1"/>
  <c r="X25" i="34" a="1"/>
  <c r="X25" i="34" s="1"/>
  <c r="GA29" i="36" a="1"/>
  <c r="GA29" i="36" s="1"/>
  <c r="GB29" i="36" s="1"/>
  <c r="GB24" i="36"/>
  <c r="GB32" i="36"/>
  <c r="GB30" i="36"/>
  <c r="CJ23" i="36"/>
  <c r="CJ22" i="36"/>
  <c r="CI29" i="36" a="1"/>
  <c r="CI29" i="36" s="1"/>
  <c r="CJ29" i="36" s="1"/>
  <c r="CJ24" i="36"/>
  <c r="CJ32" i="36"/>
  <c r="CJ30" i="36"/>
  <c r="EZ32" i="36"/>
  <c r="EY29" i="36" a="1"/>
  <c r="EY29" i="36" s="1"/>
  <c r="EZ29" i="36" s="1"/>
  <c r="EZ24" i="36"/>
  <c r="EZ30" i="36"/>
  <c r="DL30" i="36"/>
  <c r="DL24" i="36"/>
  <c r="DL22" i="36"/>
  <c r="DL23" i="36"/>
  <c r="DK29" i="36" a="1"/>
  <c r="DK29" i="36" s="1"/>
  <c r="DL29" i="36" s="1"/>
  <c r="DL32" i="36"/>
  <c r="W30" i="36" a="1"/>
  <c r="W30" i="36" s="1"/>
  <c r="X30" i="36" s="1"/>
  <c r="W29" i="36" a="1"/>
  <c r="W29" i="36" s="1"/>
  <c r="X29" i="36" s="1"/>
  <c r="X24" i="36"/>
  <c r="X32" i="36"/>
  <c r="AR24" i="36"/>
  <c r="AR32" i="36"/>
  <c r="AR22" i="36"/>
  <c r="AR30" i="36"/>
  <c r="AQ29" i="36" a="1"/>
  <c r="AQ29" i="36" s="1"/>
  <c r="AR29" i="36" s="1"/>
  <c r="AR23" i="36"/>
  <c r="FT23" i="36"/>
  <c r="CZ32" i="38"/>
  <c r="CZ30" i="38"/>
  <c r="CZ23" i="38"/>
  <c r="CZ22" i="38"/>
  <c r="CY29" i="38" a="1"/>
  <c r="CY29" i="38" s="1"/>
  <c r="CZ29" i="38" s="1"/>
  <c r="CZ24" i="38"/>
  <c r="BX24" i="38"/>
  <c r="BX30" i="38"/>
  <c r="BW29" i="38" a="1"/>
  <c r="BW29" i="38" s="1"/>
  <c r="BX29" i="38" s="1"/>
  <c r="BX23" i="38"/>
  <c r="BX32" i="38"/>
  <c r="BX22" i="38"/>
  <c r="GN32" i="39"/>
  <c r="GM29" i="39" a="1"/>
  <c r="GM29" i="39" s="1"/>
  <c r="GN29" i="39" s="1"/>
  <c r="GN30" i="39"/>
  <c r="GN22" i="39"/>
  <c r="GN24" i="39"/>
  <c r="EF24" i="39"/>
  <c r="EF22" i="39"/>
  <c r="EF30" i="39"/>
  <c r="EE29" i="39" a="1"/>
  <c r="EE29" i="39" s="1"/>
  <c r="EF29" i="39" s="1"/>
  <c r="EF32" i="39"/>
  <c r="P32" i="39"/>
  <c r="P22" i="39"/>
  <c r="P30" i="39"/>
  <c r="O29" i="39" a="1"/>
  <c r="O29" i="39" s="1"/>
  <c r="P29" i="39" s="1"/>
  <c r="P24" i="39"/>
  <c r="EZ30" i="39"/>
  <c r="EZ22" i="39"/>
  <c r="EY29" i="39" a="1"/>
  <c r="EY29" i="39" s="1"/>
  <c r="EZ29" i="39" s="1"/>
  <c r="EZ24" i="39"/>
  <c r="EZ32" i="39"/>
  <c r="AF23" i="36"/>
  <c r="X20" i="17" a="1"/>
  <c r="X20" i="17" s="1"/>
  <c r="V20" i="17" a="1"/>
  <c r="V20" i="17" s="1"/>
  <c r="V65" i="17" a="1"/>
  <c r="V65" i="17" s="1"/>
  <c r="X65" i="17" a="1"/>
  <c r="X65" i="17" s="1"/>
  <c r="V30" i="34" a="1"/>
  <c r="V30" i="34" s="1"/>
  <c r="X30" i="34" a="1"/>
  <c r="X30" i="34" s="1"/>
  <c r="V63" i="34" a="1"/>
  <c r="V63" i="34" s="1"/>
  <c r="X63" i="34" a="1"/>
  <c r="X63" i="34" s="1"/>
  <c r="X22" i="17" a="1"/>
  <c r="X22" i="17" s="1"/>
  <c r="V22" i="17" a="1"/>
  <c r="V22" i="17" s="1"/>
  <c r="X54" i="17" a="1"/>
  <c r="X54" i="17" s="1"/>
  <c r="V54" i="17" a="1"/>
  <c r="V54" i="17" s="1"/>
  <c r="V40" i="17" a="1"/>
  <c r="V40" i="17" s="1"/>
  <c r="X40" i="17" a="1"/>
  <c r="X40" i="17" s="1"/>
  <c r="X30" i="17" a="1"/>
  <c r="X30" i="17" s="1"/>
  <c r="V30" i="17" a="1"/>
  <c r="V30" i="17" s="1"/>
  <c r="V39" i="34" a="1"/>
  <c r="V39" i="34" s="1"/>
  <c r="X39" i="34" a="1"/>
  <c r="X39" i="34" s="1"/>
  <c r="X24" i="34" a="1"/>
  <c r="X24" i="34" s="1"/>
  <c r="V24" i="34" a="1"/>
  <c r="V24" i="34" s="1"/>
  <c r="EB24" i="36"/>
  <c r="EB30" i="36"/>
  <c r="EB32" i="36"/>
  <c r="EB23" i="36"/>
  <c r="EA29" i="36" a="1"/>
  <c r="EA29" i="36" s="1"/>
  <c r="EB29" i="36" s="1"/>
  <c r="EB22" i="36"/>
  <c r="ER24" i="36"/>
  <c r="ER30" i="36"/>
  <c r="EQ29" i="36" a="1"/>
  <c r="EQ29" i="36" s="1"/>
  <c r="ER29" i="36" s="1"/>
  <c r="ER32" i="36"/>
  <c r="BH22" i="36"/>
  <c r="BH24" i="36"/>
  <c r="BH32" i="36"/>
  <c r="BH30" i="36"/>
  <c r="BH23" i="36"/>
  <c r="BG29" i="36" a="1"/>
  <c r="BG29" i="36" s="1"/>
  <c r="BH29" i="36" s="1"/>
  <c r="FH24" i="36"/>
  <c r="FH30" i="36"/>
  <c r="FH32" i="36"/>
  <c r="FG29" i="36" a="1"/>
  <c r="FG29" i="36" s="1"/>
  <c r="FH29" i="36" s="1"/>
  <c r="CR23" i="36"/>
  <c r="CR32" i="36"/>
  <c r="CR24" i="36"/>
  <c r="CR30" i="36"/>
  <c r="CQ29" i="36" a="1"/>
  <c r="CQ29" i="36" s="1"/>
  <c r="CR29" i="36" s="1"/>
  <c r="CR22" i="36"/>
  <c r="AJ22" i="36"/>
  <c r="CV32" i="38"/>
  <c r="CU29" i="38" a="1"/>
  <c r="CU29" i="38" s="1"/>
  <c r="CV29" i="38" s="1"/>
  <c r="CV30" i="38"/>
  <c r="CV23" i="38"/>
  <c r="CV24" i="38"/>
  <c r="CV22" i="38"/>
  <c r="DP22" i="38"/>
  <c r="DP24" i="38"/>
  <c r="DP30" i="38"/>
  <c r="DP32" i="38"/>
  <c r="DO29" i="38" a="1"/>
  <c r="DO29" i="38" s="1"/>
  <c r="DP29" i="38" s="1"/>
  <c r="DP23" i="38"/>
  <c r="GN22" i="38"/>
  <c r="GN30" i="38"/>
  <c r="GN24" i="38"/>
  <c r="GN32" i="38"/>
  <c r="GN23" i="38"/>
  <c r="GM29" i="38" a="1"/>
  <c r="GM29" i="38" s="1"/>
  <c r="GN29" i="38" s="1"/>
  <c r="FH23" i="38"/>
  <c r="FH24" i="38"/>
  <c r="FH30" i="38"/>
  <c r="FH22" i="38"/>
  <c r="FG29" i="38" a="1"/>
  <c r="FG29" i="38" s="1"/>
  <c r="FH29" i="38" s="1"/>
  <c r="FH32" i="38"/>
  <c r="BP24" i="38"/>
  <c r="BP30" i="38"/>
  <c r="BP23" i="38"/>
  <c r="BP32" i="38"/>
  <c r="BP22" i="38"/>
  <c r="BO29" i="38" a="1"/>
  <c r="BO29" i="38" s="1"/>
  <c r="BP29" i="38" s="1"/>
  <c r="EN22" i="38"/>
  <c r="EN30" i="38"/>
  <c r="EM29" i="38" a="1"/>
  <c r="EM29" i="38" s="1"/>
  <c r="EN29" i="38" s="1"/>
  <c r="EN23" i="38"/>
  <c r="EN32" i="38"/>
  <c r="EN24" i="38"/>
  <c r="AB24" i="38"/>
  <c r="AB23" i="38"/>
  <c r="AA29" i="38" a="1"/>
  <c r="AA29" i="38" s="1"/>
  <c r="AB29" i="38" s="1"/>
  <c r="AB32" i="38"/>
  <c r="AB30" i="38"/>
  <c r="AB22" i="38"/>
  <c r="CZ22" i="39"/>
  <c r="CZ30" i="39"/>
  <c r="CY29" i="39" a="1"/>
  <c r="CY29" i="39" s="1"/>
  <c r="CZ29" i="39" s="1"/>
  <c r="CZ32" i="39"/>
  <c r="CZ24" i="39"/>
  <c r="BX22" i="39"/>
  <c r="BW29" i="39" a="1"/>
  <c r="BW29" i="39" s="1"/>
  <c r="BX29" i="39" s="1"/>
  <c r="BX30" i="39"/>
  <c r="BX32" i="39"/>
  <c r="BX24" i="39"/>
  <c r="T22" i="39"/>
  <c r="T32" i="39"/>
  <c r="T24" i="39"/>
  <c r="T30" i="39"/>
  <c r="S29" i="39" a="1"/>
  <c r="S29" i="39" s="1"/>
  <c r="T29" i="39" s="1"/>
  <c r="V60" i="34" a="1"/>
  <c r="V60" i="34" s="1"/>
  <c r="X60" i="34" a="1"/>
  <c r="X60" i="34" s="1"/>
  <c r="X64" i="34" a="1"/>
  <c r="X64" i="34" s="1"/>
  <c r="V64" i="34" a="1"/>
  <c r="V64" i="34" s="1"/>
  <c r="X62" i="34" a="1"/>
  <c r="X62" i="34" s="1"/>
  <c r="V62" i="34" a="1"/>
  <c r="V62" i="34" s="1"/>
  <c r="X26" i="17" a="1"/>
  <c r="X26" i="17" s="1"/>
  <c r="V26" i="17" a="1"/>
  <c r="V26" i="17" s="1"/>
  <c r="X21" i="17" a="1"/>
  <c r="X21" i="17" s="1"/>
  <c r="V21" i="17" a="1"/>
  <c r="V21" i="17" s="1"/>
  <c r="V44" i="17" a="1"/>
  <c r="V44" i="17" s="1"/>
  <c r="X44" i="17" a="1"/>
  <c r="X44" i="17" s="1"/>
  <c r="X50" i="17" a="1"/>
  <c r="X50" i="17" s="1"/>
  <c r="V50" i="17" a="1"/>
  <c r="V50" i="17" s="1"/>
  <c r="AA50" i="17" s="1" a="1"/>
  <c r="AA50" i="17" s="1"/>
  <c r="V27" i="17" a="1"/>
  <c r="V27" i="17" s="1"/>
  <c r="X27" i="17" a="1"/>
  <c r="X27" i="17" s="1"/>
  <c r="X55" i="34" a="1"/>
  <c r="X55" i="34" s="1"/>
  <c r="V55" i="34" a="1"/>
  <c r="V55" i="34" s="1"/>
  <c r="X32" i="34" a="1"/>
  <c r="X32" i="34" s="1"/>
  <c r="V32" i="34" a="1"/>
  <c r="V32" i="34" s="1"/>
  <c r="V36" i="34" a="1"/>
  <c r="V36" i="34" s="1"/>
  <c r="X36" i="34" a="1"/>
  <c r="X36" i="34" s="1"/>
  <c r="BO29" i="36" a="1"/>
  <c r="BO29" i="36" s="1"/>
  <c r="BP29" i="36" s="1"/>
  <c r="BP24" i="36"/>
  <c r="BP22" i="36"/>
  <c r="BP23" i="36"/>
  <c r="BP30" i="36"/>
  <c r="BP32" i="36"/>
  <c r="S30" i="36" a="1"/>
  <c r="S30" i="36" s="1"/>
  <c r="T30" i="36" s="1"/>
  <c r="S29" i="36" a="1"/>
  <c r="S29" i="36" s="1"/>
  <c r="T29" i="36" s="1"/>
  <c r="T32" i="36"/>
  <c r="T24" i="36"/>
  <c r="O29" i="36" a="1"/>
  <c r="O29" i="36" s="1"/>
  <c r="P29" i="36" s="1"/>
  <c r="P32" i="36"/>
  <c r="O30" i="36" a="1"/>
  <c r="O30" i="36" s="1"/>
  <c r="P30" i="36" s="1"/>
  <c r="P24" i="36"/>
  <c r="FD30" i="36"/>
  <c r="FD32" i="36"/>
  <c r="FD24" i="36"/>
  <c r="FC29" i="36" a="1"/>
  <c r="FC29" i="36" s="1"/>
  <c r="FD29" i="36" s="1"/>
  <c r="CB24" i="38"/>
  <c r="CB32" i="38"/>
  <c r="CB30" i="38"/>
  <c r="CB22" i="38"/>
  <c r="CA29" i="38" a="1"/>
  <c r="CA29" i="38" s="1"/>
  <c r="CB29" i="38" s="1"/>
  <c r="CB23" i="38"/>
  <c r="BD23" i="38"/>
  <c r="BC29" i="38" a="1"/>
  <c r="BC29" i="38" s="1"/>
  <c r="BD29" i="38" s="1"/>
  <c r="BD24" i="38"/>
  <c r="BD30" i="38"/>
  <c r="BD22" i="38"/>
  <c r="BD32" i="38"/>
  <c r="EQ30" i="38" a="1"/>
  <c r="EQ30" i="38" s="1"/>
  <c r="ER30" i="38" s="1"/>
  <c r="ER32" i="38"/>
  <c r="EQ29" i="38" a="1"/>
  <c r="EQ29" i="38" s="1"/>
  <c r="ER29" i="38" s="1"/>
  <c r="ER24" i="38"/>
  <c r="ER23" i="38"/>
  <c r="ER22" i="38"/>
  <c r="DK29" i="38" a="1"/>
  <c r="DK29" i="38" s="1"/>
  <c r="DL29" i="38" s="1"/>
  <c r="DL30" i="38"/>
  <c r="DL23" i="38"/>
  <c r="DL32" i="38"/>
  <c r="DL22" i="38"/>
  <c r="DL24" i="38"/>
  <c r="BL22" i="38"/>
  <c r="BK29" i="38" a="1"/>
  <c r="BK29" i="38" s="1"/>
  <c r="BL29" i="38" s="1"/>
  <c r="BL24" i="38"/>
  <c r="BL23" i="38"/>
  <c r="BL30" i="38"/>
  <c r="BL32" i="38"/>
  <c r="T24" i="38"/>
  <c r="S29" i="38" a="1"/>
  <c r="S29" i="38" s="1"/>
  <c r="T29" i="38" s="1"/>
  <c r="T23" i="38"/>
  <c r="T32" i="38"/>
  <c r="T30" i="38"/>
  <c r="T22" i="38"/>
  <c r="EF24" i="38"/>
  <c r="EF32" i="38"/>
  <c r="EE29" i="38" a="1"/>
  <c r="EE29" i="38" s="1"/>
  <c r="EF29" i="38" s="1"/>
  <c r="EF22" i="38"/>
  <c r="EF23" i="38"/>
  <c r="EF30" i="38"/>
  <c r="AB22" i="36"/>
  <c r="CB32" i="39"/>
  <c r="CB30" i="39"/>
  <c r="CA29" i="39" a="1"/>
  <c r="CA29" i="39" s="1"/>
  <c r="CB29" i="39" s="1"/>
  <c r="CB22" i="39"/>
  <c r="CB24" i="39"/>
  <c r="GJ24" i="39"/>
  <c r="GJ22" i="39"/>
  <c r="GI29" i="39" a="1"/>
  <c r="GI29" i="39" s="1"/>
  <c r="GJ29" i="39" s="1"/>
  <c r="GJ30" i="39"/>
  <c r="GJ32" i="39"/>
  <c r="DH32" i="39"/>
  <c r="DH24" i="39"/>
  <c r="DG29" i="39" a="1"/>
  <c r="DG29" i="39" s="1"/>
  <c r="DH29" i="39" s="1"/>
  <c r="DH30" i="39"/>
  <c r="DH22" i="39"/>
  <c r="CJ32" i="39"/>
  <c r="CJ22" i="39"/>
  <c r="CJ24" i="39"/>
  <c r="CI29" i="39" a="1"/>
  <c r="CI29" i="39" s="1"/>
  <c r="CJ29" i="39" s="1"/>
  <c r="CJ30" i="39"/>
  <c r="GB23" i="36"/>
  <c r="V17" i="17" a="1"/>
  <c r="V17" i="17" s="1"/>
  <c r="X17" i="17" a="1"/>
  <c r="X17" i="17" s="1"/>
  <c r="K32" i="36" a="1"/>
  <c r="K32" i="36" s="1"/>
  <c r="AA45" i="17" a="1"/>
  <c r="AA45" i="17" s="1"/>
  <c r="X20" i="33" a="1"/>
  <c r="X20" i="33" s="1"/>
  <c r="X19" i="33" a="1"/>
  <c r="X19" i="33" s="1"/>
  <c r="F19" i="39"/>
  <c r="J19" i="39"/>
  <c r="J19" i="36"/>
  <c r="L28" i="36"/>
  <c r="F19" i="36"/>
  <c r="L28" i="39"/>
  <c r="L26" i="36"/>
  <c r="L28" i="38"/>
  <c r="L26" i="38"/>
  <c r="K19" i="39" a="1"/>
  <c r="K19" i="39" s="1"/>
  <c r="L21" i="39" s="1"/>
  <c r="L24" i="39" s="1"/>
  <c r="G19" i="36" a="1"/>
  <c r="G19" i="36" s="1"/>
  <c r="H21" i="36" s="1"/>
  <c r="H28" i="36"/>
  <c r="H26" i="39"/>
  <c r="L26" i="39"/>
  <c r="H26" i="38"/>
  <c r="G19" i="39" a="1"/>
  <c r="G19" i="39" s="1"/>
  <c r="H21" i="39" s="1"/>
  <c r="G30" i="39" s="1" a="1"/>
  <c r="G30" i="39" s="1"/>
  <c r="H28" i="39"/>
  <c r="G19" i="38" a="1"/>
  <c r="G19" i="38" s="1"/>
  <c r="H21" i="38" s="1"/>
  <c r="F19" i="38"/>
  <c r="K19" i="38" a="1"/>
  <c r="K19" i="38" s="1"/>
  <c r="L21" i="38" s="1"/>
  <c r="K30" i="38" s="1" a="1"/>
  <c r="K30" i="38" s="1"/>
  <c r="J19" i="38"/>
  <c r="H28" i="38"/>
  <c r="K19" i="36" a="1"/>
  <c r="K19" i="36" s="1"/>
  <c r="L21" i="36" s="1"/>
  <c r="L22" i="36" s="1"/>
  <c r="H26" i="36"/>
  <c r="AA61" i="17" l="1" a="1"/>
  <c r="AA61" i="17" s="1"/>
  <c r="GB33" i="36" s="1"/>
  <c r="AA48" i="17" a="1"/>
  <c r="AA48" i="17" s="1"/>
  <c r="EB33" i="36" s="1"/>
  <c r="AA34" i="17" a="1"/>
  <c r="AA34" i="17" s="1"/>
  <c r="AC34" i="17" s="1"/>
  <c r="AA46" i="17" a="1"/>
  <c r="AA46" i="17" s="1"/>
  <c r="DT33" i="36" s="1"/>
  <c r="AA40" i="17" a="1"/>
  <c r="AA40" i="17" s="1"/>
  <c r="CV33" i="36" s="1"/>
  <c r="AA36" i="17" a="1"/>
  <c r="AA36" i="17" s="1"/>
  <c r="AD36" i="17" s="1"/>
  <c r="AA33" i="17" a="1"/>
  <c r="AA33" i="17" s="1"/>
  <c r="AD33" i="17" s="1"/>
  <c r="AA60" i="17" a="1"/>
  <c r="AA60" i="17" s="1"/>
  <c r="FX33" i="36" s="1"/>
  <c r="FX41" i="36" s="1"/>
  <c r="AA62" i="17" a="1"/>
  <c r="AA62" i="17" s="1"/>
  <c r="GF33" i="36" s="1"/>
  <c r="GF41" i="36" s="1"/>
  <c r="AA37" i="17" a="1"/>
  <c r="AA37" i="17" s="1"/>
  <c r="CJ33" i="36" s="1"/>
  <c r="AA54" i="17" a="1"/>
  <c r="AA54" i="17" s="1"/>
  <c r="EZ33" i="36" s="1"/>
  <c r="AA39" i="17" a="1"/>
  <c r="AA39" i="17" s="1"/>
  <c r="AD39" i="17" s="1"/>
  <c r="AA57" i="17" a="1"/>
  <c r="AA57" i="17" s="1"/>
  <c r="FL33" i="36" s="1"/>
  <c r="AA53" i="17" a="1"/>
  <c r="AA53" i="17" s="1"/>
  <c r="EV33" i="36" s="1"/>
  <c r="EV40" i="36" s="1"/>
  <c r="AA47" i="17" a="1"/>
  <c r="AA47" i="17" s="1"/>
  <c r="DX33" i="36" s="1"/>
  <c r="AA29" i="17" a="1"/>
  <c r="AA29" i="17" s="1"/>
  <c r="AC29" i="17" s="1"/>
  <c r="AA49" i="17" a="1"/>
  <c r="AA49" i="17" s="1"/>
  <c r="AC49" i="17" s="1"/>
  <c r="AA22" i="17" a="1"/>
  <c r="AA22" i="17" s="1"/>
  <c r="AB33" i="36" s="1"/>
  <c r="AB41" i="36" s="1"/>
  <c r="AA58" i="17" a="1"/>
  <c r="AA58" i="17" s="1"/>
  <c r="AD58" i="17" s="1"/>
  <c r="AA21" i="17" a="1"/>
  <c r="AA21" i="17" s="1"/>
  <c r="X33" i="36" s="1"/>
  <c r="X34" i="36" s="1"/>
  <c r="X41" i="36" s="1"/>
  <c r="AA42" i="17" a="1"/>
  <c r="AA42" i="17" s="1"/>
  <c r="AD42" i="17" s="1"/>
  <c r="AA63" i="17" a="1"/>
  <c r="AA63" i="17" s="1"/>
  <c r="GJ33" i="36" s="1"/>
  <c r="AA32" i="17" a="1"/>
  <c r="AA32" i="17" s="1"/>
  <c r="AC32" i="17" s="1"/>
  <c r="AA18" i="17" a="1"/>
  <c r="AA18" i="17" s="1"/>
  <c r="F20" i="41" s="1" a="1"/>
  <c r="F20" i="41" s="1"/>
  <c r="AA25" i="17" a="1"/>
  <c r="AA25" i="17" s="1"/>
  <c r="AN33" i="36" s="1"/>
  <c r="AN41" i="36" s="1"/>
  <c r="V66" i="17" a="1"/>
  <c r="V66" i="17" s="1"/>
  <c r="X66" i="17" a="1"/>
  <c r="X66" i="17" s="1"/>
  <c r="N16" i="33"/>
  <c r="X66" i="33" a="1"/>
  <c r="X66" i="33" s="1"/>
  <c r="X18" i="34" a="1"/>
  <c r="X18" i="34" s="1"/>
  <c r="V18" i="34" a="1"/>
  <c r="V18" i="34" s="1"/>
  <c r="X20" i="34" a="1"/>
  <c r="X20" i="34" s="1"/>
  <c r="V20" i="34" a="1"/>
  <c r="V20" i="34" s="1"/>
  <c r="V66" i="34" a="1"/>
  <c r="V66" i="34" s="1"/>
  <c r="X66" i="34" a="1"/>
  <c r="X66" i="34" s="1"/>
  <c r="X19" i="34" a="1"/>
  <c r="X19" i="34" s="1"/>
  <c r="V19" i="34" a="1"/>
  <c r="V19" i="34" s="1"/>
  <c r="AD52" i="17"/>
  <c r="AD55" i="17"/>
  <c r="AC55" i="17"/>
  <c r="AD56" i="17"/>
  <c r="AA59" i="17" a="1"/>
  <c r="AA59" i="17" s="1"/>
  <c r="AC59" i="17" s="1"/>
  <c r="FD34" i="36"/>
  <c r="FD40" i="36"/>
  <c r="ER34" i="36"/>
  <c r="AD61" i="17"/>
  <c r="AC61" i="17"/>
  <c r="EJ33" i="36"/>
  <c r="AD50" i="17"/>
  <c r="AC50" i="17"/>
  <c r="AD57" i="17"/>
  <c r="FH40" i="36"/>
  <c r="AC52" i="17"/>
  <c r="FH41" i="36"/>
  <c r="AA44" i="17" a="1"/>
  <c r="AA44" i="17" s="1"/>
  <c r="AA26" i="17" a="1"/>
  <c r="AA26" i="17" s="1"/>
  <c r="AA64" i="17" a="1"/>
  <c r="AA64" i="17" s="1"/>
  <c r="AC40" i="17"/>
  <c r="AD40" i="17"/>
  <c r="AA23" i="17" a="1"/>
  <c r="AA23" i="17" s="1"/>
  <c r="AF33" i="36" s="1"/>
  <c r="AA27" i="17" a="1"/>
  <c r="AA27" i="17" s="1"/>
  <c r="AV33" i="36" s="1"/>
  <c r="AV34" i="36" s="1"/>
  <c r="AA28" i="17" a="1"/>
  <c r="AA28" i="17" s="1"/>
  <c r="AA35" i="17" a="1"/>
  <c r="AA35" i="17" s="1"/>
  <c r="DP33" i="36"/>
  <c r="AC45" i="17"/>
  <c r="AD45" i="17"/>
  <c r="EN33" i="36"/>
  <c r="AD51" i="17"/>
  <c r="AC51" i="17"/>
  <c r="AC38" i="17"/>
  <c r="AD38" i="17"/>
  <c r="CN33" i="36"/>
  <c r="BL33" i="36"/>
  <c r="AD31" i="17"/>
  <c r="AC31" i="17"/>
  <c r="ER40" i="36"/>
  <c r="AA30" i="17" a="1"/>
  <c r="AA30" i="17" s="1"/>
  <c r="AC48" i="17"/>
  <c r="AD48" i="17"/>
  <c r="AC56" i="17"/>
  <c r="AA43" i="17" a="1"/>
  <c r="AA43" i="17" s="1"/>
  <c r="AA65" i="17" a="1"/>
  <c r="AA65" i="17" s="1"/>
  <c r="BX33" i="36"/>
  <c r="AD34" i="17"/>
  <c r="AA24" i="17" a="1"/>
  <c r="AA24" i="17" s="1"/>
  <c r="AD24" i="17" s="1"/>
  <c r="AA41" i="17" a="1"/>
  <c r="AA41" i="17" s="1"/>
  <c r="N16" i="17"/>
  <c r="AA17" i="17" a="1"/>
  <c r="AA17" i="17" s="1"/>
  <c r="AA19" i="17" a="1"/>
  <c r="AA19" i="17" s="1"/>
  <c r="G30" i="38" a="1"/>
  <c r="G30" i="38" s="1"/>
  <c r="H30" i="38" s="1"/>
  <c r="H23" i="36"/>
  <c r="N16" i="34"/>
  <c r="K30" i="39" a="1"/>
  <c r="K30" i="39" s="1"/>
  <c r="L30" i="39" s="1"/>
  <c r="G29" i="36" a="1"/>
  <c r="G29" i="36" s="1"/>
  <c r="H29" i="36" s="1"/>
  <c r="L32" i="39"/>
  <c r="K29" i="39" a="1"/>
  <c r="K29" i="39" s="1"/>
  <c r="L29" i="39" s="1"/>
  <c r="L22" i="39"/>
  <c r="H24" i="36"/>
  <c r="H32" i="36"/>
  <c r="G30" i="36" a="1"/>
  <c r="G30" i="36" s="1"/>
  <c r="H30" i="36" s="1"/>
  <c r="H22" i="36"/>
  <c r="K30" i="36" a="1"/>
  <c r="K30" i="36" s="1"/>
  <c r="L30" i="36" s="1"/>
  <c r="L32" i="36"/>
  <c r="L24" i="36"/>
  <c r="K29" i="36" a="1"/>
  <c r="K29" i="36" s="1"/>
  <c r="L29" i="36" s="1"/>
  <c r="L23" i="36"/>
  <c r="H30" i="39"/>
  <c r="H22" i="39"/>
  <c r="H32" i="39"/>
  <c r="H24" i="39"/>
  <c r="G29" i="39" a="1"/>
  <c r="G29" i="39" s="1"/>
  <c r="H29" i="39" s="1"/>
  <c r="L24" i="38"/>
  <c r="K29" i="38" a="1"/>
  <c r="K29" i="38" s="1"/>
  <c r="L29" i="38" s="1"/>
  <c r="L32" i="38"/>
  <c r="L22" i="38"/>
  <c r="L30" i="38"/>
  <c r="L23" i="38"/>
  <c r="H24" i="38"/>
  <c r="H22" i="38"/>
  <c r="H23" i="38"/>
  <c r="G29" i="38" a="1"/>
  <c r="G29" i="38" s="1"/>
  <c r="H29" i="38" s="1"/>
  <c r="H32" i="38"/>
  <c r="AC33" i="17" l="1"/>
  <c r="CF33" i="36"/>
  <c r="AC46" i="17"/>
  <c r="AD46" i="17"/>
  <c r="AC36" i="17"/>
  <c r="AC60" i="17"/>
  <c r="F25" i="41" a="1"/>
  <c r="F25" i="41" s="1"/>
  <c r="G25" i="41" a="1"/>
  <c r="G25" i="41" s="1"/>
  <c r="AD18" i="17"/>
  <c r="GF40" i="36"/>
  <c r="GF34" i="36"/>
  <c r="AD60" i="17"/>
  <c r="AD62" i="17"/>
  <c r="FX40" i="36"/>
  <c r="AD37" i="17"/>
  <c r="AC57" i="17"/>
  <c r="AC54" i="17"/>
  <c r="AC37" i="17"/>
  <c r="FX34" i="36"/>
  <c r="BT33" i="36"/>
  <c r="BT41" i="36" s="1"/>
  <c r="AC62" i="17"/>
  <c r="AD54" i="17"/>
  <c r="AC39" i="17"/>
  <c r="AA66" i="17" a="1"/>
  <c r="AA66" i="17" s="1"/>
  <c r="AD66" i="17" s="1"/>
  <c r="AD29" i="17"/>
  <c r="BD33" i="36"/>
  <c r="BD40" i="36" s="1"/>
  <c r="AC53" i="17"/>
  <c r="AC47" i="17"/>
  <c r="AD47" i="17"/>
  <c r="FP33" i="36"/>
  <c r="FP40" i="36" s="1"/>
  <c r="CR33" i="36"/>
  <c r="CR34" i="36" s="1"/>
  <c r="AC58" i="17"/>
  <c r="AC22" i="17"/>
  <c r="AD22" i="17"/>
  <c r="AD53" i="17"/>
  <c r="EV34" i="36"/>
  <c r="AB34" i="36"/>
  <c r="AB40" i="36"/>
  <c r="EV41" i="36"/>
  <c r="AC63" i="17"/>
  <c r="AD63" i="17"/>
  <c r="DD33" i="36"/>
  <c r="DD40" i="36" s="1"/>
  <c r="AD49" i="17"/>
  <c r="EF33" i="36"/>
  <c r="EF40" i="36" s="1"/>
  <c r="AC42" i="17"/>
  <c r="AD32" i="17"/>
  <c r="BP33" i="36"/>
  <c r="BP41" i="36" s="1"/>
  <c r="AC25" i="17"/>
  <c r="AD21" i="17"/>
  <c r="AC21" i="17"/>
  <c r="AD25" i="17"/>
  <c r="AC18" i="17"/>
  <c r="L33" i="36"/>
  <c r="L34" i="36" s="1"/>
  <c r="AN34" i="36"/>
  <c r="AN40" i="36"/>
  <c r="AD17" i="17"/>
  <c r="FT33" i="36"/>
  <c r="FT40" i="36" s="1"/>
  <c r="AC23" i="17"/>
  <c r="AD23" i="17"/>
  <c r="H33" i="36"/>
  <c r="AD59" i="17"/>
  <c r="X40" i="36"/>
  <c r="GR33" i="36"/>
  <c r="AC65" i="17"/>
  <c r="AD65" i="17"/>
  <c r="GJ40" i="36"/>
  <c r="GJ34" i="36"/>
  <c r="GJ41" i="36"/>
  <c r="DP41" i="36"/>
  <c r="DP40" i="36"/>
  <c r="DP34" i="36"/>
  <c r="BH33" i="36"/>
  <c r="AC30" i="17"/>
  <c r="AD30" i="17"/>
  <c r="CB33" i="36"/>
  <c r="AC35" i="17"/>
  <c r="AD35" i="17"/>
  <c r="DX41" i="36"/>
  <c r="DX34" i="36"/>
  <c r="DX40" i="36"/>
  <c r="EJ41" i="36"/>
  <c r="EJ40" i="36"/>
  <c r="EJ34" i="36"/>
  <c r="EN41" i="36"/>
  <c r="EN40" i="36"/>
  <c r="EN34" i="36"/>
  <c r="AZ33" i="36"/>
  <c r="AD28" i="17"/>
  <c r="AC28" i="17"/>
  <c r="AC27" i="17"/>
  <c r="AD27" i="17"/>
  <c r="CV40" i="36"/>
  <c r="CV41" i="36"/>
  <c r="CV34" i="36"/>
  <c r="CF41" i="36"/>
  <c r="CF40" i="36"/>
  <c r="CF34" i="36"/>
  <c r="EZ41" i="36"/>
  <c r="EZ40" i="36"/>
  <c r="EZ34" i="36"/>
  <c r="DH33" i="36"/>
  <c r="AC43" i="17"/>
  <c r="AD43" i="17"/>
  <c r="EB40" i="36"/>
  <c r="EB41" i="36"/>
  <c r="EB34" i="36"/>
  <c r="CN41" i="36"/>
  <c r="CN40" i="36"/>
  <c r="CN34" i="36"/>
  <c r="GN33" i="36"/>
  <c r="AD64" i="17"/>
  <c r="AC64" i="17"/>
  <c r="DT41" i="36"/>
  <c r="DT34" i="36"/>
  <c r="DT40" i="36"/>
  <c r="AR33" i="36"/>
  <c r="AC26" i="17"/>
  <c r="AD26" i="17"/>
  <c r="FL34" i="36"/>
  <c r="FL41" i="36"/>
  <c r="FL40" i="36"/>
  <c r="CJ41" i="36"/>
  <c r="CJ40" i="36"/>
  <c r="CJ34" i="36"/>
  <c r="BL41" i="36"/>
  <c r="BL40" i="36"/>
  <c r="BL34" i="36"/>
  <c r="BX41" i="36"/>
  <c r="BX40" i="36"/>
  <c r="BX34" i="36"/>
  <c r="DL33" i="36"/>
  <c r="AC44" i="17"/>
  <c r="AD44" i="17"/>
  <c r="GB40" i="36"/>
  <c r="GB41" i="36"/>
  <c r="GB34" i="36"/>
  <c r="AF34" i="36"/>
  <c r="AF41" i="36"/>
  <c r="AF40" i="36"/>
  <c r="AC24" i="17"/>
  <c r="AJ33" i="36"/>
  <c r="AA20" i="17" a="1"/>
  <c r="AA20" i="17" s="1"/>
  <c r="AC19" i="17"/>
  <c r="P33" i="36"/>
  <c r="CZ33" i="36"/>
  <c r="AC41" i="17"/>
  <c r="AD41" i="17"/>
  <c r="AD19" i="17"/>
  <c r="AC17" i="17"/>
  <c r="AD16" i="17" l="1"/>
  <c r="AC66" i="17"/>
  <c r="GV33" i="36"/>
  <c r="BD41" i="36"/>
  <c r="BD34" i="36"/>
  <c r="BT34" i="36"/>
  <c r="BT40" i="36"/>
  <c r="FP41" i="36"/>
  <c r="CR41" i="36"/>
  <c r="CR40" i="36"/>
  <c r="FP34" i="36"/>
  <c r="DD34" i="36"/>
  <c r="EF41" i="36"/>
  <c r="DD41" i="36"/>
  <c r="EF34" i="36"/>
  <c r="BP34" i="36"/>
  <c r="BP40" i="36"/>
  <c r="FT41" i="36"/>
  <c r="FT34" i="36"/>
  <c r="H34" i="36"/>
  <c r="AV40" i="36"/>
  <c r="AV41" i="36"/>
  <c r="BH40" i="36"/>
  <c r="BH41" i="36"/>
  <c r="BH34" i="36"/>
  <c r="AR34" i="36"/>
  <c r="AR41" i="36"/>
  <c r="AR40" i="36"/>
  <c r="DL40" i="36"/>
  <c r="DL41" i="36"/>
  <c r="DL34" i="36"/>
  <c r="CB34" i="36"/>
  <c r="CB41" i="36"/>
  <c r="CB40" i="36"/>
  <c r="DH40" i="36"/>
  <c r="DH34" i="36"/>
  <c r="DH41" i="36"/>
  <c r="AZ34" i="36"/>
  <c r="AZ41" i="36" s="1"/>
  <c r="GN40" i="36"/>
  <c r="GN41" i="36"/>
  <c r="GN34" i="36"/>
  <c r="GR41" i="36"/>
  <c r="GR40" i="36"/>
  <c r="GR34" i="36"/>
  <c r="GV41" i="36"/>
  <c r="GV40" i="36"/>
  <c r="GV34" i="36"/>
  <c r="AJ41" i="36"/>
  <c r="AJ40" i="36"/>
  <c r="AJ34" i="36"/>
  <c r="T33" i="36"/>
  <c r="F30" i="37" s="1"/>
  <c r="AA16" i="17"/>
  <c r="AC20" i="17"/>
  <c r="AD20" i="17"/>
  <c r="P34" i="36"/>
  <c r="P40" i="36" s="1"/>
  <c r="CZ40" i="36"/>
  <c r="CZ41" i="36"/>
  <c r="CZ34" i="36"/>
  <c r="L41" i="36"/>
  <c r="L40" i="36"/>
  <c r="AZ40" i="36" l="1"/>
  <c r="F20" i="37"/>
  <c r="H40" i="36"/>
  <c r="H41" i="36"/>
  <c r="P41" i="36"/>
  <c r="G20" i="37"/>
  <c r="T34" i="36"/>
  <c r="T41" i="36" s="1"/>
  <c r="T40" i="36" l="1"/>
  <c r="AB16" i="17"/>
  <c r="AC16" i="17" l="1"/>
  <c r="V45" i="33" a="1"/>
  <c r="V45" i="33" s="1"/>
  <c r="V24" i="33" a="1"/>
  <c r="V24" i="33" s="1"/>
  <c r="V30" i="33" a="1"/>
  <c r="V30" i="33" s="1"/>
  <c r="AA30" i="33" s="1" a="1"/>
  <c r="AA30" i="33" s="1"/>
  <c r="BH33" i="38" s="1"/>
  <c r="V48" i="33" a="1"/>
  <c r="V48" i="33" s="1"/>
  <c r="V55" i="33" a="1"/>
  <c r="V55" i="33" s="1"/>
  <c r="V40" i="33" a="1"/>
  <c r="V40" i="33" s="1"/>
  <c r="V41" i="33" a="1"/>
  <c r="V41" i="33" s="1"/>
  <c r="AA41" i="33" s="1" a="1"/>
  <c r="AA41" i="33" s="1"/>
  <c r="CZ33" i="38" s="1"/>
  <c r="V64" i="33" a="1"/>
  <c r="V64" i="33" s="1"/>
  <c r="V26" i="33" a="1"/>
  <c r="V26" i="33" s="1"/>
  <c r="V27" i="33" a="1"/>
  <c r="V27" i="33" s="1"/>
  <c r="AA27" i="33" s="1" a="1"/>
  <c r="AA27" i="33" s="1"/>
  <c r="AV33" i="38" s="1"/>
  <c r="V42" i="33" a="1"/>
  <c r="V42" i="33" s="1"/>
  <c r="V21" i="33" a="1"/>
  <c r="V21" i="33" s="1"/>
  <c r="V19" i="33" a="1"/>
  <c r="V19" i="33" s="1"/>
  <c r="V36" i="33" a="1"/>
  <c r="V36" i="33" s="1"/>
  <c r="V61" i="33" a="1"/>
  <c r="V61" i="33" s="1"/>
  <c r="V38" i="33" a="1"/>
  <c r="V38" i="33" s="1"/>
  <c r="V32" i="33" a="1"/>
  <c r="V32" i="33" s="1"/>
  <c r="V18" i="33" a="1"/>
  <c r="V18" i="33" s="1"/>
  <c r="V33" i="33" a="1"/>
  <c r="V33" i="33" s="1"/>
  <c r="AA33" i="33" s="1" a="1"/>
  <c r="AA33" i="33" s="1"/>
  <c r="BT33" i="38" s="1"/>
  <c r="V54" i="33" a="1"/>
  <c r="V54" i="33" s="1"/>
  <c r="V46" i="33" a="1"/>
  <c r="V46" i="33" s="1"/>
  <c r="V25" i="33" a="1"/>
  <c r="V25" i="33" s="1"/>
  <c r="V65" i="33" a="1"/>
  <c r="V65" i="33" s="1"/>
  <c r="V49" i="33" a="1"/>
  <c r="V49" i="33" s="1"/>
  <c r="V44" i="33" a="1"/>
  <c r="V44" i="33" s="1"/>
  <c r="AA44" i="33" s="1" a="1"/>
  <c r="AA44" i="33" s="1"/>
  <c r="DL33" i="38" s="1"/>
  <c r="V31" i="33" a="1"/>
  <c r="V31" i="33" s="1"/>
  <c r="V62" i="33" a="1"/>
  <c r="V62" i="33" s="1"/>
  <c r="V43" i="33" a="1"/>
  <c r="V43" i="33" s="1"/>
  <c r="V63" i="33" a="1"/>
  <c r="V63" i="33" s="1"/>
  <c r="AA63" i="33" s="1" a="1"/>
  <c r="AA63" i="33" s="1"/>
  <c r="GJ33" i="38" s="1"/>
  <c r="V22" i="33" a="1"/>
  <c r="V22" i="33" s="1"/>
  <c r="AA22" i="33" s="1" a="1"/>
  <c r="AA22" i="33" s="1"/>
  <c r="AB33" i="38" s="1"/>
  <c r="V52" i="33" a="1"/>
  <c r="V52" i="33" s="1"/>
  <c r="AA52" i="33" s="1" a="1"/>
  <c r="AA52" i="33" s="1"/>
  <c r="V53" i="33" a="1"/>
  <c r="V53" i="33" s="1"/>
  <c r="V50" i="33" a="1"/>
  <c r="V50" i="33" s="1"/>
  <c r="V20" i="33" a="1"/>
  <c r="V20" i="33" s="1"/>
  <c r="V59" i="33" a="1"/>
  <c r="V59" i="33" s="1"/>
  <c r="V56" i="33" a="1"/>
  <c r="V56" i="33" s="1"/>
  <c r="V47" i="33" a="1"/>
  <c r="V47" i="33" s="1"/>
  <c r="AA47" i="33" s="1" a="1"/>
  <c r="AA47" i="33" s="1"/>
  <c r="DX33" i="38" s="1"/>
  <c r="V29" i="33" a="1"/>
  <c r="V29" i="33" s="1"/>
  <c r="AA29" i="33" s="1" a="1"/>
  <c r="AA29" i="33" s="1"/>
  <c r="BD33" i="38" s="1"/>
  <c r="V66" i="33" a="1"/>
  <c r="V66" i="33" s="1"/>
  <c r="V57" i="33" a="1"/>
  <c r="V57" i="33" s="1"/>
  <c r="V35" i="33" a="1"/>
  <c r="V35" i="33" s="1"/>
  <c r="AA35" i="33" s="1" a="1"/>
  <c r="AA35" i="33" s="1"/>
  <c r="CB33" i="38" s="1"/>
  <c r="V60" i="33" a="1"/>
  <c r="V60" i="33" s="1"/>
  <c r="V51" i="33" a="1"/>
  <c r="V51" i="33" s="1"/>
  <c r="AA51" i="33" s="1" a="1"/>
  <c r="AA51" i="33" s="1"/>
  <c r="EN33" i="38" s="1"/>
  <c r="V58" i="33" a="1"/>
  <c r="V58" i="33" s="1"/>
  <c r="AA58" i="33" s="1" a="1"/>
  <c r="AA58" i="33" s="1"/>
  <c r="FP33" i="38" s="1"/>
  <c r="V39" i="33" a="1"/>
  <c r="V39" i="33" s="1"/>
  <c r="V37" i="33" a="1"/>
  <c r="V37" i="33" s="1"/>
  <c r="V28" i="33" a="1"/>
  <c r="V28" i="33" s="1"/>
  <c r="AA28" i="33" s="1" a="1"/>
  <c r="AA28" i="33" s="1"/>
  <c r="AZ33" i="38" s="1"/>
  <c r="V34" i="33" a="1"/>
  <c r="V34" i="33" s="1"/>
  <c r="V23" i="33" a="1"/>
  <c r="V23" i="33" s="1"/>
  <c r="V17" i="33" a="1"/>
  <c r="V17" i="33" s="1"/>
  <c r="AA17" i="33" s="1" a="1"/>
  <c r="AA17" i="33" s="1"/>
  <c r="ER33" i="38" l="1"/>
  <c r="ER34" i="38" s="1"/>
  <c r="ER40" i="38" s="1"/>
  <c r="AV41" i="38"/>
  <c r="AV34" i="38"/>
  <c r="AV40" i="38"/>
  <c r="EN40" i="38"/>
  <c r="EN41" i="38"/>
  <c r="EN34" i="38"/>
  <c r="CZ40" i="38"/>
  <c r="CZ34" i="38"/>
  <c r="CZ41" i="38"/>
  <c r="GJ34" i="38"/>
  <c r="GJ41" i="38"/>
  <c r="GJ40" i="38"/>
  <c r="DX41" i="38"/>
  <c r="DX34" i="38"/>
  <c r="DX40" i="38"/>
  <c r="CB41" i="38"/>
  <c r="CB40" i="38"/>
  <c r="CB34" i="38"/>
  <c r="DL41" i="38"/>
  <c r="DL40" i="38"/>
  <c r="DL34" i="38"/>
  <c r="FP41" i="38"/>
  <c r="FP40" i="38"/>
  <c r="FP34" i="38"/>
  <c r="BT34" i="38"/>
  <c r="BT40" i="38"/>
  <c r="BT41" i="38"/>
  <c r="AB41" i="38"/>
  <c r="AB40" i="38"/>
  <c r="AB34" i="38"/>
  <c r="BH41" i="38"/>
  <c r="BH40" i="38"/>
  <c r="BH34" i="38"/>
  <c r="BD41" i="38"/>
  <c r="BD40" i="38"/>
  <c r="BD34" i="38"/>
  <c r="AZ34" i="38"/>
  <c r="AZ41" i="38"/>
  <c r="AZ40" i="38"/>
  <c r="H33" i="38"/>
  <c r="AD51" i="33"/>
  <c r="AC51" i="33"/>
  <c r="AD33" i="33"/>
  <c r="AC33" i="33"/>
  <c r="AD41" i="33"/>
  <c r="AC41" i="33"/>
  <c r="AD35" i="33"/>
  <c r="AC35" i="33"/>
  <c r="AD17" i="33"/>
  <c r="AC17" i="33"/>
  <c r="AD30" i="33"/>
  <c r="AC30" i="33"/>
  <c r="AD47" i="33"/>
  <c r="AC47" i="33"/>
  <c r="AD44" i="33"/>
  <c r="AC44" i="33"/>
  <c r="AC27" i="33"/>
  <c r="AD27" i="33"/>
  <c r="AD58" i="33"/>
  <c r="AC58" i="33"/>
  <c r="AC52" i="33"/>
  <c r="AD52" i="33"/>
  <c r="AD22" i="33"/>
  <c r="AC22" i="33"/>
  <c r="AD63" i="33"/>
  <c r="AC63" i="33"/>
  <c r="AC29" i="33"/>
  <c r="AD29" i="33"/>
  <c r="AC28" i="33"/>
  <c r="AD28" i="33"/>
  <c r="AA53" i="33" a="1"/>
  <c r="AA53" i="33" s="1"/>
  <c r="EV33" i="38" s="1"/>
  <c r="AA24" i="33" a="1"/>
  <c r="AA24" i="33" s="1"/>
  <c r="AJ33" i="38" s="1"/>
  <c r="AA34" i="33" a="1"/>
  <c r="AA34" i="33" s="1"/>
  <c r="BX33" i="38" s="1"/>
  <c r="AA50" i="33" a="1"/>
  <c r="AA50" i="33" s="1"/>
  <c r="EJ33" i="38" s="1"/>
  <c r="AA62" i="33" a="1"/>
  <c r="AA62" i="33" s="1"/>
  <c r="GF33" i="38" s="1"/>
  <c r="AA46" i="33" a="1"/>
  <c r="AA46" i="33" s="1"/>
  <c r="DT33" i="38" s="1"/>
  <c r="AA61" i="33" a="1"/>
  <c r="AA61" i="33" s="1"/>
  <c r="GB33" i="38" s="1"/>
  <c r="AA26" i="33" a="1"/>
  <c r="AA26" i="33" s="1"/>
  <c r="AR33" i="38" s="1"/>
  <c r="AA31" i="33" a="1"/>
  <c r="AA31" i="33" s="1"/>
  <c r="BL33" i="38" s="1"/>
  <c r="AA57" i="33" a="1"/>
  <c r="AA57" i="33" s="1"/>
  <c r="FL33" i="38" s="1"/>
  <c r="AA20" i="33" a="1"/>
  <c r="AA20" i="33" s="1"/>
  <c r="AA55" i="33" a="1"/>
  <c r="AA55" i="33" s="1"/>
  <c r="FD33" i="38" s="1"/>
  <c r="AA18" i="33" a="1"/>
  <c r="AA18" i="33" s="1"/>
  <c r="AA48" i="33" a="1"/>
  <c r="AA48" i="33" s="1"/>
  <c r="EB33" i="38" s="1"/>
  <c r="AA60" i="33" a="1"/>
  <c r="AA60" i="33" s="1"/>
  <c r="FX33" i="38" s="1"/>
  <c r="AA56" i="33" a="1"/>
  <c r="AA56" i="33" s="1"/>
  <c r="FH33" i="38" s="1"/>
  <c r="AA49" i="33" a="1"/>
  <c r="AA49" i="33" s="1"/>
  <c r="EF33" i="38" s="1"/>
  <c r="AA19" i="33" a="1"/>
  <c r="AA19" i="33" s="1"/>
  <c r="AA64" i="33" a="1"/>
  <c r="AA64" i="33" s="1"/>
  <c r="GN33" i="38" s="1"/>
  <c r="AA54" i="33" a="1"/>
  <c r="AA54" i="33" s="1"/>
  <c r="EZ33" i="38" s="1"/>
  <c r="AA65" i="33" a="1"/>
  <c r="AA65" i="33" s="1"/>
  <c r="GR33" i="38" s="1"/>
  <c r="AA37" i="33" a="1"/>
  <c r="AA37" i="33" s="1"/>
  <c r="CJ33" i="38" s="1"/>
  <c r="AA45" i="33" a="1"/>
  <c r="AA45" i="33" s="1"/>
  <c r="DP33" i="38" s="1"/>
  <c r="AA32" i="33" a="1"/>
  <c r="AA32" i="33" s="1"/>
  <c r="BP33" i="38" s="1"/>
  <c r="AA39" i="33" a="1"/>
  <c r="AA39" i="33" s="1"/>
  <c r="CR33" i="38" s="1"/>
  <c r="AA66" i="33" a="1"/>
  <c r="AA66" i="33" s="1"/>
  <c r="GV33" i="38" s="1"/>
  <c r="AA42" i="33" a="1"/>
  <c r="AA42" i="33" s="1"/>
  <c r="DD33" i="38" s="1"/>
  <c r="AA40" i="33" a="1"/>
  <c r="AA40" i="33" s="1"/>
  <c r="CV33" i="38" s="1"/>
  <c r="AA25" i="33" a="1"/>
  <c r="AA25" i="33" s="1"/>
  <c r="AN33" i="38" s="1"/>
  <c r="AA38" i="33" a="1"/>
  <c r="AA38" i="33" s="1"/>
  <c r="CN33" i="38" s="1"/>
  <c r="AA36" i="33" a="1"/>
  <c r="AA36" i="33" s="1"/>
  <c r="CF33" i="38" s="1"/>
  <c r="AA59" i="33" a="1"/>
  <c r="AA59" i="33" s="1"/>
  <c r="FT33" i="38" s="1"/>
  <c r="AA21" i="33" a="1"/>
  <c r="AA21" i="33" s="1"/>
  <c r="X33" i="38" s="1"/>
  <c r="AA43" i="33" a="1"/>
  <c r="AA43" i="33" s="1"/>
  <c r="DH33" i="38" s="1"/>
  <c r="AA23" i="33" a="1"/>
  <c r="AA23" i="33" s="1"/>
  <c r="AF33" i="38" s="1"/>
  <c r="F24" i="41" l="1" a="1"/>
  <c r="F24" i="41" s="1"/>
  <c r="G24" i="41" a="1"/>
  <c r="G24" i="41" s="1"/>
  <c r="T33" i="38"/>
  <c r="T41" i="38" s="1"/>
  <c r="P33" i="38"/>
  <c r="P34" i="38" s="1"/>
  <c r="G20" i="41" a="1"/>
  <c r="G20" i="41" s="1"/>
  <c r="AD16" i="33"/>
  <c r="ER41" i="38"/>
  <c r="AF40" i="38"/>
  <c r="AF34" i="38"/>
  <c r="AF41" i="38"/>
  <c r="GR40" i="38"/>
  <c r="GR34" i="38"/>
  <c r="GR41" i="38"/>
  <c r="CF40" i="38"/>
  <c r="CF34" i="38"/>
  <c r="CF41" i="38"/>
  <c r="GF41" i="38"/>
  <c r="GF34" i="38"/>
  <c r="GF40" i="38"/>
  <c r="BX41" i="38"/>
  <c r="BX40" i="38"/>
  <c r="BX34" i="38"/>
  <c r="CJ40" i="38"/>
  <c r="CJ34" i="38"/>
  <c r="CJ41" i="38"/>
  <c r="BL41" i="38"/>
  <c r="BL40" i="38"/>
  <c r="BL34" i="38"/>
  <c r="FT41" i="38"/>
  <c r="FT34" i="38"/>
  <c r="FT40" i="38"/>
  <c r="GN40" i="38"/>
  <c r="GN34" i="38"/>
  <c r="GN41" i="38"/>
  <c r="AN41" i="38"/>
  <c r="AN34" i="38"/>
  <c r="AN40" i="38"/>
  <c r="CV41" i="38"/>
  <c r="CV34" i="38"/>
  <c r="CV40" i="38"/>
  <c r="DD40" i="38"/>
  <c r="DD41" i="38"/>
  <c r="DD34" i="38"/>
  <c r="GV41" i="38"/>
  <c r="GV34" i="38"/>
  <c r="GV40" i="38"/>
  <c r="EB41" i="38"/>
  <c r="EB34" i="38"/>
  <c r="EB40" i="38"/>
  <c r="AJ34" i="38"/>
  <c r="AJ41" i="38"/>
  <c r="AJ40" i="38"/>
  <c r="DP40" i="38"/>
  <c r="DP41" i="38"/>
  <c r="DP34" i="38"/>
  <c r="DH41" i="38"/>
  <c r="DH40" i="38"/>
  <c r="DH34" i="38"/>
  <c r="X40" i="38"/>
  <c r="X41" i="38"/>
  <c r="X34" i="38"/>
  <c r="EZ41" i="38"/>
  <c r="EZ40" i="38"/>
  <c r="EZ34" i="38"/>
  <c r="GB34" i="38"/>
  <c r="GB41" i="38"/>
  <c r="GB40" i="38"/>
  <c r="DT41" i="38"/>
  <c r="DT34" i="38"/>
  <c r="DT40" i="38"/>
  <c r="EF34" i="38"/>
  <c r="EF41" i="38"/>
  <c r="EF40" i="38"/>
  <c r="FH34" i="38"/>
  <c r="FH41" i="38"/>
  <c r="FH40" i="38"/>
  <c r="FX41" i="38"/>
  <c r="FX40" i="38"/>
  <c r="FX34" i="38"/>
  <c r="CR40" i="38"/>
  <c r="CR41" i="38"/>
  <c r="CR34" i="38"/>
  <c r="EV40" i="38"/>
  <c r="EV34" i="38"/>
  <c r="EV41" i="38"/>
  <c r="FL40" i="38"/>
  <c r="FL41" i="38"/>
  <c r="FL34" i="38"/>
  <c r="AR41" i="38"/>
  <c r="AR34" i="38"/>
  <c r="AR40" i="38"/>
  <c r="CN41" i="38"/>
  <c r="CN40" i="38"/>
  <c r="CN34" i="38"/>
  <c r="EJ41" i="38"/>
  <c r="EJ40" i="38"/>
  <c r="EJ34" i="38"/>
  <c r="BP41" i="38"/>
  <c r="BP40" i="38"/>
  <c r="BP34" i="38"/>
  <c r="FD40" i="38"/>
  <c r="FD34" i="38"/>
  <c r="FD41" i="38"/>
  <c r="H34" i="38"/>
  <c r="H41" i="38"/>
  <c r="H40" i="38"/>
  <c r="L33" i="38"/>
  <c r="AC19" i="33"/>
  <c r="AD19" i="33"/>
  <c r="AD49" i="33"/>
  <c r="AC49" i="33"/>
  <c r="AD50" i="33"/>
  <c r="AC50" i="33"/>
  <c r="AD60" i="33"/>
  <c r="AC60" i="33"/>
  <c r="AD48" i="33"/>
  <c r="AC48" i="33"/>
  <c r="AD18" i="33"/>
  <c r="AC18" i="33"/>
  <c r="AC32" i="33"/>
  <c r="AD32" i="33"/>
  <c r="AD45" i="33"/>
  <c r="AC45" i="33"/>
  <c r="AD43" i="33"/>
  <c r="AC43" i="33"/>
  <c r="AC31" i="33"/>
  <c r="AD31" i="33"/>
  <c r="AD46" i="33"/>
  <c r="AC46" i="33"/>
  <c r="AD62" i="33"/>
  <c r="AC62" i="33"/>
  <c r="AC40" i="33"/>
  <c r="AD40" i="33"/>
  <c r="AD42" i="33"/>
  <c r="AC42" i="33"/>
  <c r="AC34" i="33"/>
  <c r="AD34" i="33"/>
  <c r="AD66" i="33"/>
  <c r="AC66" i="33"/>
  <c r="AD24" i="33"/>
  <c r="AC24" i="33"/>
  <c r="AD39" i="33"/>
  <c r="AC39" i="33"/>
  <c r="AD53" i="33"/>
  <c r="AC53" i="33"/>
  <c r="AC55" i="33"/>
  <c r="AD55" i="33"/>
  <c r="AC23" i="33"/>
  <c r="AD23" i="33"/>
  <c r="AD20" i="33"/>
  <c r="AC20" i="33"/>
  <c r="AD37" i="33"/>
  <c r="AC37" i="33"/>
  <c r="AC57" i="33"/>
  <c r="AD57" i="33"/>
  <c r="AC21" i="33"/>
  <c r="AD21" i="33"/>
  <c r="AD65" i="33"/>
  <c r="AC65" i="33"/>
  <c r="AD59" i="33"/>
  <c r="AC59" i="33"/>
  <c r="AD54" i="33"/>
  <c r="AC54" i="33"/>
  <c r="AD26" i="33"/>
  <c r="AC26" i="33"/>
  <c r="AC38" i="33"/>
  <c r="AD38" i="33"/>
  <c r="AD25" i="33"/>
  <c r="AC25" i="33"/>
  <c r="AC56" i="33"/>
  <c r="AD56" i="33"/>
  <c r="AC36" i="33"/>
  <c r="AD36" i="33"/>
  <c r="AC64" i="33"/>
  <c r="AD64" i="33"/>
  <c r="AD61" i="33"/>
  <c r="AC61" i="33"/>
  <c r="AA16" i="33"/>
  <c r="F21" i="37" l="1"/>
  <c r="P40" i="38"/>
  <c r="T34" i="38"/>
  <c r="T40" i="38"/>
  <c r="P41" i="38"/>
  <c r="H30" i="37"/>
  <c r="G21" i="37"/>
  <c r="AC16" i="33"/>
  <c r="H33" i="37"/>
  <c r="H36" i="37"/>
  <c r="H32" i="37"/>
  <c r="L34" i="38"/>
  <c r="L41" i="38" s="1"/>
  <c r="H35" i="37"/>
  <c r="H37" i="37"/>
  <c r="H38" i="37"/>
  <c r="H31" i="37"/>
  <c r="H34" i="37"/>
  <c r="AA52" i="34" a="1"/>
  <c r="AA52" i="34" s="1"/>
  <c r="ER33" i="39" s="1"/>
  <c r="AA44" i="34" a="1"/>
  <c r="AA44" i="34" s="1"/>
  <c r="DL33" i="39" s="1"/>
  <c r="AA50" i="34" a="1"/>
  <c r="AA50" i="34" s="1"/>
  <c r="EJ33" i="39" s="1"/>
  <c r="AA58" i="34" a="1"/>
  <c r="AA58" i="34" s="1"/>
  <c r="FP33" i="39" s="1"/>
  <c r="AA64" i="34" a="1"/>
  <c r="AA64" i="34" s="1"/>
  <c r="GN33" i="39" s="1"/>
  <c r="AA38" i="34" a="1"/>
  <c r="AA38" i="34" s="1"/>
  <c r="CN33" i="39" s="1"/>
  <c r="AA28" i="34" a="1"/>
  <c r="AA28" i="34" s="1"/>
  <c r="AZ33" i="39" s="1"/>
  <c r="AA63" i="34" a="1"/>
  <c r="AA63" i="34" s="1"/>
  <c r="GJ33" i="39" s="1"/>
  <c r="AA34" i="34" a="1"/>
  <c r="AA34" i="34" s="1"/>
  <c r="BX33" i="39" s="1"/>
  <c r="AA51" i="34" a="1"/>
  <c r="AA51" i="34" s="1"/>
  <c r="EN33" i="39" s="1"/>
  <c r="AA66" i="34" a="1"/>
  <c r="AA66" i="34" s="1"/>
  <c r="GV33" i="39" s="1"/>
  <c r="AA29" i="34" a="1"/>
  <c r="AA29" i="34" s="1"/>
  <c r="BD33" i="39" s="1"/>
  <c r="AA42" i="34" a="1"/>
  <c r="AA42" i="34" s="1"/>
  <c r="DD33" i="39" s="1"/>
  <c r="AA40" i="34" a="1"/>
  <c r="AA40" i="34" s="1"/>
  <c r="CV33" i="39" s="1"/>
  <c r="AA19" i="34" a="1"/>
  <c r="AA19" i="34" s="1"/>
  <c r="AA31" i="34" a="1"/>
  <c r="AA31" i="34" s="1"/>
  <c r="BL33" i="39" s="1"/>
  <c r="AA26" i="34" a="1"/>
  <c r="AA26" i="34" s="1"/>
  <c r="AR33" i="39" s="1"/>
  <c r="AA65" i="34" a="1"/>
  <c r="AA65" i="34" s="1"/>
  <c r="GR33" i="39" s="1"/>
  <c r="AA21" i="34" a="1"/>
  <c r="AA21" i="34" s="1"/>
  <c r="X33" i="39" s="1"/>
  <c r="AA45" i="34" a="1"/>
  <c r="AA45" i="34" s="1"/>
  <c r="DP33" i="39" s="1"/>
  <c r="AA24" i="34" a="1"/>
  <c r="AA24" i="34" s="1"/>
  <c r="AJ33" i="39" s="1"/>
  <c r="AA48" i="34" a="1"/>
  <c r="AA48" i="34" s="1"/>
  <c r="EB33" i="39" s="1"/>
  <c r="AA30" i="34" a="1"/>
  <c r="AA30" i="34" s="1"/>
  <c r="BH33" i="39" s="1"/>
  <c r="AA46" i="34" a="1"/>
  <c r="AA46" i="34" s="1"/>
  <c r="DT33" i="39" s="1"/>
  <c r="AA49" i="34" a="1"/>
  <c r="AA49" i="34" s="1"/>
  <c r="EF33" i="39" s="1"/>
  <c r="AA39" i="34" a="1"/>
  <c r="AA39" i="34" s="1"/>
  <c r="CR33" i="39" s="1"/>
  <c r="AA56" i="34" a="1"/>
  <c r="AA56" i="34" s="1"/>
  <c r="FH33" i="39" s="1"/>
  <c r="AA20" i="34" a="1"/>
  <c r="AA20" i="34" s="1"/>
  <c r="AA32" i="34" a="1"/>
  <c r="AA32" i="34" s="1"/>
  <c r="BP33" i="39" s="1"/>
  <c r="AA47" i="34" a="1"/>
  <c r="AA47" i="34" s="1"/>
  <c r="DX33" i="39" s="1"/>
  <c r="AA18" i="34" a="1"/>
  <c r="AA18" i="34" s="1"/>
  <c r="AA22" i="34" a="1"/>
  <c r="AA22" i="34" s="1"/>
  <c r="AB33" i="39" s="1"/>
  <c r="AA43" i="34" a="1"/>
  <c r="AA43" i="34" s="1"/>
  <c r="DH33" i="39" s="1"/>
  <c r="AA25" i="34" a="1"/>
  <c r="AA25" i="34" s="1"/>
  <c r="AN33" i="39" s="1"/>
  <c r="AA60" i="34" a="1"/>
  <c r="AA60" i="34" s="1"/>
  <c r="FX33" i="39" s="1"/>
  <c r="AA54" i="34" a="1"/>
  <c r="AA54" i="34" s="1"/>
  <c r="EZ33" i="39" s="1"/>
  <c r="AA55" i="34" a="1"/>
  <c r="AA55" i="34" s="1"/>
  <c r="FD33" i="39" s="1"/>
  <c r="AA33" i="34" a="1"/>
  <c r="AA33" i="34" s="1"/>
  <c r="BT33" i="39" s="1"/>
  <c r="AA62" i="34" a="1"/>
  <c r="AA62" i="34" s="1"/>
  <c r="GF33" i="39" s="1"/>
  <c r="AA57" i="34" a="1"/>
  <c r="AA57" i="34" s="1"/>
  <c r="FL33" i="39" s="1"/>
  <c r="AA59" i="34" a="1"/>
  <c r="AA59" i="34" s="1"/>
  <c r="FT33" i="39" s="1"/>
  <c r="AA53" i="34" a="1"/>
  <c r="AA53" i="34" s="1"/>
  <c r="EV33" i="39" s="1"/>
  <c r="AA37" i="34" a="1"/>
  <c r="AA37" i="34" s="1"/>
  <c r="CJ33" i="39" s="1"/>
  <c r="AA41" i="34" a="1"/>
  <c r="AA41" i="34" s="1"/>
  <c r="CZ33" i="39" s="1"/>
  <c r="AA23" i="34" a="1"/>
  <c r="AA23" i="34" s="1"/>
  <c r="AF33" i="39" s="1"/>
  <c r="AA35" i="34" a="1"/>
  <c r="AA35" i="34" s="1"/>
  <c r="CB33" i="39" s="1"/>
  <c r="AA36" i="34" a="1"/>
  <c r="AA36" i="34" s="1"/>
  <c r="CF33" i="39" s="1"/>
  <c r="AA27" i="34" a="1"/>
  <c r="AA27" i="34" s="1"/>
  <c r="AV33" i="39" s="1"/>
  <c r="AA61" i="34" a="1"/>
  <c r="AA61" i="34" s="1"/>
  <c r="GB33" i="39" s="1"/>
  <c r="AA17" i="34" a="1"/>
  <c r="AA17" i="34" s="1"/>
  <c r="P33" i="39" l="1"/>
  <c r="P40" i="39" s="1"/>
  <c r="G22" i="41" a="1"/>
  <c r="G22" i="41" s="1"/>
  <c r="F22" i="41" a="1"/>
  <c r="F22" i="41" s="1"/>
  <c r="F23" i="41" a="1"/>
  <c r="F23" i="41" s="1"/>
  <c r="G23" i="41" a="1"/>
  <c r="G23" i="41" s="1"/>
  <c r="G21" i="41" a="1"/>
  <c r="G21" i="41" s="1"/>
  <c r="F21" i="41" a="1"/>
  <c r="F21" i="41" s="1"/>
  <c r="AD16" i="34"/>
  <c r="L33" i="39"/>
  <c r="L34" i="39" s="1"/>
  <c r="L41" i="39" s="1"/>
  <c r="FX40" i="39"/>
  <c r="FX34" i="39"/>
  <c r="FX41" i="39"/>
  <c r="AN41" i="39"/>
  <c r="AN40" i="39"/>
  <c r="AN34" i="39"/>
  <c r="CZ40" i="39"/>
  <c r="CZ34" i="39"/>
  <c r="CZ41" i="39"/>
  <c r="AB41" i="39"/>
  <c r="AB40" i="39"/>
  <c r="AB34" i="39"/>
  <c r="DP34" i="39"/>
  <c r="DP40" i="39"/>
  <c r="DP41" i="39"/>
  <c r="GJ40" i="39"/>
  <c r="GJ34" i="39"/>
  <c r="GJ41" i="39"/>
  <c r="CJ41" i="39"/>
  <c r="CJ40" i="39"/>
  <c r="CJ34" i="39"/>
  <c r="X40" i="39"/>
  <c r="X34" i="39"/>
  <c r="X41" i="39"/>
  <c r="AZ41" i="39"/>
  <c r="AZ34" i="39"/>
  <c r="AZ40" i="39"/>
  <c r="EZ41" i="39"/>
  <c r="EZ34" i="39"/>
  <c r="EZ40" i="39"/>
  <c r="BD41" i="39"/>
  <c r="BD40" i="39"/>
  <c r="BD34" i="39"/>
  <c r="BH34" i="39"/>
  <c r="BH40" i="39"/>
  <c r="BH41" i="39"/>
  <c r="EB34" i="39"/>
  <c r="EB41" i="39"/>
  <c r="EB40" i="39"/>
  <c r="DH34" i="39"/>
  <c r="DH41" i="39"/>
  <c r="DH40" i="39"/>
  <c r="EV41" i="39"/>
  <c r="EV40" i="39"/>
  <c r="EV34" i="39"/>
  <c r="DX41" i="39"/>
  <c r="DX40" i="39"/>
  <c r="DX34" i="39"/>
  <c r="FT41" i="39"/>
  <c r="FT40" i="39"/>
  <c r="FT34" i="39"/>
  <c r="AR34" i="39"/>
  <c r="AR40" i="39"/>
  <c r="AR41" i="39"/>
  <c r="FL40" i="39"/>
  <c r="FL41" i="39"/>
  <c r="FL34" i="39"/>
  <c r="BL40" i="39"/>
  <c r="BL34" i="39"/>
  <c r="BL41" i="39"/>
  <c r="FP40" i="39"/>
  <c r="FP41" i="39"/>
  <c r="FP34" i="39"/>
  <c r="GF34" i="39"/>
  <c r="GF40" i="39"/>
  <c r="GF41" i="39"/>
  <c r="FH41" i="39"/>
  <c r="FH40" i="39"/>
  <c r="FH34" i="39"/>
  <c r="P34" i="39"/>
  <c r="P41" i="39"/>
  <c r="EJ34" i="39"/>
  <c r="EJ40" i="39"/>
  <c r="EJ41" i="39"/>
  <c r="DT40" i="39"/>
  <c r="DT41" i="39"/>
  <c r="DT34" i="39"/>
  <c r="GV34" i="39"/>
  <c r="GV40" i="39"/>
  <c r="GV41" i="39"/>
  <c r="EN41" i="39"/>
  <c r="EN40" i="39"/>
  <c r="EN34" i="39"/>
  <c r="BX34" i="39"/>
  <c r="BX40" i="39"/>
  <c r="BX41" i="39"/>
  <c r="CN41" i="39"/>
  <c r="CN40" i="39"/>
  <c r="CN34" i="39"/>
  <c r="GN41" i="39"/>
  <c r="GN40" i="39"/>
  <c r="GN34" i="39"/>
  <c r="BT40" i="39"/>
  <c r="BT34" i="39"/>
  <c r="BT41" i="39"/>
  <c r="CR40" i="39"/>
  <c r="CR34" i="39"/>
  <c r="CR41" i="39"/>
  <c r="CV40" i="39"/>
  <c r="CV34" i="39"/>
  <c r="CV41" i="39"/>
  <c r="DL34" i="39"/>
  <c r="DL40" i="39"/>
  <c r="DL41" i="39"/>
  <c r="AV40" i="39"/>
  <c r="AV41" i="39"/>
  <c r="AV34" i="39"/>
  <c r="CF34" i="39"/>
  <c r="CF41" i="39"/>
  <c r="CF40" i="39"/>
  <c r="CB41" i="39"/>
  <c r="CB40" i="39"/>
  <c r="CB34" i="39"/>
  <c r="AF40" i="39"/>
  <c r="AF34" i="39"/>
  <c r="AF41" i="39"/>
  <c r="AJ41" i="39"/>
  <c r="AJ40" i="39"/>
  <c r="AJ34" i="39"/>
  <c r="GR41" i="39"/>
  <c r="GR34" i="39"/>
  <c r="GR40" i="39"/>
  <c r="BP34" i="39"/>
  <c r="BP41" i="39"/>
  <c r="BP40" i="39"/>
  <c r="T33" i="39"/>
  <c r="GB40" i="39"/>
  <c r="GB34" i="39"/>
  <c r="GB41" i="39"/>
  <c r="FD41" i="39"/>
  <c r="FD34" i="39"/>
  <c r="FD40" i="39"/>
  <c r="EF41" i="39"/>
  <c r="EF40" i="39"/>
  <c r="EF34" i="39"/>
  <c r="DD34" i="39"/>
  <c r="DD41" i="39"/>
  <c r="DD40" i="39"/>
  <c r="ER41" i="39"/>
  <c r="ER40" i="39"/>
  <c r="ER34" i="39"/>
  <c r="L40" i="38"/>
  <c r="H33" i="39"/>
  <c r="AC35" i="34"/>
  <c r="AD35" i="34"/>
  <c r="AC48" i="34"/>
  <c r="AD48" i="34"/>
  <c r="AC23" i="34"/>
  <c r="AD23" i="34"/>
  <c r="AC43" i="34"/>
  <c r="AD43" i="34"/>
  <c r="AD34" i="34"/>
  <c r="AC34" i="34"/>
  <c r="AD41" i="34"/>
  <c r="AC41" i="34"/>
  <c r="AC45" i="34"/>
  <c r="AD45" i="34"/>
  <c r="AD21" i="34"/>
  <c r="AC21" i="34"/>
  <c r="AD28" i="34"/>
  <c r="AC28" i="34"/>
  <c r="AC36" i="34"/>
  <c r="AD36" i="34"/>
  <c r="AC30" i="34"/>
  <c r="AD30" i="34"/>
  <c r="AC25" i="34"/>
  <c r="AD25" i="34"/>
  <c r="AC51" i="34"/>
  <c r="AD51" i="34"/>
  <c r="AC24" i="34"/>
  <c r="AD24" i="34"/>
  <c r="AD22" i="34"/>
  <c r="AC22" i="34"/>
  <c r="AC63" i="34"/>
  <c r="AD63" i="34"/>
  <c r="AC37" i="34"/>
  <c r="AD37" i="34"/>
  <c r="AD53" i="34"/>
  <c r="AC53" i="34"/>
  <c r="AC47" i="34"/>
  <c r="AD47" i="34"/>
  <c r="AC65" i="34"/>
  <c r="AD65" i="34"/>
  <c r="AC38" i="34"/>
  <c r="AD38" i="34"/>
  <c r="AC59" i="34"/>
  <c r="AD59" i="34"/>
  <c r="AD64" i="34"/>
  <c r="AC64" i="34"/>
  <c r="AD57" i="34"/>
  <c r="AC57" i="34"/>
  <c r="AC31" i="34"/>
  <c r="AD31" i="34"/>
  <c r="AD33" i="34"/>
  <c r="AC33" i="34"/>
  <c r="AC40" i="34"/>
  <c r="AD40" i="34"/>
  <c r="AC61" i="34"/>
  <c r="AD61" i="34"/>
  <c r="AD52" i="34"/>
  <c r="AC52" i="34"/>
  <c r="AC60" i="34"/>
  <c r="AD60" i="34"/>
  <c r="AD32" i="34"/>
  <c r="AC32" i="34"/>
  <c r="AC26" i="34"/>
  <c r="AD26" i="34"/>
  <c r="AD58" i="34"/>
  <c r="AC58" i="34"/>
  <c r="AC62" i="34"/>
  <c r="AD62" i="34"/>
  <c r="AD56" i="34"/>
  <c r="AC56" i="34"/>
  <c r="AC50" i="34"/>
  <c r="AD50" i="34"/>
  <c r="AC39" i="34"/>
  <c r="AD39" i="34"/>
  <c r="AD44" i="34"/>
  <c r="AC44" i="34"/>
  <c r="AD55" i="34"/>
  <c r="AC55" i="34"/>
  <c r="AC49" i="34"/>
  <c r="AD49" i="34"/>
  <c r="AD42" i="34"/>
  <c r="AC42" i="34"/>
  <c r="AC27" i="34"/>
  <c r="AD27" i="34"/>
  <c r="AD54" i="34"/>
  <c r="AC54" i="34"/>
  <c r="AD46" i="34"/>
  <c r="AC46" i="34"/>
  <c r="AD29" i="34"/>
  <c r="AC29" i="34"/>
  <c r="AD18" i="34"/>
  <c r="AC18" i="34"/>
  <c r="AD17" i="34"/>
  <c r="AC17" i="34"/>
  <c r="AD20" i="34"/>
  <c r="AC20" i="34"/>
  <c r="AC19" i="34"/>
  <c r="AD19" i="34"/>
  <c r="AD66" i="34"/>
  <c r="AC66" i="34"/>
  <c r="AA16" i="34"/>
  <c r="G22" i="37" s="1"/>
  <c r="G23" i="37" s="1"/>
  <c r="G19" i="41" l="1"/>
  <c r="H34" i="39"/>
  <c r="H40" i="39" s="1"/>
  <c r="F22" i="37"/>
  <c r="F24" i="37" s="1"/>
  <c r="J30" i="37"/>
  <c r="T34" i="39"/>
  <c r="T40" i="39"/>
  <c r="T41" i="39"/>
  <c r="H41" i="39"/>
  <c r="G24" i="37"/>
  <c r="J37" i="37"/>
  <c r="J34" i="37"/>
  <c r="J38" i="37"/>
  <c r="J35" i="37"/>
  <c r="J36" i="37"/>
  <c r="J33" i="37"/>
  <c r="J32" i="37"/>
  <c r="J31" i="37"/>
  <c r="L40" i="39"/>
  <c r="AC16" i="34"/>
  <c r="G27" i="37" l="1"/>
  <c r="H24" i="37"/>
  <c r="H27" i="37" s="1"/>
  <c r="H22" i="37"/>
  <c r="H21" i="37"/>
  <c r="H20" i="37"/>
  <c r="H23" i="37"/>
  <c r="J39" i="37"/>
  <c r="J40" i="37" s="1"/>
  <c r="J44" i="37" s="1"/>
  <c r="K36" i="37" l="1"/>
  <c r="H36" i="38"/>
  <c r="H39" i="37"/>
  <c r="K30" i="37"/>
  <c r="H36" i="39"/>
  <c r="H37" i="39" s="1"/>
  <c r="K31" i="37"/>
  <c r="K38" i="37"/>
  <c r="K33" i="37"/>
  <c r="J41" i="37"/>
  <c r="K40" i="37"/>
  <c r="K32" i="37"/>
  <c r="K35" i="37"/>
  <c r="K34" i="37"/>
  <c r="K39" i="37"/>
  <c r="K37" i="37"/>
  <c r="H37" i="38" l="1"/>
  <c r="H40" i="37"/>
  <c r="H44" i="37" s="1"/>
  <c r="K41" i="37"/>
  <c r="I39" i="37" l="1"/>
  <c r="H41" i="37"/>
  <c r="I40" i="37"/>
  <c r="I35" i="37"/>
  <c r="I34" i="37"/>
  <c r="I37" i="37"/>
  <c r="I38" i="37"/>
  <c r="I30" i="37"/>
  <c r="I32" i="37"/>
  <c r="I33" i="37"/>
  <c r="I36" i="37"/>
  <c r="I31" i="37"/>
  <c r="I41" i="37" l="1"/>
  <c r="F35" i="37" l="1"/>
  <c r="L35" i="37" s="1"/>
  <c r="F34" i="37"/>
  <c r="L34" i="37" l="1"/>
  <c r="F31" i="37"/>
  <c r="F36" i="37"/>
  <c r="F38" i="37"/>
  <c r="F32" i="37"/>
  <c r="F33" i="37"/>
  <c r="F37" i="37"/>
  <c r="F39" i="37" l="1"/>
  <c r="F40" i="37" s="1"/>
  <c r="L37" i="37"/>
  <c r="L30" i="37"/>
  <c r="L38" i="37"/>
  <c r="L36" i="37"/>
  <c r="L31" i="37"/>
  <c r="L33" i="37"/>
  <c r="L32" i="37"/>
  <c r="F44" i="37" l="1"/>
  <c r="L39" i="37"/>
  <c r="L42" i="37" s="1"/>
  <c r="H36" i="36"/>
  <c r="D12" i="41" s="1" a="1"/>
  <c r="D12" i="41" s="1"/>
  <c r="L44" i="37"/>
  <c r="H37" i="36" l="1"/>
  <c r="G39" i="37"/>
  <c r="L40" i="37"/>
  <c r="F41" i="37"/>
  <c r="G40" i="37"/>
  <c r="G35" i="37"/>
  <c r="G34" i="37"/>
  <c r="G33" i="37"/>
  <c r="G32" i="37"/>
  <c r="G30" i="37"/>
  <c r="G37" i="37"/>
  <c r="G38" i="37"/>
  <c r="G36" i="37"/>
  <c r="G31" i="37"/>
  <c r="M39" i="37" l="1"/>
  <c r="M44" i="37"/>
  <c r="M30" i="37"/>
  <c r="M38" i="37"/>
  <c r="M32" i="37"/>
  <c r="M37" i="37"/>
  <c r="M36" i="37"/>
  <c r="M35" i="37"/>
  <c r="L41" i="37"/>
  <c r="M40" i="37"/>
  <c r="M33" i="37"/>
  <c r="M34" i="37"/>
  <c r="M31" i="37"/>
  <c r="G41" i="37"/>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<sst xmlns="http://schemas.openxmlformats.org/spreadsheetml/2006/main" count="1492" uniqueCount="869">
  <si>
    <t>IPART colour codes for models, spreadsheets and information requests</t>
  </si>
  <si>
    <r>
      <t xml:space="preserve">NB </t>
    </r>
    <r>
      <rPr>
        <b/>
        <sz val="10"/>
        <rFont val="Arial"/>
        <family val="2"/>
      </rPr>
      <t xml:space="preserve"> ALWAYS DESCRIBE THE COLOUR CODE USED IN YOUR MODEL </t>
    </r>
  </si>
  <si>
    <t>Note: If you use the formats for the inputs provided in this template, input cells will always be unprotected even when you protect the worksheet</t>
  </si>
  <si>
    <t>use this column cell to "paint" input cells for numbers (NOT for percentages)</t>
  </si>
  <si>
    <t>use this column cell to "paint" input cells for percentages (NOT numbers)</t>
  </si>
  <si>
    <t>Models and spreadsheets</t>
  </si>
  <si>
    <t>numbers</t>
  </si>
  <si>
    <t>%</t>
  </si>
  <si>
    <t>Inputs</t>
  </si>
  <si>
    <t xml:space="preserve">Inputs with default values, default values are shown in italics next to or below </t>
  </si>
  <si>
    <t>Hard-coded values used that should not be changed, e.g. credit ratings or '1' at the start of an index series.</t>
  </si>
  <si>
    <t>Key outputs</t>
  </si>
  <si>
    <t>Links from other files (green)</t>
  </si>
  <si>
    <t>Error check (check =0)</t>
  </si>
  <si>
    <t>Error warnings, messages and unusual calculation assumptions</t>
  </si>
  <si>
    <t>Indicate change in formula across row with a double red line</t>
  </si>
  <si>
    <t>Note:  You can combine options for inputs, e.g.:</t>
  </si>
  <si>
    <t xml:space="preserve">Inputs can be links to other files </t>
  </si>
  <si>
    <t xml:space="preserve">You can drawn attention to unusual inputs </t>
  </si>
  <si>
    <t>Information Requests</t>
  </si>
  <si>
    <t>Inputs for historical years (actual values)</t>
  </si>
  <si>
    <t>Forecast inputs</t>
  </si>
  <si>
    <t>Error warnings and messages</t>
  </si>
  <si>
    <t>QA notes - annotation or documentation by QA staff</t>
  </si>
  <si>
    <t>User Instructions - IPART CHARTS</t>
  </si>
  <si>
    <t>Data 1</t>
  </si>
  <si>
    <t>Data 2</t>
  </si>
  <si>
    <t>Data 3</t>
  </si>
  <si>
    <t>Data 4</t>
  </si>
  <si>
    <t>Data 5</t>
  </si>
  <si>
    <t>Data 6</t>
  </si>
  <si>
    <t>Data 7</t>
  </si>
  <si>
    <t>Data 8</t>
  </si>
  <si>
    <t>X value</t>
  </si>
  <si>
    <t>1st Y value</t>
  </si>
  <si>
    <t>2nd Y value</t>
  </si>
  <si>
    <t>Blue</t>
  </si>
  <si>
    <t>Grey</t>
  </si>
  <si>
    <t>Turquoise</t>
  </si>
  <si>
    <t>Grey-80%</t>
  </si>
  <si>
    <t>1975-76</t>
  </si>
  <si>
    <t>1983-84</t>
  </si>
  <si>
    <t>1988-89</t>
  </si>
  <si>
    <t>1993-94</t>
  </si>
  <si>
    <t>1996-97</t>
  </si>
  <si>
    <t>1997-98</t>
  </si>
  <si>
    <t>1998-99</t>
  </si>
  <si>
    <t>1999-00</t>
  </si>
  <si>
    <r>
      <t>–</t>
    </r>
    <r>
      <rPr>
        <sz val="10"/>
        <rFont val="Arial"/>
        <family val="2"/>
      </rPr>
      <t xml:space="preserve">  en rule for when needed</t>
    </r>
  </si>
  <si>
    <t>Review that the QA is for</t>
  </si>
  <si>
    <t>Name of model</t>
  </si>
  <si>
    <t>&lt;not required for simple spreadsheets if the file name is sufficiently descriptive&gt;</t>
  </si>
  <si>
    <t xml:space="preserve">File name(s):  </t>
  </si>
  <si>
    <t>Name of modeller</t>
  </si>
  <si>
    <t>Planned date of QA:</t>
  </si>
  <si>
    <t>Risk rating for the review:</t>
  </si>
  <si>
    <t>select</t>
  </si>
  <si>
    <t>Note: low risk models do not require independent QA, however the modeller should indicate in section 2.3 what steps have been taken to ensure accuracy of results.</t>
  </si>
  <si>
    <t>1. PURPOSE OF MODEL</t>
  </si>
  <si>
    <t>The modeller provides a concise summary of the model's purpose(s)</t>
  </si>
  <si>
    <t>&lt;add or delete rows as required&gt;</t>
  </si>
  <si>
    <t>2. CONTEXT AND SCOPE OF QA</t>
  </si>
  <si>
    <t>The modeller provides information about the context of the QA and the scope of work.</t>
  </si>
  <si>
    <t>2.1 The model/spreadsheet is for (context)</t>
  </si>
  <si>
    <t>2.2 The scope of the QA is to check</t>
  </si>
  <si>
    <t>Logic checks</t>
  </si>
  <si>
    <t>Input checks</t>
  </si>
  <si>
    <t>2.3 Detailed scope of QA.</t>
  </si>
  <si>
    <t>For high risk QAs, the scope will usually include a comprehensive logic and input check. For medium risk QAs, the modeller should indicate areas of the model that require attention.</t>
  </si>
  <si>
    <t>Specify clearly*</t>
  </si>
  <si>
    <t xml:space="preserve">(i) </t>
  </si>
  <si>
    <t>what is to be checked (e.g. ‘check changes in the calculation of: the tax allowance; sewerage charges and;  bills’)</t>
  </si>
  <si>
    <t>(ii)</t>
  </si>
  <si>
    <t>how to identify the areas that need to be checked (e.g. ‘check all calculations highlighted in green on the following worksheets: …’), and</t>
  </si>
  <si>
    <t>(iii)</t>
  </si>
  <si>
    <t>any specific areas of logic or inputs that you need particular assurance on (e.g. ‘check that the rolled forward RAB is correctly indexed’)</t>
  </si>
  <si>
    <t>* If the model contains a detailed journal of changes, you may refer to the journal.</t>
  </si>
  <si>
    <t>3. QA CHECK LIST</t>
  </si>
  <si>
    <t>3.1 Pre-QA check list (for both medium and high risk QAs)</t>
  </si>
  <si>
    <t>DO NOT DELETE</t>
  </si>
  <si>
    <t>Select an option</t>
  </si>
  <si>
    <t>Yes</t>
  </si>
  <si>
    <t xml:space="preserve">No </t>
  </si>
  <si>
    <t xml:space="preserve">The model has been structured and colour coded in accordance with IPART’s modelling standards  </t>
  </si>
  <si>
    <t>NA</t>
  </si>
  <si>
    <t>Tables, inputs and outputs are clearly labelled, e.g.</t>
  </si>
  <si>
    <t>–     Units e.g. $m, $’000, $ or cents, kL, MWh, GJ, etc</t>
  </si>
  <si>
    <t>High</t>
  </si>
  <si>
    <t>–     Nominal or real</t>
  </si>
  <si>
    <t>Medium</t>
  </si>
  <si>
    <t>–     Including or excluding GST</t>
  </si>
  <si>
    <t>Low</t>
  </si>
  <si>
    <t>The QAer can easily identify the parts of the model that need to be checked</t>
  </si>
  <si>
    <t>The model inputs reflect Tribunal decisions or information from the source documents</t>
  </si>
  <si>
    <t>The source documents (or references) have all been located and provided to the QAer/s</t>
  </si>
  <si>
    <r>
      <t xml:space="preserve">3.2 Additional check list for </t>
    </r>
    <r>
      <rPr>
        <b/>
        <u/>
        <sz val="9"/>
        <rFont val="Arial"/>
        <family val="2"/>
      </rPr>
      <t>high risk QAs only</t>
    </r>
  </si>
  <si>
    <t>Has the QA scope been reviewed by the Chief Modeller? (Only applicable for external models and high risk price determinations)</t>
  </si>
  <si>
    <t>Modeller check</t>
  </si>
  <si>
    <t>QAer check</t>
  </si>
  <si>
    <t>–     Has the correct (e.g. most current) version of building block model logic been used?</t>
  </si>
  <si>
    <t>–     Has the Regulatory Asset Base (RAB) been rolled forward correctly?</t>
  </si>
  <si>
    <t>–     Has a real weighted average cost of capital (WACC) correctly been applied to the RAB?</t>
  </si>
  <si>
    <t>–     Are timing assumptions consistent with IPART's Cash Flow assumptions?</t>
  </si>
  <si>
    <t>–     Is the treatment of cash and non-cash capital contributions consistent with IPART’s most current policy?</t>
  </si>
  <si>
    <t>–     Is the treatment of asset disposals consistent with IPART’s most current policy?</t>
  </si>
  <si>
    <t>–     Has the tax allowance been calculated using IPART’s most current methodology?</t>
  </si>
  <si>
    <t>–     Have the financial ratios been calculated using IPART’s most current methodology?</t>
  </si>
  <si>
    <t>–     Have adequate error checks been built into the model?</t>
  </si>
  <si>
    <t>–     If the model is a support model for a review, does it use the same common inputs as the main model, e.g. WACC and inflation?</t>
  </si>
  <si>
    <t>4  INDUSTRY TEAM REMINDER – POST QA SIGN OFF IN CM9</t>
  </si>
  <si>
    <t>Has the post-QA deliverable been CM9ed?</t>
  </si>
  <si>
    <t>Has the QA been signed off via action tracking in CM9 by the QA analyst and Director?</t>
  </si>
  <si>
    <t>* provide details of requirements for "simplified duplication of analysis" and/or "sampling of inputs" in section 2.3 below.</t>
  </si>
  <si>
    <t>2.3 Detailed scope of QA</t>
  </si>
  <si>
    <t>Specify clearly how to identify what needs to be checked (e.g. "check all calculations and inputs highlighted in green on the following worksheets: …")</t>
  </si>
  <si>
    <t>For "simplified duplications of analysis" (if applicable), specify how you and the QAer have agreed the analysis will be duplicated</t>
  </si>
  <si>
    <t>For "sampling of inputs" (if applicable), specify how you and the QAer have agreed the inputs will be sampled</t>
  </si>
  <si>
    <t>Is the model consistent with good modelling practice?</t>
  </si>
  <si>
    <t>Tables, inputs and outputs are clearly labelled, e.g.:</t>
  </si>
  <si>
    <t>The model inputs reflect Tribunal decisions or information from the source documents or related models</t>
  </si>
  <si>
    <t>3.2 QA check list (for RStudio scripts only)</t>
  </si>
  <si>
    <t>Code was rerun successfully; or an alternative calculation successfully replicated results</t>
  </si>
  <si>
    <t>Code is easy to follow, with comments highlighting different sections in code</t>
  </si>
  <si>
    <t>Variable names are easy to understand</t>
  </si>
  <si>
    <t>Test variables are used to check that data is not duplicated or excluded in error when joining data sources</t>
  </si>
  <si>
    <t>If this QA is an update to an existing RStudio script, changes are highlighted and easy to find (e.g. a text comparison tool is used to compare scripts before and after change)</t>
  </si>
  <si>
    <t>Journal of structural changes made to model/spreadsheet</t>
  </si>
  <si>
    <t>This journal is for spreadsheets that are developed from an existing spreadsheet that has already been QA'd.</t>
  </si>
  <si>
    <t>Please paste the name of the updated version in the box below (file name)</t>
  </si>
  <si>
    <t>&lt;Enter file name here&gt;</t>
  </si>
  <si>
    <t>Description of changes:</t>
  </si>
  <si>
    <t>Worksheet:</t>
  </si>
  <si>
    <t>Made by:</t>
  </si>
  <si>
    <t>Date</t>
  </si>
  <si>
    <t>Notes</t>
  </si>
  <si>
    <t>SIGNIFICANT STRUCTURAL CHANGES MADE IN THIS VERSION</t>
  </si>
  <si>
    <t>OTHER CHANGES</t>
  </si>
  <si>
    <t>CORRECTIONS TO BE MADE AFTER next date (next step)</t>
  </si>
  <si>
    <t>ALTERATIONS TO BE MADE AFTER       Next date  (next step)</t>
  </si>
  <si>
    <t>Isaac Di Matteo</t>
  </si>
  <si>
    <t>isaac.dimatteo@ipart.nsw.gov.au</t>
  </si>
  <si>
    <t>This model uses standard IPART colour coding:</t>
  </si>
  <si>
    <t>Blue cells indicate inputs</t>
  </si>
  <si>
    <t>Blue font indicates IPART hard-coded values used that should not be changed</t>
  </si>
  <si>
    <t>Pink font indicates calculation checks</t>
  </si>
  <si>
    <t>Transport</t>
  </si>
  <si>
    <t>Type of infrastructure</t>
  </si>
  <si>
    <t>Unit rate</t>
  </si>
  <si>
    <t>Unit quantity</t>
  </si>
  <si>
    <t>Benchmark base construction cost</t>
  </si>
  <si>
    <t>Location</t>
  </si>
  <si>
    <t>Proximity to raw materials (in kilometres)</t>
  </si>
  <si>
    <t>Site constraints (as a percentage %)</t>
  </si>
  <si>
    <t>Waste disposal - type of waste (if applicable)</t>
  </si>
  <si>
    <t>Waste disposal quantity (in tonnes)</t>
  </si>
  <si>
    <t>Contaminated land remediation (if applicable)</t>
  </si>
  <si>
    <t>Contaminated land area (in square metres)</t>
  </si>
  <si>
    <t>On costs</t>
  </si>
  <si>
    <t>Is there a cultural heritage impact?</t>
  </si>
  <si>
    <t>Cultural heritage (if applicable)</t>
  </si>
  <si>
    <t>Stage of development</t>
  </si>
  <si>
    <t>Contingency</t>
  </si>
  <si>
    <t>Total benchmark cost</t>
  </si>
  <si>
    <t>Your works schedule cost</t>
  </si>
  <si>
    <t>Cost comparison ($)</t>
  </si>
  <si>
    <t>Cost comparison (%)</t>
  </si>
  <si>
    <t>New local road</t>
  </si>
  <si>
    <t>Port Macquarie</t>
  </si>
  <si>
    <t>No</t>
  </si>
  <si>
    <t>Planning phase</t>
  </si>
  <si>
    <t>Bus shelter and kiosk</t>
  </si>
  <si>
    <t>Greater Sydney</t>
  </si>
  <si>
    <t>Roundabout (2 lane)</t>
  </si>
  <si>
    <t>Total</t>
  </si>
  <si>
    <t>Stormwater</t>
  </si>
  <si>
    <t>Open space</t>
  </si>
  <si>
    <t>Local infrastructure items</t>
  </si>
  <si>
    <t>Adjustment factors</t>
  </si>
  <si>
    <t>Reference</t>
  </si>
  <si>
    <t>Item</t>
  </si>
  <si>
    <t>Unit</t>
  </si>
  <si>
    <t>Unit rate (FY24/25)</t>
  </si>
  <si>
    <t>Unit rate (FY25/26)</t>
  </si>
  <si>
    <t>Minimum quantity</t>
  </si>
  <si>
    <t>Condition</t>
  </si>
  <si>
    <t>Factor</t>
  </si>
  <si>
    <t>T-1.01</t>
  </si>
  <si>
    <t>m</t>
  </si>
  <si>
    <t>See Rawlinsons regional indices tab</t>
  </si>
  <si>
    <t>T-1.02</t>
  </si>
  <si>
    <t>New local road (half-width)</t>
  </si>
  <si>
    <t>T-1.03</t>
  </si>
  <si>
    <t>New collector road</t>
  </si>
  <si>
    <t>T-1.04</t>
  </si>
  <si>
    <t>New collector road (half-width)</t>
  </si>
  <si>
    <t>T-1.05</t>
  </si>
  <si>
    <t>New sub-arterial road</t>
  </si>
  <si>
    <t>Proximity to raw materials</t>
  </si>
  <si>
    <t>T-1.06</t>
  </si>
  <si>
    <t>New industrial road</t>
  </si>
  <si>
    <t>T-1.07</t>
  </si>
  <si>
    <t>New rural road</t>
  </si>
  <si>
    <t>&lt; 25km from raw material source</t>
  </si>
  <si>
    <t>25 - 75km from raw material source</t>
  </si>
  <si>
    <t>&gt; 75km from raw material source</t>
  </si>
  <si>
    <t>T-1.08</t>
  </si>
  <si>
    <t>Upgrade to local road (widening)</t>
  </si>
  <si>
    <t>T-1.10</t>
  </si>
  <si>
    <t>Upgrade to collector road</t>
  </si>
  <si>
    <t>T-1.12</t>
  </si>
  <si>
    <t>Upgrade to sub-arterial road</t>
  </si>
  <si>
    <t>T-1.13.1</t>
  </si>
  <si>
    <t>Signalised intersection (single lane) - "T" intersection</t>
  </si>
  <si>
    <t>each</t>
  </si>
  <si>
    <t>Kilometre proximity list</t>
  </si>
  <si>
    <t>T-1.13.2</t>
  </si>
  <si>
    <t>Signalised intersection (single lane) - 4 way intersection</t>
  </si>
  <si>
    <t>T-1.14.1</t>
  </si>
  <si>
    <t>Signalised intersection (2 lane) - "T" intersection</t>
  </si>
  <si>
    <t>T-1.14.2</t>
  </si>
  <si>
    <t>T-1.15</t>
  </si>
  <si>
    <t>Signalised intersection and 1 turning lane</t>
  </si>
  <si>
    <t>T-1.16</t>
  </si>
  <si>
    <t>Signalised intersection and 2 turning lanes</t>
  </si>
  <si>
    <t>Site constraints</t>
  </si>
  <si>
    <t>T-1.17</t>
  </si>
  <si>
    <t>Priority controlled/unsignalised intersection</t>
  </si>
  <si>
    <t>T-1.18</t>
  </si>
  <si>
    <t>Roundabout (single lane)</t>
  </si>
  <si>
    <t>Cost factor minimum</t>
  </si>
  <si>
    <t>Cost factor maximum</t>
  </si>
  <si>
    <t>T-1.19</t>
  </si>
  <si>
    <t>Infill - high</t>
  </si>
  <si>
    <t>T-1.20</t>
  </si>
  <si>
    <t>Concrete pathway/footpath/shareway/cyclepath</t>
  </si>
  <si>
    <t>sqm</t>
  </si>
  <si>
    <t>Infill - medium</t>
  </si>
  <si>
    <t>T-1.22</t>
  </si>
  <si>
    <t>Road bridge (including over road, waterways, grade separation)</t>
  </si>
  <si>
    <t>Infill - low</t>
  </si>
  <si>
    <t>T-1.23</t>
  </si>
  <si>
    <t>Road bridge (over railways)</t>
  </si>
  <si>
    <t>T-1.24</t>
  </si>
  <si>
    <t>Cycleway bridge</t>
  </si>
  <si>
    <t>Greenfield - high</t>
  </si>
  <si>
    <t>T-1.25</t>
  </si>
  <si>
    <t>Pedestrian bridge</t>
  </si>
  <si>
    <t>Greenfield - medium</t>
  </si>
  <si>
    <t>T-1.26</t>
  </si>
  <si>
    <t>Bus stop (signage only)</t>
  </si>
  <si>
    <t>Greenfield - low</t>
  </si>
  <si>
    <t>T-1.27</t>
  </si>
  <si>
    <t>Bus shelter</t>
  </si>
  <si>
    <t>T-1.28</t>
  </si>
  <si>
    <t>T-1.29</t>
  </si>
  <si>
    <t>Pedestrian crossing</t>
  </si>
  <si>
    <t>T-1.31</t>
  </si>
  <si>
    <t>Street lighting</t>
  </si>
  <si>
    <t>T-1.33</t>
  </si>
  <si>
    <t>Guard rail</t>
  </si>
  <si>
    <t>Project size types</t>
  </si>
  <si>
    <t>Project size cost ranges</t>
  </si>
  <si>
    <t>Council on costs</t>
  </si>
  <si>
    <t>Cultural heritage factor</t>
  </si>
  <si>
    <t>T-1.32.1</t>
  </si>
  <si>
    <t>tonne</t>
  </si>
  <si>
    <t>Small project: $0 - &lt;$1m</t>
  </si>
  <si>
    <t>T-1.32.2</t>
  </si>
  <si>
    <t>Small/medium project: $1m - &lt;$2m</t>
  </si>
  <si>
    <t>T-1.32.3</t>
  </si>
  <si>
    <t>Medium project: $2m - &lt;$5m</t>
  </si>
  <si>
    <t>T-1.32.4</t>
  </si>
  <si>
    <t>Large project: $5m or greater</t>
  </si>
  <si>
    <t>T-1.32.5</t>
  </si>
  <si>
    <t>T-1.32.6</t>
  </si>
  <si>
    <t>Cultural heritage impact yes/no</t>
  </si>
  <si>
    <t>T-1.32.7</t>
  </si>
  <si>
    <t>T-1.32.8</t>
  </si>
  <si>
    <t>T-1.34.1</t>
  </si>
  <si>
    <t>T-1.34.2</t>
  </si>
  <si>
    <t>T-1.34.3</t>
  </si>
  <si>
    <t>T-1.34.4</t>
  </si>
  <si>
    <t>T-1.34.5</t>
  </si>
  <si>
    <t>Design development</t>
  </si>
  <si>
    <t>Construction phase</t>
  </si>
  <si>
    <t>Development stage reference list</t>
  </si>
  <si>
    <t>ST/T-1.01.1</t>
  </si>
  <si>
    <t>ST/T-1.01.2</t>
  </si>
  <si>
    <t>ST/T-1.01.3</t>
  </si>
  <si>
    <t>ST/T-1.01.4</t>
  </si>
  <si>
    <t>ST/T-1.01.5</t>
  </si>
  <si>
    <t>ST/T-1.01.6</t>
  </si>
  <si>
    <t>ST/T-1.01.7</t>
  </si>
  <si>
    <t>ST/T-1.01.8</t>
  </si>
  <si>
    <t>ST-1.01</t>
  </si>
  <si>
    <t>Combined basin and raingarden facility</t>
  </si>
  <si>
    <t>ST-1.02.1</t>
  </si>
  <si>
    <t>ST-1.02.2</t>
  </si>
  <si>
    <t>ST-1.02.3</t>
  </si>
  <si>
    <t>ST-1.02.4</t>
  </si>
  <si>
    <t>ST-1.02.5</t>
  </si>
  <si>
    <t>ST-1.02.6</t>
  </si>
  <si>
    <t>ST-1.03</t>
  </si>
  <si>
    <t>Single raingarden facility</t>
  </si>
  <si>
    <t>ST-1.04.1</t>
  </si>
  <si>
    <t>ST-1.04.2</t>
  </si>
  <si>
    <t>ST-1.04.3</t>
  </si>
  <si>
    <t>ST-1.05</t>
  </si>
  <si>
    <t>Bio-retention filter</t>
  </si>
  <si>
    <t>ST-1.09</t>
  </si>
  <si>
    <t>Constructed wetland</t>
  </si>
  <si>
    <t>ST-1.10</t>
  </si>
  <si>
    <t>Detention basin</t>
  </si>
  <si>
    <t>ST-1.11.1</t>
  </si>
  <si>
    <t>ST-1.11.2</t>
  </si>
  <si>
    <t>ST-1.11.3</t>
  </si>
  <si>
    <t>ST-1.12</t>
  </si>
  <si>
    <t>Enhanced storage area</t>
  </si>
  <si>
    <t>ST-1.13.1</t>
  </si>
  <si>
    <t>ST-1.13.2</t>
  </si>
  <si>
    <t>ST-1.13.3</t>
  </si>
  <si>
    <t>ST-1.13.4</t>
  </si>
  <si>
    <t>ST-1.13.5</t>
  </si>
  <si>
    <t>ST-1.13.6</t>
  </si>
  <si>
    <t>ST-1.14.1</t>
  </si>
  <si>
    <t>ST-1.14.2</t>
  </si>
  <si>
    <t>ST-1.14.3</t>
  </si>
  <si>
    <t>ST-1.14.4</t>
  </si>
  <si>
    <t>ST-1.14.5</t>
  </si>
  <si>
    <t>ST-1.14.6</t>
  </si>
  <si>
    <t>ST-1.15</t>
  </si>
  <si>
    <t>Stormwater channel/open channel</t>
  </si>
  <si>
    <t>ST-1.16</t>
  </si>
  <si>
    <t>Stormwater channel stabilisation</t>
  </si>
  <si>
    <t>Reference Item</t>
  </si>
  <si>
    <t>OSE-1.01</t>
  </si>
  <si>
    <t>Amenities building</t>
  </si>
  <si>
    <t>OSE-1.01.1</t>
  </si>
  <si>
    <t>1 playing field (220 sqm amenities block)</t>
  </si>
  <si>
    <t>OSE-1.01.2</t>
  </si>
  <si>
    <t>2 playing fields (260 sqm amenities block)</t>
  </si>
  <si>
    <t>OSE-1.01.3</t>
  </si>
  <si>
    <t>3+ playing fields (400 sqm amenities block)</t>
  </si>
  <si>
    <t>OSE-1.02</t>
  </si>
  <si>
    <t>BBQ area</t>
  </si>
  <si>
    <t>OSE-1.02.1</t>
  </si>
  <si>
    <t>Single plate, uncovered</t>
  </si>
  <si>
    <t>OSE-1.02.2</t>
  </si>
  <si>
    <t>Double plate, uncovered</t>
  </si>
  <si>
    <t>OSE-1.03</t>
  </si>
  <si>
    <t>Boundary fencing</t>
  </si>
  <si>
    <t>OSE-1.05</t>
  </si>
  <si>
    <t>Car park</t>
  </si>
  <si>
    <t>OSE-1.06</t>
  </si>
  <si>
    <t>Cricket wicket</t>
  </si>
  <si>
    <t>OSE-1.07</t>
  </si>
  <si>
    <t>Cricket wicket only</t>
  </si>
  <si>
    <t>OSE-1.08</t>
  </si>
  <si>
    <t>Demolition</t>
  </si>
  <si>
    <t>OSE-1.08.1</t>
  </si>
  <si>
    <t>Demolition - reinforced concrete slab</t>
  </si>
  <si>
    <t>OSE-1.08.2</t>
  </si>
  <si>
    <t>Demolition - unreinforced concrete slab</t>
  </si>
  <si>
    <t>OSE-1.08.3</t>
  </si>
  <si>
    <t>Demolition - bitumen paving</t>
  </si>
  <si>
    <t>OSE-1.08.4</t>
  </si>
  <si>
    <t>Demolition - concrete/masonry structure</t>
  </si>
  <si>
    <t>OSE-1.08.5</t>
  </si>
  <si>
    <t>Demolition - light structure</t>
  </si>
  <si>
    <t>OSE-1.08.6</t>
  </si>
  <si>
    <t>Demolition - double storey light structure</t>
  </si>
  <si>
    <t>OSE-1.08.7</t>
  </si>
  <si>
    <t>Demolition - double storey concrete/masonry structure</t>
  </si>
  <si>
    <t>OSE-1.09</t>
  </si>
  <si>
    <t>Double playing fields</t>
  </si>
  <si>
    <t>OSE-1.09.1</t>
  </si>
  <si>
    <t>Double soccer field</t>
  </si>
  <si>
    <t>OSE-1.09.2</t>
  </si>
  <si>
    <t>Double rugby league/union field</t>
  </si>
  <si>
    <t>OSE-1.10</t>
  </si>
  <si>
    <t>Combined field</t>
  </si>
  <si>
    <t>OSE-1.10.1</t>
  </si>
  <si>
    <t>Combined field module (soccer/rugby league/rugby union/cricket)</t>
  </si>
  <si>
    <t>OSE-1.10.2</t>
  </si>
  <si>
    <t>Cricket pitch and field</t>
  </si>
  <si>
    <t>OSE-1.14</t>
  </si>
  <si>
    <t>Tennis court (outdoor)</t>
  </si>
  <si>
    <t>OSE-1.15</t>
  </si>
  <si>
    <t>Netball court (outdoor)</t>
  </si>
  <si>
    <t>OSE-1.16</t>
  </si>
  <si>
    <t>Netball courts/6 no. (6 court netball court)</t>
  </si>
  <si>
    <t>OSE-1.17</t>
  </si>
  <si>
    <t>Basketball court (outdoor)</t>
  </si>
  <si>
    <t>OSE-1.18</t>
  </si>
  <si>
    <t>Playing lighting</t>
  </si>
  <si>
    <t>OSE-1.18.1</t>
  </si>
  <si>
    <t>Floodlighting for football (all codes)</t>
  </si>
  <si>
    <t>pitch</t>
  </si>
  <si>
    <t>OSE-1.18.2</t>
  </si>
  <si>
    <t>Floodlighting for tennis</t>
  </si>
  <si>
    <t>court</t>
  </si>
  <si>
    <t>OSE-1.18.3</t>
  </si>
  <si>
    <t>Floodlighting for netball and basketball</t>
  </si>
  <si>
    <t>OSE-1.19</t>
  </si>
  <si>
    <t>Double/combined playing field lighting</t>
  </si>
  <si>
    <t>double/combined field</t>
  </si>
  <si>
    <t>OSE-1.20</t>
  </si>
  <si>
    <t>Basic landscaping</t>
  </si>
  <si>
    <t>OSE-1.20.1</t>
  </si>
  <si>
    <t>Planting - sapling</t>
  </si>
  <si>
    <t>OSE-1.20.2</t>
  </si>
  <si>
    <t>Planting - semi mature tree (45ltr)</t>
  </si>
  <si>
    <t>OSE-1.20.3</t>
  </si>
  <si>
    <t>Planting - mature tree (100ltr)</t>
  </si>
  <si>
    <t>OSE-1.20.4</t>
  </si>
  <si>
    <t>Planting - shrubs</t>
  </si>
  <si>
    <t>OSE-1.20.5</t>
  </si>
  <si>
    <t>Mulching</t>
  </si>
  <si>
    <t>OSE-1.20.6</t>
  </si>
  <si>
    <t>Steel edging</t>
  </si>
  <si>
    <t>OSE-1.20.7</t>
  </si>
  <si>
    <t>Concrete edging 150 x 150</t>
  </si>
  <si>
    <t>OSE-1.21</t>
  </si>
  <si>
    <t>Park security lighting</t>
  </si>
  <si>
    <t>OSE-1.22</t>
  </si>
  <si>
    <t>Paved area (hard surfaces)</t>
  </si>
  <si>
    <t>OSE-1.22.1</t>
  </si>
  <si>
    <t>Asphalt - pedestrian access only</t>
  </si>
  <si>
    <t>OSE-1.22.2</t>
  </si>
  <si>
    <t>Asphalt - shared pedestrian/vehicular access</t>
  </si>
  <si>
    <t>OSE-1.22.3</t>
  </si>
  <si>
    <t>Asphalt - precast concrete</t>
  </si>
  <si>
    <t>OSE-1.22.4</t>
  </si>
  <si>
    <t>Paving - sandstone</t>
  </si>
  <si>
    <t>OSE-1.22.5</t>
  </si>
  <si>
    <t>Paving - brick</t>
  </si>
  <si>
    <t>OSE-1.22.6</t>
  </si>
  <si>
    <t>Polished concrete</t>
  </si>
  <si>
    <t>OSE-1.23</t>
  </si>
  <si>
    <t>Picnic area</t>
  </si>
  <si>
    <t>OSE-1.23.1</t>
  </si>
  <si>
    <t>Fixed table - aluminium slats, back supported seats</t>
  </si>
  <si>
    <t>OSE-1.23.2</t>
  </si>
  <si>
    <t>Extra over for shade covering</t>
  </si>
  <si>
    <t>OSE-1.24</t>
  </si>
  <si>
    <t>Playground/exercise equipment</t>
  </si>
  <si>
    <t>OSE-1.24.1</t>
  </si>
  <si>
    <t>OSE-1.24.2</t>
  </si>
  <si>
    <t>OSE-1.24.3</t>
  </si>
  <si>
    <t>OSE-1.24.4</t>
  </si>
  <si>
    <t>All abilities equipment</t>
  </si>
  <si>
    <t>OSE-1.24.5</t>
  </si>
  <si>
    <t>Installation of playset equipment with a PC Sum value of up to $15,000</t>
  </si>
  <si>
    <t>OSE-1.24.6</t>
  </si>
  <si>
    <t>Installation of playset equipment with a PC Sum value of up to $20,000</t>
  </si>
  <si>
    <t>OSE-1.24.7</t>
  </si>
  <si>
    <t>Soft fall</t>
  </si>
  <si>
    <t>OSE-1.24.8</t>
  </si>
  <si>
    <t>Fencing - steel posts and mesh</t>
  </si>
  <si>
    <t>OSE-1.25</t>
  </si>
  <si>
    <t>Seating area</t>
  </si>
  <si>
    <t>OSE-1.25.1</t>
  </si>
  <si>
    <t>Aluminium frame, aluminium slats, back support</t>
  </si>
  <si>
    <t>OSE-1.25.2</t>
  </si>
  <si>
    <t>Aluminium frame, aluminium slats, no back support</t>
  </si>
  <si>
    <t>OSE-1.25.3</t>
  </si>
  <si>
    <t>Aluminium frame, timber slats, back support</t>
  </si>
  <si>
    <t>OSE-1.25.4</t>
  </si>
  <si>
    <t>Aluminium frame, timber slats, no back support</t>
  </si>
  <si>
    <t>OSE-1.26</t>
  </si>
  <si>
    <t>Shade sail</t>
  </si>
  <si>
    <t>OSE-1.27</t>
  </si>
  <si>
    <t>Spectator seat</t>
  </si>
  <si>
    <t>OSE-1.27.1</t>
  </si>
  <si>
    <t>Aluminium tiered seating 3000mm wide</t>
  </si>
  <si>
    <t>OSE-1.27.2</t>
  </si>
  <si>
    <t>Aluminium tiered seating 3500mm wide</t>
  </si>
  <si>
    <t>OSE-1.27.3</t>
  </si>
  <si>
    <t>Aluminium tiered seating 4000mm wide</t>
  </si>
  <si>
    <t>OSE-1.27.4</t>
  </si>
  <si>
    <t>Aluminium tiered seating 5000mm wide</t>
  </si>
  <si>
    <t>OSE-1.28</t>
  </si>
  <si>
    <t>Turfing</t>
  </si>
  <si>
    <t>OSE-1.28.1</t>
  </si>
  <si>
    <t>Rolled turf - buffalo</t>
  </si>
  <si>
    <t>OSE-1.28.2</t>
  </si>
  <si>
    <t>Hydroseeding</t>
  </si>
  <si>
    <t>OSE-1.29</t>
  </si>
  <si>
    <t>Retaining wall</t>
  </si>
  <si>
    <t>OSE-1.29.1</t>
  </si>
  <si>
    <t>Concrete sleeper</t>
  </si>
  <si>
    <t>OSE-1.29.2</t>
  </si>
  <si>
    <t>Keystone block</t>
  </si>
  <si>
    <t>OSE-1.30</t>
  </si>
  <si>
    <t>Site clearance</t>
  </si>
  <si>
    <t>OSE-1.31</t>
  </si>
  <si>
    <t>Synthetic playing surfaces/artificial grass</t>
  </si>
  <si>
    <t>OSE-1.34</t>
  </si>
  <si>
    <t>Bins</t>
  </si>
  <si>
    <t>OSE-1.35</t>
  </si>
  <si>
    <t>Biycycle racks</t>
  </si>
  <si>
    <t>OSE-1.36</t>
  </si>
  <si>
    <t>Bubbler</t>
  </si>
  <si>
    <t>Plan administration</t>
  </si>
  <si>
    <t>Plan preparation and administration</t>
  </si>
  <si>
    <t>1.5% of works cost</t>
  </si>
  <si>
    <t>Regional index</t>
  </si>
  <si>
    <t>Albury</t>
  </si>
  <si>
    <t>Armidale</t>
  </si>
  <si>
    <t>Batemans Bay</t>
  </si>
  <si>
    <t>Bathurst</t>
  </si>
  <si>
    <t>Bega</t>
  </si>
  <si>
    <t>Bombala</t>
  </si>
  <si>
    <t>Bourke</t>
  </si>
  <si>
    <t>Bowral</t>
  </si>
  <si>
    <t>Braidwood</t>
  </si>
  <si>
    <t>Broken Hill</t>
  </si>
  <si>
    <t>Cabramurra</t>
  </si>
  <si>
    <t>Cobar</t>
  </si>
  <si>
    <t>Coffs Harbour</t>
  </si>
  <si>
    <t>Condobolin</t>
  </si>
  <si>
    <t>Coonabarabran</t>
  </si>
  <si>
    <t>Coonamble</t>
  </si>
  <si>
    <t>Cowra</t>
  </si>
  <si>
    <t>Deniliquin</t>
  </si>
  <si>
    <t>Dubbo</t>
  </si>
  <si>
    <t>Eden</t>
  </si>
  <si>
    <t>Forbes</t>
  </si>
  <si>
    <t>Forster</t>
  </si>
  <si>
    <t>Glen Innes</t>
  </si>
  <si>
    <t>Gosford</t>
  </si>
  <si>
    <t>Goulburn</t>
  </si>
  <si>
    <t>Grafton</t>
  </si>
  <si>
    <t>Griffith</t>
  </si>
  <si>
    <t>Gunnedah</t>
  </si>
  <si>
    <t>Hay</t>
  </si>
  <si>
    <t>Inverell</t>
  </si>
  <si>
    <t>Ivanhoe</t>
  </si>
  <si>
    <t>Jindabyne</t>
  </si>
  <si>
    <t>Katoomba</t>
  </si>
  <si>
    <t>Kempsey</t>
  </si>
  <si>
    <t>Lismore</t>
  </si>
  <si>
    <t>Moree</t>
  </si>
  <si>
    <t>Mudgee</t>
  </si>
  <si>
    <t>Muswellbrook</t>
  </si>
  <si>
    <t>Narrabri</t>
  </si>
  <si>
    <t>Newcastle</t>
  </si>
  <si>
    <t>Nowra</t>
  </si>
  <si>
    <t>Orange</t>
  </si>
  <si>
    <t>Parkes</t>
  </si>
  <si>
    <t>Perisher Valley</t>
  </si>
  <si>
    <t>Singleton</t>
  </si>
  <si>
    <t>Sydney CBD</t>
  </si>
  <si>
    <t>Tamworth</t>
  </si>
  <si>
    <t>Taree</t>
  </si>
  <si>
    <t>Tenterfield</t>
  </si>
  <si>
    <t>Thredbo</t>
  </si>
  <si>
    <t>Tweed Heads</t>
  </si>
  <si>
    <t>Ulladulla</t>
  </si>
  <si>
    <t>Wagga Wagga</t>
  </si>
  <si>
    <t>Walgett</t>
  </si>
  <si>
    <t>Wilcannia</t>
  </si>
  <si>
    <t>Wollongong</t>
  </si>
  <si>
    <t>Yass</t>
  </si>
  <si>
    <t>Signalised intersection (single lane)</t>
  </si>
  <si>
    <t>4 way intersection</t>
  </si>
  <si>
    <t>Signalised intersection (2 lane)</t>
  </si>
  <si>
    <t>200m thick ACM material (non-friable)</t>
  </si>
  <si>
    <t>500m thick ACM material (non-friable)</t>
  </si>
  <si>
    <t>200m thick ACM material (friable)</t>
  </si>
  <si>
    <t>500m thick ACM material (friable)</t>
  </si>
  <si>
    <t>n/a</t>
  </si>
  <si>
    <t>Signalised_intersection_single_lane</t>
  </si>
  <si>
    <t>Signalised_intersection_2_lane</t>
  </si>
  <si>
    <t>Main Item</t>
  </si>
  <si>
    <t>Main Item - Name Range</t>
  </si>
  <si>
    <t>size 300 x 225 mm</t>
  </si>
  <si>
    <t>Box_culvert_headwall_single_cell</t>
  </si>
  <si>
    <t>size 600 x 450 mm</t>
  </si>
  <si>
    <t>size 1500 x 600 mm</t>
  </si>
  <si>
    <t>size 2100 x 2100 mm</t>
  </si>
  <si>
    <t>Box culvert and headwall - single cell</t>
  </si>
  <si>
    <t>Box culvert and headwall - twin cell</t>
  </si>
  <si>
    <t>Box_culvert_headwall_twin_cell</t>
  </si>
  <si>
    <t>Secondary Items</t>
  </si>
  <si>
    <t>Box culvert and headwall - headwall for single cell</t>
  </si>
  <si>
    <t>Box culvert and headwall - headwall for twin cell</t>
  </si>
  <si>
    <t>Box_culvert_headwall_headwall_single</t>
  </si>
  <si>
    <t>Box_culvert_headwall_headwall_twin</t>
  </si>
  <si>
    <t>Box culvert and headwall - single cell - size 300 x 225 mm</t>
  </si>
  <si>
    <t>Box culvert and headwall - single cell - size 600 x 450 mm</t>
  </si>
  <si>
    <t>Box culvert and headwall - headwall for single cell - size 300 x 225 mm</t>
  </si>
  <si>
    <t>Box culvert and headwall - headwall for single cell - size 600 x 450 mm</t>
  </si>
  <si>
    <t>Box culvert and headwall - headwall for single cell - size 1500 x 600 mm</t>
  </si>
  <si>
    <t>Box culvert and headwall - headwall for single cell - size 2100 x 2100 mm</t>
  </si>
  <si>
    <t>Box culvert and headwall - headwall for twin cell - size 300 x 225 mm</t>
  </si>
  <si>
    <t>Box culvert and headwall - headwall for twin cell - size 600 x 450 mm</t>
  </si>
  <si>
    <t>Box culvert and headwall - headwall for twin cell - size 1500 x 600 mm</t>
  </si>
  <si>
    <t>Box culvert and headwall - headwall for twin cell - size 2100 x 2100 mm</t>
  </si>
  <si>
    <t>Waste Disposal</t>
  </si>
  <si>
    <t>Waste Disposal &amp; Contaminated Land Remediation</t>
  </si>
  <si>
    <t>Contaminated Land Remediation</t>
  </si>
  <si>
    <t>Signalised intersection (2 lane) - 4 way intersection</t>
  </si>
  <si>
    <t>$2024-25</t>
  </si>
  <si>
    <t>$2025-26</t>
  </si>
  <si>
    <t>Unit cost rates are shown in:</t>
  </si>
  <si>
    <t>525mm pipe</t>
  </si>
  <si>
    <t>750mm pipe</t>
  </si>
  <si>
    <t>900mm pipe</t>
  </si>
  <si>
    <t>1200mm pipe</t>
  </si>
  <si>
    <t>1350mm pipe</t>
  </si>
  <si>
    <t>375mm pipe</t>
  </si>
  <si>
    <t>1.5 total width</t>
  </si>
  <si>
    <t>3m total width</t>
  </si>
  <si>
    <t>5m total width</t>
  </si>
  <si>
    <t>Bio-retention basin - grassed swale - 1.5 total width</t>
  </si>
  <si>
    <t>Bio-retention basin - grassed swale - 3m total width</t>
  </si>
  <si>
    <t>Bio-retention basin - grassed swale - 5m total width</t>
  </si>
  <si>
    <t>Gross_pollutant_trap</t>
  </si>
  <si>
    <t>BioRetention_basin_grassed_swale</t>
  </si>
  <si>
    <t>Stormwater_headwalls</t>
  </si>
  <si>
    <t>Stormwater headwalls to suit</t>
  </si>
  <si>
    <t>Stormwater pit - precast pit to suit</t>
  </si>
  <si>
    <t>Stormwater_pit</t>
  </si>
  <si>
    <t>Stormwater pipe - reinforced concrete pipe - 375mm</t>
  </si>
  <si>
    <t>Stormwater pipe - reinforced concrete pipe - 525mm</t>
  </si>
  <si>
    <t>Stormwater pipe - reinforced concrete pipe - 750mm</t>
  </si>
  <si>
    <t>Stormwater pipe - reinforced concrete pipe - 900mm</t>
  </si>
  <si>
    <t>Stormwater pipe - reinforced concrete pipe - 1200mm</t>
  </si>
  <si>
    <t>Stormwater pipe - reinforced concrete pipe - 1350mm</t>
  </si>
  <si>
    <t>375mm</t>
  </si>
  <si>
    <t>525mm</t>
  </si>
  <si>
    <t>750mm</t>
  </si>
  <si>
    <t>900mm</t>
  </si>
  <si>
    <t>1200mm</t>
  </si>
  <si>
    <t>1350mm</t>
  </si>
  <si>
    <t>Stormwater pipe - reinforced concrete pipe</t>
  </si>
  <si>
    <t>Stormwater headwalls to suit - 375mm pipe</t>
  </si>
  <si>
    <t>Stormwater headwalls to suit - 525mm pipe</t>
  </si>
  <si>
    <t>Stormwater headwalls to suit - 750mm pipe</t>
  </si>
  <si>
    <t>Stormwater headwalls to suit - 900mm pipe</t>
  </si>
  <si>
    <t>Stormwater headwalls to suit - 1200mm pipe</t>
  </si>
  <si>
    <t>Stormwater headwalls to suit - 1350mm pipe</t>
  </si>
  <si>
    <t>450mm diameter</t>
  </si>
  <si>
    <t>750mm diameter</t>
  </si>
  <si>
    <t>1200mm diameter</t>
  </si>
  <si>
    <t>Gross pollutant trap - outlet size - 450mm diameter</t>
  </si>
  <si>
    <t>Gross pollutant trap - outlet size - 750mm diameter</t>
  </si>
  <si>
    <t>Gross pollutant trap - outlet size - 1200mm diameter</t>
  </si>
  <si>
    <t>Stormwater pit - precast pit to suit - 375mm pipe</t>
  </si>
  <si>
    <t>Stormwater pit - precast pit to suit - 525mm pipe</t>
  </si>
  <si>
    <t>Stormwater pit - precast pit to suit - 750mm pipe</t>
  </si>
  <si>
    <t>Stormwater pit - precast pit to suit - 900mm pipe</t>
  </si>
  <si>
    <t>Stormwater pit - precast pit to suit - 1200mm pipe</t>
  </si>
  <si>
    <t>Stormwater pit - precast pit to suit - 1350mm pipe</t>
  </si>
  <si>
    <t>Summary</t>
  </si>
  <si>
    <t>Infrastructure category</t>
  </si>
  <si>
    <t>Roads and transport</t>
  </si>
  <si>
    <t xml:space="preserve">Stormwater </t>
  </si>
  <si>
    <t>Stormwater_pipe_reinforced_concrete</t>
  </si>
  <si>
    <t>Gross pollutant trap - outlet size</t>
  </si>
  <si>
    <t>Total benchmark base construction costs</t>
  </si>
  <si>
    <t>% of total benchmark cost</t>
  </si>
  <si>
    <t>Bio-retention basin - grassed swale</t>
  </si>
  <si>
    <t>Box culvert and headwall - single cell - size 1500 x 600 mm</t>
  </si>
  <si>
    <t>Box culvert and headwall - single cell - size 2100 x 2100 mm</t>
  </si>
  <si>
    <t>Box culvert and headwall - twin cell - size 300 x 225 mm</t>
  </si>
  <si>
    <t>Box culvert and headwall - twin cell - size 600 x 450 mm</t>
  </si>
  <si>
    <t>Box culvert and headwall - twin cell - size 1500 x 600 mm</t>
  </si>
  <si>
    <t>Box culvert and headwall - twin cell - size 2100 x 2100 mm</t>
  </si>
  <si>
    <t>"T" intersection</t>
  </si>
  <si>
    <t>Open Space</t>
  </si>
  <si>
    <t>BBQ_area</t>
  </si>
  <si>
    <t>BBQ area - Single plate, uncovered</t>
  </si>
  <si>
    <t>BBQ area - Double plate, uncovered</t>
  </si>
  <si>
    <t>Amenities_building</t>
  </si>
  <si>
    <t>Playing_lighting</t>
  </si>
  <si>
    <t>Basic_landscaping</t>
  </si>
  <si>
    <t>Amenities building - 1 playing field (220 sqm amenities block)</t>
  </si>
  <si>
    <t>Amenities building - 2 playing fields (260 sqm amenities block)</t>
  </si>
  <si>
    <t>Amenities building - 3+ playing fields (400 sqm amenities block)</t>
  </si>
  <si>
    <t>Paved_area_hard</t>
  </si>
  <si>
    <t>Paved area (hard surfaces) - Asphalt - pedestrian access only</t>
  </si>
  <si>
    <t>Paved area (hard surfaces) - Asphalt - shared pedestrian/vehicular access</t>
  </si>
  <si>
    <t>Paved area (hard surfaces) - Asphalt - precast concrete</t>
  </si>
  <si>
    <t>Paved area (hard surfaces) - Paving - sandstone</t>
  </si>
  <si>
    <t>Paved area (hard surfaces) - Paving - brick</t>
  </si>
  <si>
    <t>Paved area (hard surfaces) - Polished concrete</t>
  </si>
  <si>
    <t>Playing lighting - Floodlighting for football (all codes)</t>
  </si>
  <si>
    <t>Playing lighting - Floodlighting for tennis</t>
  </si>
  <si>
    <t>Playing lighting - Floodlighting for netball and basketball</t>
  </si>
  <si>
    <t>Basic landscaping - Planting - sapling</t>
  </si>
  <si>
    <t>Basic landscaping - Planting - semi mature tree (45ltr)</t>
  </si>
  <si>
    <t>Basic landscaping - Planting - mature tree (100ltr)</t>
  </si>
  <si>
    <t>Basic landscaping - Planting - shrubs</t>
  </si>
  <si>
    <t>Basic landscaping - Mulching</t>
  </si>
  <si>
    <t>Basic landscaping - Steel edging</t>
  </si>
  <si>
    <t>Basic landscaping - Concrete edging 150 x 150</t>
  </si>
  <si>
    <t>Playing lighting - Double/combined playing field lighting</t>
  </si>
  <si>
    <t>#</t>
  </si>
  <si>
    <t>Waste disposal</t>
  </si>
  <si>
    <t>Cultural heritage impact</t>
  </si>
  <si>
    <t>Contaminated land remediation</t>
  </si>
  <si>
    <t>Crosscheck</t>
  </si>
  <si>
    <r>
      <t>Plan preparation and administration costs:</t>
    </r>
    <r>
      <rPr>
        <sz val="9"/>
        <rFont val="Arial"/>
        <family val="2"/>
      </rPr>
      <t xml:space="preserve"> </t>
    </r>
  </si>
  <si>
    <t>Fixed costs</t>
  </si>
  <si>
    <t>Contributions Plan for</t>
  </si>
  <si>
    <t>% of total benchmark costs</t>
  </si>
  <si>
    <t>% of total transport benchmark costs</t>
  </si>
  <si>
    <t>Benchmark costs for Open Space</t>
  </si>
  <si>
    <t>Benchmark costs for Stormwater</t>
  </si>
  <si>
    <t xml:space="preserve">Benchmark costs for Transport </t>
  </si>
  <si>
    <t>% of total stormwater benchmark costs</t>
  </si>
  <si>
    <t>% of total open space benchmark cost</t>
  </si>
  <si>
    <t>Total benchmark costs</t>
  </si>
  <si>
    <t>Helper Row to source data from horizontal sheet</t>
  </si>
  <si>
    <t>Helper row to source unit rates and calculate sums for summary sheet</t>
  </si>
  <si>
    <t>Helper Column - Name Range</t>
  </si>
  <si>
    <t>Picnic_area</t>
  </si>
  <si>
    <t>Playground_equipment</t>
  </si>
  <si>
    <t>Seating_area</t>
  </si>
  <si>
    <t>Spectator_seat</t>
  </si>
  <si>
    <t>Retaining_wall</t>
  </si>
  <si>
    <t>Picnic area - Fixed table - aluminium slats, back supported seats</t>
  </si>
  <si>
    <t>Picnic area - Extra over for shade covering</t>
  </si>
  <si>
    <t>Playset/exercise equipment - with 2-3 fixtures/play structures</t>
  </si>
  <si>
    <t>Playset/exercise equipment - with 3-5 fixtures/play structures</t>
  </si>
  <si>
    <t>Playset/exercise equipment - with 4-6 fixtures/play structures</t>
  </si>
  <si>
    <t>Playground/exercise equipment - All abilities equipment</t>
  </si>
  <si>
    <t>Playground/exercise equipment - Installation of playset equipment with a PC Sum value of up to $15,000</t>
  </si>
  <si>
    <t>Playground/exercise equipment - Installation of playset equipment with a PC Sum value of up to $20,000</t>
  </si>
  <si>
    <t>Playground/exercise equipment - Soft fall</t>
  </si>
  <si>
    <t>Playground/exercise equipment - Fencing - steel posts and mesh</t>
  </si>
  <si>
    <t>Playground/exercise equipment - Playset/exercise equipment - with 2-3 fixtures/play structures</t>
  </si>
  <si>
    <t>Playground/exercise equipment - Playset/exercise equipment - with 3-5 fixtures/play structures</t>
  </si>
  <si>
    <t>Playground/exercise equipment - Playset/exercise equipment - with 4-6 fixtures/play structures</t>
  </si>
  <si>
    <t>Seating area - Aluminium frame, aluminium slats, back support</t>
  </si>
  <si>
    <t>Seating area - Aluminium frame, aluminium slats, no back support</t>
  </si>
  <si>
    <t>Seating area - Aluminium frame, timber slats, back support</t>
  </si>
  <si>
    <t>Seating area - Aluminium frame, timber slats, no back support</t>
  </si>
  <si>
    <t>Spectator seat - Aluminium tiered seating 3000mm wide</t>
  </si>
  <si>
    <t>Spectator seat - Aluminium tiered seating 3500mm wide</t>
  </si>
  <si>
    <t>Spectator seat - Aluminium tiered seating 4000mm wide</t>
  </si>
  <si>
    <t>Spectator seat - Aluminium tiered seating 5000mm wide</t>
  </si>
  <si>
    <t>Retaining wall - Concrete sleeper</t>
  </si>
  <si>
    <t>Retaining wall - Keystone block</t>
  </si>
  <si>
    <t>Turfing - Rolled turf - buffalo</t>
  </si>
  <si>
    <t>Turfing - Hydroseeding</t>
  </si>
  <si>
    <t>This worksheet shows the cost breakdown of each works schedule item.</t>
  </si>
  <si>
    <t>There are no inputs required here.</t>
  </si>
  <si>
    <t>Overall project benchmark costs</t>
  </si>
  <si>
    <t>PL-1.01</t>
  </si>
  <si>
    <t>linked to box culvert and headwall items above, as it's the same inputs</t>
  </si>
  <si>
    <t>You can use backspace to remove inputs from blue cells.</t>
  </si>
  <si>
    <t>Sub-item</t>
  </si>
  <si>
    <t>Reinforced concrete slab</t>
  </si>
  <si>
    <t>Unreinforced concrete slab</t>
  </si>
  <si>
    <t>Bitumen paving</t>
  </si>
  <si>
    <t>Concrete/masonry structure</t>
  </si>
  <si>
    <t>Light structure</t>
  </si>
  <si>
    <t>Double storey light structure</t>
  </si>
  <si>
    <t>Double storey concrete/masonry structure</t>
  </si>
  <si>
    <t>Concrete</t>
  </si>
  <si>
    <t>Asphalt</t>
  </si>
  <si>
    <t>Demolition of mixed waste</t>
  </si>
  <si>
    <t>General solid waste recyclable</t>
  </si>
  <si>
    <t>General solid waste landfill</t>
  </si>
  <si>
    <t>General solid waste asbestos</t>
  </si>
  <si>
    <t>Restricted solid waste</t>
  </si>
  <si>
    <t>Asbestos only</t>
  </si>
  <si>
    <t>Enter inputs in blue cells. White cells do not require inputs.</t>
  </si>
  <si>
    <t>IPART local infrastructure benchmark costs tool</t>
  </si>
  <si>
    <t>The Independent Pricing and Regulatory Tribunal of NSW</t>
  </si>
  <si>
    <t>Contact:</t>
  </si>
  <si>
    <t>Email:</t>
  </si>
  <si>
    <t>Purpose of the tool</t>
  </si>
  <si>
    <t>Target audience</t>
  </si>
  <si>
    <t>Tool structure</t>
  </si>
  <si>
    <t>What the tool does</t>
  </si>
  <si>
    <t>Colour code</t>
  </si>
  <si>
    <t>Further information</t>
  </si>
  <si>
    <t>Lithgow</t>
  </si>
  <si>
    <t>Queanbeyan</t>
  </si>
  <si>
    <t>1.</t>
  </si>
  <si>
    <t>◦</t>
  </si>
  <si>
    <t>summary inputs, such as location and relevant financial year</t>
  </si>
  <si>
    <t>application of adjustment factors, such as waste disposal and site constraints</t>
  </si>
  <si>
    <t>2.</t>
  </si>
  <si>
    <t>selection of local infrastructure items and relevant sub-items</t>
  </si>
  <si>
    <t>3.</t>
  </si>
  <si>
    <r>
      <t xml:space="preserve">Summary tables are also calculated in the Summary worksheet. These tables </t>
    </r>
    <r>
      <rPr>
        <b/>
        <sz val="9"/>
        <rFont val="Arial"/>
        <family val="2"/>
      </rPr>
      <t>breakdown the overall costs</t>
    </r>
    <r>
      <rPr>
        <sz val="9"/>
        <rFont val="Arial"/>
        <family val="2"/>
      </rPr>
      <t xml:space="preserve"> that have been calculated in the tool for a high-level view.</t>
    </r>
  </si>
  <si>
    <r>
      <t>Based on inputs from the user, the tool</t>
    </r>
    <r>
      <rPr>
        <b/>
        <sz val="9"/>
        <rFont val="Arial"/>
        <family val="2"/>
      </rPr>
      <t xml:space="preserve"> calculates the benchmark works costs for each infrastructure category of a contributions plan</t>
    </r>
    <r>
      <rPr>
        <sz val="9"/>
        <rFont val="Arial"/>
        <family val="2"/>
      </rPr>
      <t>. The tool mimics the typical</t>
    </r>
  </si>
  <si>
    <t>layout of councils' contributions plans' works schedules and shows the base construction benchmark cost and total benchmark cost. Inputs required from the user include:</t>
  </si>
  <si>
    <r>
      <t xml:space="preserve">The tool includes </t>
    </r>
    <r>
      <rPr>
        <b/>
        <sz val="9"/>
        <rFont val="Arial"/>
        <family val="2"/>
      </rPr>
      <t>separate works schedule worksheets for transport, stormwater, and open space</t>
    </r>
    <r>
      <rPr>
        <sz val="9"/>
        <rFont val="Arial"/>
        <family val="2"/>
      </rPr>
      <t>. It can also compare the benchmark costs calculated against</t>
    </r>
  </si>
  <si>
    <t>existing costings received by the user.</t>
  </si>
  <si>
    <t>Current and completed assessment of plans.</t>
  </si>
  <si>
    <r>
      <t xml:space="preserve">IPART, </t>
    </r>
    <r>
      <rPr>
        <i/>
        <u/>
        <sz val="9"/>
        <color theme="10"/>
        <rFont val="Arial"/>
        <family val="2"/>
      </rPr>
      <t>IPART assessment of local infrastructure contributions plans</t>
    </r>
    <r>
      <rPr>
        <u/>
        <sz val="9"/>
        <color theme="10"/>
        <rFont val="Arial"/>
        <family val="2"/>
      </rPr>
      <t>, Information Paper, July 2025.</t>
    </r>
  </si>
  <si>
    <r>
      <t xml:space="preserve">IPART, </t>
    </r>
    <r>
      <rPr>
        <i/>
        <u/>
        <sz val="9"/>
        <color theme="10"/>
        <rFont val="Arial"/>
        <family val="2"/>
      </rPr>
      <t>Benchmark costs for local infrastructure</t>
    </r>
    <r>
      <rPr>
        <u/>
        <sz val="9"/>
        <color theme="10"/>
        <rFont val="Arial"/>
        <family val="2"/>
      </rPr>
      <t>, April 2025.</t>
    </r>
  </si>
  <si>
    <r>
      <t xml:space="preserve">This tool allows users to calculate contributions plan works costs based on </t>
    </r>
    <r>
      <rPr>
        <b/>
        <sz val="9"/>
        <rFont val="Arial"/>
        <family val="2"/>
      </rPr>
      <t>IPART's benchmark costs for local infrastructure</t>
    </r>
    <r>
      <rPr>
        <sz val="9"/>
        <rFont val="Arial"/>
        <family val="2"/>
      </rPr>
      <t>. Please see below for our latest benchmark costs.</t>
    </r>
  </si>
  <si>
    <t>Our benchmark costs are general in nature and councils should consider the benefits and risks of using benchmarks over site-specific costings.</t>
  </si>
  <si>
    <t>Our benchmark costs will not always be appropriate for use, due to the site-specific nature of construction costs. During our assessments, we may consider it more appropriate</t>
  </si>
  <si>
    <r>
      <t xml:space="preserve">for councils to procure independent advice from an accredited quantity surveyor, which take into consideration the unique circumstances of the development. </t>
    </r>
    <r>
      <rPr>
        <b/>
        <sz val="9"/>
        <rFont val="Arial"/>
        <family val="2"/>
      </rPr>
      <t xml:space="preserve">These independent </t>
    </r>
  </si>
  <si>
    <r>
      <rPr>
        <b/>
        <sz val="9"/>
        <rFont val="Arial"/>
        <family val="2"/>
      </rPr>
      <t>costings should be used in contributions plans if available</t>
    </r>
    <r>
      <rPr>
        <sz val="9"/>
        <rFont val="Arial"/>
        <family val="2"/>
      </rPr>
      <t>. This helps tailor cost estimates for a plan and prevent significant over or under recovery on infrastructure spend.</t>
    </r>
  </si>
  <si>
    <r>
      <t xml:space="preserve">The primary audiences for this tool are </t>
    </r>
    <r>
      <rPr>
        <b/>
        <sz val="9"/>
        <rFont val="Arial"/>
        <family val="2"/>
      </rPr>
      <t>councils, consultants, or developers</t>
    </r>
    <r>
      <rPr>
        <sz val="9"/>
        <rFont val="Arial"/>
        <family val="2"/>
      </rPr>
      <t xml:space="preserve"> who wish to understand, build and/or check local infrastructure benchmark costs.</t>
    </r>
  </si>
  <si>
    <r>
      <rPr>
        <b/>
        <sz val="9"/>
        <rFont val="Arial"/>
        <family val="2"/>
      </rPr>
      <t xml:space="preserve">IPART staff </t>
    </r>
    <r>
      <rPr>
        <sz val="9"/>
        <rFont val="Arial"/>
        <family val="2"/>
      </rPr>
      <t>may also use the tool to compare costs in contributions plans that have been submitted for assessment against our benchmark costs.</t>
    </r>
  </si>
  <si>
    <t>Use of IPART's benchmark costs</t>
  </si>
  <si>
    <t>In our assessments of contributions plans, we typically include a cost comparison of the works costs of the plan being assessed against previously assessed plans. This</t>
  </si>
  <si>
    <t>Cost comparison to recently assessed plans on request</t>
  </si>
  <si>
    <t>is usually on a cost per person or cost per hectare of net developable area basis for each infrastructure category. For a cost comparison example, please see link below.</t>
  </si>
  <si>
    <r>
      <t xml:space="preserve">IPART, </t>
    </r>
    <r>
      <rPr>
        <i/>
        <u/>
        <sz val="9"/>
        <color theme="10"/>
        <rFont val="Arial"/>
        <family val="2"/>
      </rPr>
      <t>Review of our approach to assessing contributions plans</t>
    </r>
    <r>
      <rPr>
        <u/>
        <sz val="9"/>
        <color theme="10"/>
        <rFont val="Arial"/>
        <family val="2"/>
      </rPr>
      <t>, Final Report, April 2025, pp 19-20.</t>
    </r>
  </si>
  <si>
    <t>localgovernment@ipart.nsw.gov.au</t>
  </si>
  <si>
    <t>The user interface:</t>
  </si>
  <si>
    <t>As set out below, the tool consists of 2 sections, namely the user interface (summary output, works schedules and cost breakdowns) and the backend worksheets.</t>
  </si>
  <si>
    <t>The 'Variable index' worksheet contains other hard-coded inputs that are referenced in the works schedule formulae, such as adjustment factors and unit costs</t>
  </si>
  <si>
    <t>The 'Rawlinsons regional indices' worksheet converts the Rawlinsons regional indices from index values to decimal values suitable for the calculation formulae.</t>
  </si>
  <si>
    <t>Summary inputs and outputs (dark blue tab)</t>
  </si>
  <si>
    <t>Works schedules and cost breakdowns (light blue tabs)</t>
  </si>
  <si>
    <r>
      <t xml:space="preserve">The </t>
    </r>
    <r>
      <rPr>
        <b/>
        <sz val="9"/>
        <color rgb="FFFFFFFF"/>
        <rFont val="Arial"/>
        <family val="2"/>
      </rPr>
      <t>'Summary'</t>
    </r>
    <r>
      <rPr>
        <sz val="9"/>
        <color indexed="9"/>
        <rFont val="Arial"/>
        <family val="2"/>
      </rPr>
      <t xml:space="preserve"> worksheet contains initial inputs that carry through the other input worksheets, such as 'Location' and 'Proximity to raw materials'</t>
    </r>
  </si>
  <si>
    <t>costs, as well as cost comparisons to existing costings</t>
  </si>
  <si>
    <r>
      <t>The</t>
    </r>
    <r>
      <rPr>
        <b/>
        <sz val="9"/>
        <rFont val="Arial"/>
        <family val="2"/>
      </rPr>
      <t xml:space="preserve"> 'Transport'</t>
    </r>
    <r>
      <rPr>
        <sz val="9"/>
        <rFont val="Arial"/>
        <family val="2"/>
      </rPr>
      <t xml:space="preserve">, </t>
    </r>
    <r>
      <rPr>
        <b/>
        <sz val="9"/>
        <rFont val="Arial"/>
        <family val="2"/>
      </rPr>
      <t>'Stormwater'</t>
    </r>
    <r>
      <rPr>
        <sz val="9"/>
        <rFont val="Arial"/>
        <family val="2"/>
      </rPr>
      <t xml:space="preserve">, and </t>
    </r>
    <r>
      <rPr>
        <b/>
        <sz val="9"/>
        <rFont val="Arial"/>
        <family val="2"/>
      </rPr>
      <t>'Open space'</t>
    </r>
    <r>
      <rPr>
        <sz val="9"/>
        <rFont val="Arial"/>
        <family val="2"/>
      </rPr>
      <t xml:space="preserve"> worksheets capture inputs that are required calculate benchmark base construction costs and total benchmark</t>
    </r>
  </si>
  <si>
    <r>
      <t xml:space="preserve">The </t>
    </r>
    <r>
      <rPr>
        <b/>
        <sz val="9"/>
        <rFont val="Arial"/>
        <family val="2"/>
      </rPr>
      <t>'Transport (cost breakdown)'</t>
    </r>
    <r>
      <rPr>
        <sz val="9"/>
        <rFont val="Arial"/>
        <family val="2"/>
      </rPr>
      <t xml:space="preserve">, </t>
    </r>
    <r>
      <rPr>
        <b/>
        <sz val="9"/>
        <rFont val="Arial"/>
        <family val="2"/>
      </rPr>
      <t>'Stormwater (cost breakdown)'</t>
    </r>
    <r>
      <rPr>
        <sz val="9"/>
        <rFont val="Arial"/>
        <family val="2"/>
      </rPr>
      <t xml:space="preserve">, and </t>
    </r>
    <r>
      <rPr>
        <b/>
        <sz val="9"/>
        <rFont val="Arial"/>
        <family val="2"/>
      </rPr>
      <t xml:space="preserve">'Open space (cost breakdown)' </t>
    </r>
    <r>
      <rPr>
        <sz val="9"/>
        <rFont val="Arial"/>
        <family val="2"/>
      </rPr>
      <t xml:space="preserve">worksheets break down the cost composition of the </t>
    </r>
  </si>
  <si>
    <t>Backend worksheets, which the user should not need to access.</t>
  </si>
  <si>
    <t>User interface, which contains all the inputs, key outputs, cost comparisons and summary tables (dark and light blue tabs)</t>
  </si>
  <si>
    <t>benchmark base construction cost and benchmark total cost for the local infrastructure items included in the works schedule tabs</t>
  </si>
  <si>
    <t>The 'Lists' worksheet in this section contains the lists for the type of infrastructure drop-downs, as well as references to helper rows</t>
  </si>
  <si>
    <t>The index and reference worksheets:</t>
  </si>
  <si>
    <t>If a total amount is available, please enter it here. If blank, 1.5% is applied to the total benchmark costs as default</t>
  </si>
  <si>
    <t xml:space="preserve">The tool is for illustrative purposes only, and should not be considered to represent the basis of reasonable cost for any particular contributions plan. Benchmark costs are only </t>
  </si>
  <si>
    <t>one factor IPART uses in assessing reasonable costs in contributions plans. Please refer to IPART's reviews of contributions plans and our assessment Information Paper</t>
  </si>
  <si>
    <t>below for detailed information on how reasonable cost is assessed.</t>
  </si>
  <si>
    <t>If you need any assistance with using this tool to calculate contributions plan works costs or would like further information about how these costs compare with IPART's recently</t>
  </si>
  <si>
    <t>assessed plans, please contact us. You can contact us at:</t>
  </si>
  <si>
    <t>Helper row to show total benchmark cost once calculated</t>
  </si>
  <si>
    <t>Item reference</t>
  </si>
  <si>
    <t>Item description</t>
  </si>
  <si>
    <t>Work project</t>
  </si>
  <si>
    <t>Work project reference</t>
  </si>
  <si>
    <t>Project costs are shown in:</t>
  </si>
  <si>
    <t>Total project benchmark cost</t>
  </si>
  <si>
    <t>Have the infrastructure items in the transport, stormwater, or open space works schedules been attributed to an overarching work project?</t>
  </si>
  <si>
    <t>Entering a proximity to raw materials is required for costs to be calculated in the works schedule sheets.</t>
  </si>
  <si>
    <t>4.</t>
  </si>
  <si>
    <r>
      <t>After benchmark costs have been calculated, the tool also illustrates the</t>
    </r>
    <r>
      <rPr>
        <b/>
        <sz val="9"/>
        <rFont val="Arial"/>
        <family val="2"/>
      </rPr>
      <t xml:space="preserve"> cost composition for each local infrastructure item </t>
    </r>
    <r>
      <rPr>
        <sz val="9"/>
        <rFont val="Arial"/>
        <family val="2"/>
      </rPr>
      <t xml:space="preserve">in the </t>
    </r>
    <r>
      <rPr>
        <b/>
        <sz val="9"/>
        <rFont val="Arial"/>
        <family val="2"/>
      </rPr>
      <t>cost breakdown worksheets</t>
    </r>
    <r>
      <rPr>
        <sz val="9"/>
        <rFont val="Arial"/>
        <family val="2"/>
      </rPr>
      <t>. These</t>
    </r>
  </si>
  <si>
    <t>show the cost amount and proportion of the total cost that each cost element represents, assisting with cost analysis.</t>
  </si>
  <si>
    <r>
      <t xml:space="preserve">The </t>
    </r>
    <r>
      <rPr>
        <b/>
        <sz val="9"/>
        <color rgb="FFFFFFFF"/>
        <rFont val="Arial"/>
        <family val="2"/>
      </rPr>
      <t xml:space="preserve">'Total project costs' </t>
    </r>
    <r>
      <rPr>
        <sz val="9"/>
        <color rgb="FFFFFFFF"/>
        <rFont val="Arial"/>
        <family val="2"/>
      </rPr>
      <t>worksheet rolls up individual benchmark costs up to the project level</t>
    </r>
  </si>
  <si>
    <t>The cost breakdown worksheets do not require any inputs</t>
  </si>
  <si>
    <t xml:space="preserve">The cost breakdown worksheets also display the summed overall project benchmark cost for the infrastructure category and the relevant cost comparisons to </t>
  </si>
  <si>
    <t>existing costings, linked to the works schedule worksheets.</t>
  </si>
  <si>
    <t>The total project costs will not be calculated correctly unless each item with a total benchmark cost has been attributed to a work project in Column J of the works</t>
  </si>
  <si>
    <t>schedule worksheets.</t>
  </si>
  <si>
    <t>November 2025</t>
  </si>
  <si>
    <t>Wellington</t>
  </si>
  <si>
    <t>Cross-check = 0</t>
  </si>
  <si>
    <t>Crosschecks = 0</t>
  </si>
  <si>
    <t>Note: Total benchmark base construction costs only includes items with total benchmark costs calculated.</t>
  </si>
  <si>
    <t>Helper column to sort and filter</t>
  </si>
  <si>
    <t>Enter work projects in the 'Work project' column.</t>
  </si>
  <si>
    <t>A reference ID can also be added for each work project.</t>
  </si>
  <si>
    <t>Work projects entered here will appear in the dropdown for the 'Work project' column (Column J) in the transport, stormwater, and open space sheets.</t>
  </si>
  <si>
    <t>This will allow the individual benchmark costs to be rolled up to the project level.</t>
  </si>
  <si>
    <r>
      <t xml:space="preserve">If work projects are listed in the </t>
    </r>
    <r>
      <rPr>
        <b/>
        <sz val="9"/>
        <rFont val="Arial"/>
        <family val="2"/>
      </rPr>
      <t>Total project costs</t>
    </r>
    <r>
      <rPr>
        <sz val="9"/>
        <rFont val="Arial"/>
        <family val="2"/>
      </rPr>
      <t xml:space="preserve"> </t>
    </r>
    <r>
      <rPr>
        <b/>
        <sz val="9"/>
        <rFont val="Arial"/>
        <family val="2"/>
      </rPr>
      <t>worksheet</t>
    </r>
    <r>
      <rPr>
        <sz val="9"/>
        <rFont val="Arial"/>
        <family val="2"/>
      </rPr>
      <t xml:space="preserve"> (Column E), then individual local infrastructure items can be attributed to overarching work projects</t>
    </r>
  </si>
  <si>
    <r>
      <t xml:space="preserve">(Column J in each works schedule worksheet). The tool then </t>
    </r>
    <r>
      <rPr>
        <b/>
        <sz val="9"/>
        <rFont val="Arial"/>
        <family val="2"/>
      </rPr>
      <t xml:space="preserve">rolls the total benchmark costs for those items up to the project level </t>
    </r>
    <r>
      <rPr>
        <sz val="9"/>
        <rFont val="Arial"/>
        <family val="2"/>
      </rPr>
      <t xml:space="preserve">in the </t>
    </r>
    <r>
      <rPr>
        <b/>
        <sz val="9"/>
        <rFont val="Arial"/>
        <family val="2"/>
      </rPr>
      <t>Total project costs worksheet</t>
    </r>
    <r>
      <rPr>
        <sz val="9"/>
        <rFont val="Arial"/>
        <family val="2"/>
      </rPr>
      <t>.</t>
    </r>
  </si>
  <si>
    <t>That is, multiple individual items across different infrastructure categories can be attributed to a single major project.</t>
  </si>
  <si>
    <t>The summary worksheet also contains output summary tables based on the costs calculated in the works schedule tabs</t>
  </si>
  <si>
    <t>The list of work projects is entered by the user in the total project costs worksheet, which informs the work project dropdown in the works schedule worksheets</t>
  </si>
  <si>
    <t>Infrastructure category included</t>
  </si>
  <si>
    <t>Selecting a location is required for costs to be calculated in the works schedule sheets. Please see 'Rawlinsons regional indices' worksheet for the location maps.</t>
  </si>
  <si>
    <t>Source: Rawlinsons Australian Construction Handbook 2025, Regional Indicies - New South Wales, pp 834-835.</t>
  </si>
  <si>
    <t>Click on the cells from Column E to Column AD for instruction prompts.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</si>
</sst>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0.0%"/>
    <numFmt numFmtId="166" formatCode="#,##0.0"/>
    <numFmt numFmtId="167" formatCode="_(* #,##0.0_);_(* \(#,##0.0\);_(* &quot;-&quot;??_);_(@_)"/>
    <numFmt numFmtId="168" formatCode="_-* #,##0_-;\-* #,##0_-;_-* &quot;-&quot;??_-;_-@_-"/>
    <numFmt numFmtId="169" formatCode="&quot;$&quot;#,##0"/>
    <numFmt numFmtId="170" formatCode="_-&quot;$&quot;* #,##0_-;\-&quot;$&quot;* #,##0_-;_-&quot;$&quot;* &quot;-&quot;??_-;_-@_-"/>
    <numFmt numFmtId="171" formatCode="_-&quot;$&quot;* #,##0.0_-;\-&quot;$&quot;* #,##0.0_-;_-&quot;$&quot;* &quot;-&quot;?_-;_-@_-"/>
  </numFmts>
  <fonts count="56" x14ac:knownFonts="1">
    <font>
      <sz val="9"/>
      <name val="Arial"/>
      <family val="2"/>
    </font>
    <font>
      <sz val="11"/>
      <color theme="1"/>
      <name val="Arial"/>
      <family val="2"/>
      <scheme val="minor"/>
    </font>
    <font>
      <sz val="11"/>
      <color theme="1"/>
      <name val="Arial"/>
      <family val="2"/>
      <scheme val="minor"/>
    </font>
    <font>
      <sz val="9"/>
      <name val="Arial"/>
      <family val="2"/>
    </font>
    <font>
      <sz val="9"/>
      <color indexed="14"/>
      <name val="Arial"/>
      <family val="2"/>
    </font>
    <font>
      <sz val="9"/>
      <color indexed="10"/>
      <name val="Arial"/>
      <family val="2"/>
    </font>
    <font>
      <sz val="10"/>
      <name val="Arial"/>
      <family val="2"/>
    </font>
    <font>
      <sz val="9"/>
      <color indexed="12"/>
      <name val="Arial"/>
      <family val="2"/>
    </font>
    <font>
      <b/>
      <sz val="9"/>
      <color indexed="9"/>
      <name val="Arial"/>
      <family val="2"/>
    </font>
    <font>
      <b/>
      <sz val="9"/>
      <color indexed="57"/>
      <name val="Arial"/>
      <family val="2"/>
    </font>
    <font>
      <b/>
      <sz val="14"/>
      <name val="Arial"/>
      <family val="2"/>
    </font>
    <font>
      <b/>
      <sz val="10"/>
      <name val="Arial"/>
      <family val="2"/>
    </font>
    <font>
      <sz val="11"/>
      <name val="Arial"/>
      <family val="2"/>
    </font>
    <font>
      <b/>
      <sz val="12"/>
      <name val="Arial"/>
      <family val="2"/>
    </font>
    <font>
      <b/>
      <sz val="9"/>
      <name val="Arial"/>
      <family val="2"/>
    </font>
    <font>
      <b/>
      <sz val="16"/>
      <name val="Arial"/>
      <family val="2"/>
    </font>
    <font>
      <u/>
      <sz val="9"/>
      <color theme="10"/>
      <name val="Arial"/>
      <family val="2"/>
    </font>
    <font>
      <b/>
      <sz val="11"/>
      <name val="Arial"/>
      <family val="2"/>
    </font>
    <font>
      <sz val="9"/>
      <color theme="4" tint="0.249977111117893"/>
      <name val="Arial"/>
      <family val="2"/>
    </font>
    <font>
      <b/>
      <sz val="9"/>
      <color rgb="FFFF0000"/>
      <name val="Arial"/>
      <family val="2"/>
    </font>
    <font>
      <sz val="10"/>
      <color indexed="9"/>
      <name val="Arial"/>
      <family val="2"/>
    </font>
    <font>
      <b/>
      <sz val="12"/>
      <color indexed="12"/>
      <name val="Arial"/>
      <family val="2"/>
    </font>
    <font>
      <i/>
      <sz val="9"/>
      <name val="Arial"/>
      <family val="2"/>
    </font>
    <font>
      <sz val="9"/>
      <color theme="8" tint="-0.249977111117893"/>
      <name val="Arial"/>
      <family val="2"/>
    </font>
    <font>
      <sz val="8"/>
      <color indexed="14"/>
      <name val="Arial"/>
      <family val="2"/>
    </font>
    <font>
      <sz val="10"/>
      <color theme="4"/>
      <name val="Arial"/>
      <family val="2"/>
    </font>
    <font>
      <sz val="9"/>
      <color theme="4"/>
      <name val="Arial"/>
      <family val="2"/>
    </font>
    <font>
      <sz val="8"/>
      <color theme="4"/>
      <name val="Arial"/>
      <family val="2"/>
    </font>
    <font>
      <b/>
      <u/>
      <sz val="9"/>
      <name val="Arial"/>
      <family val="2"/>
    </font>
    <font>
      <b/>
      <sz val="10"/>
      <color indexed="10"/>
      <name val="Arial"/>
      <family val="2"/>
    </font>
    <font>
      <sz val="10"/>
      <name val="Arial Narrow"/>
      <family val="2"/>
    </font>
    <font>
      <b/>
      <sz val="12"/>
      <color indexed="10"/>
      <name val="Arial"/>
      <family val="2"/>
    </font>
    <font>
      <b/>
      <sz val="10"/>
      <color indexed="57"/>
      <name val="Arial"/>
      <family val="2"/>
    </font>
    <font>
      <b/>
      <sz val="15"/>
      <color theme="3"/>
      <name val="Arial"/>
      <family val="2"/>
      <scheme val="minor"/>
    </font>
    <font>
      <sz val="10"/>
      <color indexed="10"/>
      <name val="Arial"/>
      <family val="2"/>
    </font>
    <font>
      <i/>
      <sz val="11"/>
      <color rgb="FF7F7F7F"/>
      <name val="Arial"/>
      <family val="2"/>
      <scheme val="minor"/>
    </font>
    <font>
      <b/>
      <sz val="9"/>
      <color theme="1"/>
      <name val="Arial"/>
      <family val="2"/>
    </font>
    <font>
      <sz val="8"/>
      <color rgb="FF000000"/>
      <name val="Tahoma"/>
      <family val="2"/>
    </font>
    <font>
      <sz val="9"/>
      <color theme="1"/>
      <name val="Arial"/>
      <family val="2"/>
    </font>
    <font>
      <b/>
      <sz val="9"/>
      <color theme="0"/>
      <name val="Arial"/>
      <family val="2"/>
    </font>
    <font>
      <b/>
      <sz val="9"/>
      <color indexed="12"/>
      <name val="Arial"/>
      <family val="2"/>
    </font>
    <font>
      <sz val="9"/>
      <color theme="0" tint="-0.249977111117893"/>
      <name val="Arial"/>
      <family val="2"/>
    </font>
    <font>
      <b/>
      <sz val="10"/>
      <name val="Raleway"/>
      <family val="2"/>
    </font>
    <font>
      <sz val="10"/>
      <name val="Raleway"/>
      <family val="2"/>
    </font>
    <font>
      <b/>
      <sz val="10"/>
      <color rgb="FF00B050"/>
      <name val="Raleway"/>
      <family val="2"/>
    </font>
    <font>
      <sz val="8"/>
      <name val="Arial"/>
      <family val="2"/>
    </font>
    <font>
      <sz val="9"/>
      <color rgb="FF00B050"/>
      <name val="Arial"/>
      <family val="2"/>
    </font>
    <font>
      <b/>
      <sz val="9"/>
      <color rgb="FF00B050"/>
      <name val="Arial"/>
      <family val="2"/>
    </font>
    <font>
      <sz val="11"/>
      <name val="Calibri"/>
      <family val="2"/>
    </font>
    <font>
      <i/>
      <u/>
      <sz val="9"/>
      <color theme="10"/>
      <name val="Arial"/>
      <family val="2"/>
    </font>
    <font>
      <sz val="9"/>
      <name val="Bookshelf Symbol 7"/>
      <charset val="2"/>
    </font>
    <font>
      <sz val="9"/>
      <color indexed="9"/>
      <name val="Arial"/>
      <family val="2"/>
    </font>
    <font>
      <b/>
      <sz val="9"/>
      <color rgb="FFFFFFFF"/>
      <name val="Arial"/>
      <family val="2"/>
    </font>
    <font>
      <sz val="9"/>
      <color rgb="FF339966"/>
      <name val="Arial"/>
      <family val="2"/>
    </font>
    <font>
      <sz val="9"/>
      <color rgb="FFFFFFFF"/>
      <name val="Arial"/>
      <family val="2"/>
    </font>
    <font>
      <sz val="8"/>
      <color indexed="57"/>
      <name val="Arial"/>
      <family val="2"/>
    </font>
  </fonts>
  <fills count="20">
    <fill>
      <patternFill patternType="none"/>
    </fill>
    <fill>
      <patternFill patternType="gray125"/>
    </fill>
    <fill>
      <patternFill patternType="solid">
        <fgColor indexed="41"/>
        <bgColor indexed="64"/>
      </patternFill>
    </fill>
    <fill>
      <patternFill patternType="solid">
        <fgColor indexed="44"/>
        <bgColor indexed="64"/>
      </patternFill>
    </fill>
    <fill>
      <patternFill patternType="solid">
        <fgColor indexed="18"/>
        <bgColor indexed="64"/>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CC"/>
        <bgColor theme="0"/>
      </patternFill>
    </fill>
    <fill>
      <patternFill patternType="solid">
        <fgColor rgb="FFCCCCFF"/>
        <bgColor indexed="64"/>
      </patternFill>
    </fill>
    <fill>
      <patternFill patternType="solid">
        <fgColor theme="3" tint="0.89996032593768116"/>
        <bgColor indexed="64"/>
      </patternFill>
    </fill>
    <fill>
      <patternFill patternType="solid">
        <fgColor theme="4"/>
        <bgColor theme="4"/>
      </patternFill>
    </fill>
    <fill>
      <patternFill patternType="solid">
        <fgColor rgb="FFE2EAF6"/>
        <bgColor indexed="64"/>
      </patternFill>
    </fill>
    <fill>
      <patternFill patternType="solid">
        <fgColor theme="0" tint="-4.9989318521683403E-2"/>
        <bgColor indexed="64"/>
      </patternFill>
    </fill>
    <fill>
      <patternFill patternType="solid">
        <fgColor theme="0" tint="-4.9989318521683403E-2"/>
        <bgColor rgb="FF00FFFF"/>
      </patternFill>
    </fill>
    <fill>
      <patternFill patternType="solid">
        <fgColor theme="1" tint="0.749992370372631"/>
        <bgColor indexed="64"/>
      </patternFill>
    </fill>
    <fill>
      <patternFill patternType="solid">
        <fgColor theme="1" tint="0.749992370372631"/>
        <bgColor rgb="FF00FFFF"/>
      </patternFill>
    </fill>
    <fill>
      <patternFill patternType="solid">
        <fgColor indexed="18"/>
        <bgColor rgb="FF00FFFF"/>
      </patternFill>
    </fill>
  </fills>
  <borders count="76">
    <border>
      <left/>
      <right/>
      <top/>
      <bottom/>
      <diagonal/>
    </border>
    <border>
      <left/>
      <right/>
      <top/>
      <bottom style="thin">
        <color indexed="64"/>
      </bottom>
      <diagonal/>
    </border>
    <border>
      <left/>
      <right/>
      <top style="thin">
        <color indexed="64"/>
      </top>
      <bottom/>
      <diagonal/>
    </border>
    <border>
      <left/>
      <right/>
      <top/>
      <bottom style="hair">
        <color indexed="64"/>
      </bottom>
      <diagonal/>
    </border>
    <border>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right/>
      <top style="thin">
        <color indexed="64"/>
      </top>
      <bottom style="thin">
        <color indexed="64"/>
      </bottom>
      <diagonal/>
    </border>
    <border>
      <left/>
      <right/>
      <top style="medium">
        <color indexed="64"/>
      </top>
      <bottom/>
      <diagonal/>
    </border>
    <border>
      <left/>
      <right style="double">
        <color rgb="FFFF0000"/>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double">
        <color indexed="10"/>
      </right>
      <top/>
      <bottom style="medium">
        <color indexed="64"/>
      </bottom>
      <diagonal/>
    </border>
    <border>
      <left style="double">
        <color indexed="10"/>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ck">
        <color theme="4"/>
      </bottom>
      <diagonal/>
    </border>
    <border>
      <left style="thin">
        <color theme="4"/>
      </left>
      <right/>
      <top style="thin">
        <color theme="4"/>
      </top>
      <bottom/>
      <diagonal/>
    </border>
    <border>
      <left/>
      <right/>
      <top style="thin">
        <color indexed="64"/>
      </top>
      <bottom style="double">
        <color indexed="64"/>
      </bottom>
      <diagonal/>
    </border>
    <border>
      <left style="thin">
        <color theme="0" tint="-0.34998626667073579"/>
      </left>
      <right/>
      <top style="thin">
        <color theme="0" tint="-0.34998626667073579"/>
      </top>
      <bottom style="thin">
        <color theme="0" tint="-0.14996795556505021"/>
      </bottom>
      <diagonal/>
    </border>
    <border>
      <left/>
      <right/>
      <top style="thin">
        <color theme="0" tint="-0.34998626667073579"/>
      </top>
      <bottom style="thin">
        <color theme="0" tint="-0.14996795556505021"/>
      </bottom>
      <diagonal/>
    </border>
    <border>
      <left/>
      <right style="thin">
        <color theme="0" tint="-0.34998626667073579"/>
      </right>
      <top style="thin">
        <color theme="0" tint="-0.34998626667073579"/>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34998626667073579"/>
      </right>
      <top style="thin">
        <color theme="0" tint="-0.14996795556505021"/>
      </top>
      <bottom style="thin">
        <color theme="0" tint="-0.14996795556505021"/>
      </bottom>
      <diagonal/>
    </border>
    <border>
      <left/>
      <right/>
      <top style="thin">
        <color theme="0" tint="-0.14996795556505021"/>
      </top>
      <bottom style="thin">
        <color theme="0" tint="-0.34998626667073579"/>
      </bottom>
      <diagonal/>
    </border>
    <border>
      <left/>
      <right style="thin">
        <color theme="0" tint="-0.34998626667073579"/>
      </right>
      <top style="thin">
        <color theme="0" tint="-0.14996795556505021"/>
      </top>
      <bottom style="thin">
        <color theme="0" tint="-0.34998626667073579"/>
      </bottom>
      <diagonal/>
    </border>
    <border>
      <left style="thin">
        <color theme="0" tint="-0.34998626667073579"/>
      </left>
      <right/>
      <top style="thin">
        <color theme="0" tint="-0.14996795556505021"/>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0691854609822"/>
      </left>
      <right/>
      <top style="thin">
        <color theme="0" tint="-0.14990691854609822"/>
      </top>
      <bottom/>
      <diagonal/>
    </border>
    <border>
      <left/>
      <right/>
      <top style="thin">
        <color theme="0" tint="-0.14990691854609822"/>
      </top>
      <bottom/>
      <diagonal/>
    </border>
    <border>
      <left/>
      <right style="thin">
        <color theme="0" tint="-0.14990691854609822"/>
      </right>
      <top style="thin">
        <color theme="0" tint="-0.14990691854609822"/>
      </top>
      <bottom/>
      <diagonal/>
    </border>
    <border>
      <left style="thin">
        <color theme="0" tint="-0.14990691854609822"/>
      </left>
      <right/>
      <top/>
      <bottom/>
      <diagonal/>
    </border>
    <border>
      <left/>
      <right style="thin">
        <color theme="0" tint="-0.14990691854609822"/>
      </right>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90691854609822"/>
      </right>
      <top/>
      <bottom style="thin">
        <color theme="0" tint="-0.14990691854609822"/>
      </bottom>
      <diagonal/>
    </border>
    <border>
      <left/>
      <right/>
      <top style="thin">
        <color theme="0" tint="-0.34998626667073579"/>
      </top>
      <bottom/>
      <diagonal/>
    </border>
    <border>
      <left/>
      <right/>
      <top/>
      <bottom style="thin">
        <color theme="0" tint="-0.34998626667073579"/>
      </bottom>
      <diagonal/>
    </border>
    <border>
      <left/>
      <right style="thin">
        <color theme="0" tint="-0.1498458815271462"/>
      </right>
      <top/>
      <bottom/>
      <diagonal/>
    </border>
    <border>
      <left style="thin">
        <color theme="0" tint="-0.1498458815271462"/>
      </left>
      <right/>
      <top style="thin">
        <color theme="0" tint="-0.149845881527146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8458815271462"/>
      </left>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top style="thin">
        <color theme="4"/>
      </top>
      <bottom/>
      <diagonal/>
    </border>
    <border>
      <left style="thin">
        <color theme="4"/>
      </left>
      <right style="thin">
        <color indexed="64"/>
      </right>
      <top style="thin">
        <color theme="4"/>
      </top>
      <bottom style="double">
        <color indexed="64"/>
      </bottom>
      <diagonal/>
    </border>
    <border>
      <left style="thin">
        <color theme="4"/>
      </left>
      <right style="thin">
        <color indexed="64"/>
      </right>
      <top style="thin">
        <color theme="4"/>
      </top>
      <bottom/>
      <diagonal/>
    </border>
    <border>
      <left/>
      <right style="thin">
        <color theme="4"/>
      </right>
      <top style="thin">
        <color theme="4"/>
      </top>
      <bottom/>
      <diagonal/>
    </border>
    <border>
      <left style="thin">
        <color indexed="64"/>
      </left>
      <right style="thin">
        <color indexed="64"/>
      </right>
      <top style="thin">
        <color theme="4"/>
      </top>
      <bottom style="double">
        <color indexed="64"/>
      </bottom>
      <diagonal/>
    </border>
    <border>
      <left/>
      <right style="thin">
        <color indexed="64"/>
      </right>
      <top style="thin">
        <color theme="4"/>
      </top>
      <bottom style="double">
        <color indexed="64"/>
      </bottom>
      <diagonal/>
    </border>
    <border>
      <left style="thin">
        <color indexed="64"/>
      </left>
      <right/>
      <top style="thin">
        <color theme="4"/>
      </top>
      <bottom/>
      <diagonal/>
    </border>
    <border>
      <left style="thin">
        <color indexed="64"/>
      </left>
      <right style="thin">
        <color indexed="64"/>
      </right>
      <top style="double">
        <color indexed="64"/>
      </top>
      <bottom/>
      <diagonal/>
    </border>
  </borders>
  <cellStyleXfs count="27">
    <xf numFmtId="0" fontId="0" fillId="0" borderId="0"/>
    <xf numFmtId="43" fontId="3" fillId="0" borderId="0" applyFont="0" applyFill="0" applyBorder="0" applyAlignment="0" applyProtection="0"/>
    <xf numFmtId="41" fontId="3" fillId="0" borderId="0" applyFont="0" applyFill="0" applyBorder="0" applyAlignment="0" applyProtection="0"/>
    <xf numFmtId="0" fontId="3" fillId="0" borderId="13" applyNumberFormat="0" applyFont="0" applyFill="0" applyAlignment="0" applyProtection="0"/>
    <xf numFmtId="164" fontId="24" fillId="0" borderId="0" applyNumberFormat="0" applyFill="0" applyBorder="0" applyAlignment="0">
      <alignment horizontal="left"/>
    </xf>
    <xf numFmtId="0" fontId="5" fillId="0" borderId="0" applyNumberFormat="0" applyFill="0" applyBorder="0" applyAlignment="0"/>
    <xf numFmtId="4" fontId="3" fillId="3" borderId="0" applyBorder="0" applyAlignment="0">
      <alignment horizontal="right"/>
      <protection locked="0"/>
    </xf>
    <xf numFmtId="165" fontId="3" fillId="3" borderId="0" applyBorder="0" applyAlignment="0">
      <alignment horizontal="right"/>
      <protection locked="0"/>
    </xf>
    <xf numFmtId="3" fontId="7" fillId="0" borderId="0" applyNumberFormat="0" applyFill="0" applyBorder="0" applyAlignment="0" applyProtection="0">
      <protection locked="0"/>
    </xf>
    <xf numFmtId="41" fontId="8" fillId="4" borderId="0" applyNumberFormat="0" applyBorder="0" applyAlignment="0"/>
    <xf numFmtId="0" fontId="9" fillId="0" borderId="0" applyNumberFormat="0" applyFill="0" applyBorder="0" applyAlignment="0" applyProtection="0"/>
    <xf numFmtId="0" fontId="16" fillId="0" borderId="0" applyNumberFormat="0" applyFill="0" applyBorder="0" applyAlignment="0" applyProtection="0"/>
    <xf numFmtId="166" fontId="3" fillId="10" borderId="0" applyBorder="0" applyAlignment="0">
      <alignment horizontal="right"/>
      <protection locked="0"/>
    </xf>
    <xf numFmtId="165" fontId="3" fillId="2" borderId="0" applyBorder="0" applyAlignment="0">
      <protection locked="0"/>
    </xf>
    <xf numFmtId="0" fontId="19" fillId="8" borderId="0" applyNumberFormat="0" applyBorder="0" applyAlignment="0" applyProtection="0"/>
    <xf numFmtId="165" fontId="3" fillId="10" borderId="0" applyBorder="0" applyAlignment="0">
      <alignment horizontal="left"/>
      <protection locked="0"/>
    </xf>
    <xf numFmtId="166" fontId="3" fillId="2" borderId="1" applyBorder="0" applyAlignment="0">
      <alignment horizontal="right"/>
      <protection locked="0"/>
    </xf>
    <xf numFmtId="9" fontId="20" fillId="0" borderId="0" applyFont="0" applyBorder="0" applyAlignment="0" applyProtection="0"/>
    <xf numFmtId="9" fontId="20" fillId="0" borderId="0" applyFont="0" applyBorder="0" applyAlignment="0" applyProtection="0"/>
    <xf numFmtId="0" fontId="2" fillId="0" borderId="0"/>
    <xf numFmtId="0" fontId="1" fillId="0" borderId="0"/>
    <xf numFmtId="0" fontId="3" fillId="11" borderId="0">
      <alignment vertical="top"/>
    </xf>
    <xf numFmtId="9" fontId="3" fillId="0" borderId="0" applyFont="0" applyFill="0" applyBorder="0" applyAlignment="0" applyProtection="0"/>
    <xf numFmtId="42" fontId="3" fillId="0" borderId="0" applyFont="0" applyFill="0" applyBorder="0" applyAlignment="0" applyProtection="0"/>
    <xf numFmtId="0" fontId="33" fillId="0" borderId="26" applyNumberFormat="0" applyFill="0" applyAlignment="0" applyProtection="0"/>
    <xf numFmtId="0" fontId="35" fillId="0" borderId="0" applyNumberFormat="0" applyFill="0" applyBorder="0" applyAlignment="0" applyProtection="0"/>
    <xf numFmtId="44" fontId="3" fillId="0" borderId="0" applyFont="0" applyFill="0" applyBorder="0" applyAlignment="0" applyProtection="0"/>
  </cellStyleXfs>
  <cellXfs count="385">
    <xf numFmtId="0" fontId="0" fillId="0" borderId="0" xfId="0"/>
    <xf numFmtId="0" fontId="0" fillId="7" borderId="0" xfId="0" applyFill="1"/>
    <xf numFmtId="0" fontId="12" fillId="7" borderId="0" xfId="0" applyFont="1" applyFill="1"/>
    <xf numFmtId="0" fontId="13" fillId="7" borderId="0" xfId="0" applyFont="1" applyFill="1"/>
    <xf numFmtId="166" fontId="3" fillId="2" borderId="0" xfId="16" applyBorder="1" applyAlignment="1">
      <protection locked="0"/>
    </xf>
    <xf numFmtId="0" fontId="0" fillId="0" borderId="0" xfId="0" applyAlignment="1">
      <alignment wrapText="1"/>
    </xf>
    <xf numFmtId="0" fontId="0" fillId="0" borderId="0" xfId="0" applyAlignment="1">
      <alignment horizontal="left"/>
    </xf>
    <xf numFmtId="0" fontId="3" fillId="7" borderId="0" xfId="0" applyFont="1" applyFill="1"/>
    <xf numFmtId="0" fontId="3" fillId="0" borderId="0" xfId="0" applyFont="1"/>
    <xf numFmtId="0" fontId="18" fillId="7" borderId="0" xfId="0" applyFont="1" applyFill="1"/>
    <xf numFmtId="0" fontId="14" fillId="7" borderId="0" xfId="0" applyFont="1" applyFill="1"/>
    <xf numFmtId="0" fontId="15" fillId="0" borderId="0" xfId="0" applyFont="1"/>
    <xf numFmtId="0" fontId="17" fillId="0" borderId="0" xfId="0" applyFont="1"/>
    <xf numFmtId="0" fontId="12" fillId="0" borderId="0" xfId="0" applyFont="1"/>
    <xf numFmtId="0" fontId="17" fillId="0" borderId="0" xfId="0" applyFont="1" applyAlignment="1">
      <alignment horizontal="left" vertical="top"/>
    </xf>
    <xf numFmtId="0" fontId="14" fillId="0" borderId="6" xfId="0" applyFont="1" applyBorder="1"/>
    <xf numFmtId="0" fontId="14" fillId="0" borderId="11" xfId="0" applyFont="1" applyBorder="1"/>
    <xf numFmtId="0" fontId="11" fillId="0" borderId="0" xfId="0" applyFont="1"/>
    <xf numFmtId="0" fontId="14" fillId="0" borderId="8" xfId="0" applyFont="1" applyBorder="1" applyAlignment="1">
      <alignment wrapText="1"/>
    </xf>
    <xf numFmtId="0" fontId="14" fillId="0" borderId="0" xfId="0" applyFont="1" applyAlignment="1">
      <alignment wrapText="1"/>
    </xf>
    <xf numFmtId="0" fontId="0" fillId="0" borderId="8" xfId="0" applyBorder="1" applyAlignment="1">
      <alignment wrapText="1"/>
    </xf>
    <xf numFmtId="0" fontId="6" fillId="0" borderId="0" xfId="0" applyFont="1"/>
    <xf numFmtId="0" fontId="14" fillId="0" borderId="7" xfId="0" applyFont="1" applyBorder="1" applyAlignment="1">
      <alignment wrapText="1"/>
    </xf>
    <xf numFmtId="0" fontId="0" fillId="0" borderId="2" xfId="0" applyBorder="1" applyAlignment="1">
      <alignment wrapText="1"/>
    </xf>
    <xf numFmtId="0" fontId="0" fillId="0" borderId="7" xfId="0" applyBorder="1" applyAlignment="1">
      <alignment wrapText="1"/>
    </xf>
    <xf numFmtId="0" fontId="0" fillId="0" borderId="9" xfId="0" applyBorder="1" applyAlignment="1">
      <alignment wrapText="1"/>
    </xf>
    <xf numFmtId="0" fontId="0" fillId="0" borderId="1" xfId="0" applyBorder="1" applyAlignment="1">
      <alignment wrapText="1"/>
    </xf>
    <xf numFmtId="0" fontId="14" fillId="0" borderId="0" xfId="0" applyFont="1"/>
    <xf numFmtId="0" fontId="13" fillId="0" borderId="0" xfId="0" applyFont="1"/>
    <xf numFmtId="0" fontId="21" fillId="0" borderId="0" xfId="8" applyNumberFormat="1" applyFont="1" applyFill="1" applyAlignment="1" applyProtection="1"/>
    <xf numFmtId="0" fontId="12" fillId="0" borderId="0" xfId="0" applyFont="1" applyAlignment="1">
      <alignment horizontal="left" vertical="top"/>
    </xf>
    <xf numFmtId="0" fontId="0" fillId="0" borderId="0" xfId="0" applyAlignment="1">
      <alignment horizontal="left" vertical="top"/>
    </xf>
    <xf numFmtId="0" fontId="0" fillId="0" borderId="3" xfId="0" applyBorder="1"/>
    <xf numFmtId="0" fontId="17" fillId="9" borderId="0" xfId="0" applyFont="1" applyFill="1"/>
    <xf numFmtId="0" fontId="0" fillId="9" borderId="0" xfId="0" applyFill="1"/>
    <xf numFmtId="0" fontId="0" fillId="0" borderId="0" xfId="0" applyAlignment="1">
      <alignment horizontal="center" vertical="top"/>
    </xf>
    <xf numFmtId="0" fontId="12" fillId="9" borderId="0" xfId="0" applyFont="1" applyFill="1"/>
    <xf numFmtId="4" fontId="0" fillId="3" borderId="0" xfId="6" applyFont="1" applyBorder="1" applyAlignment="1">
      <alignment horizontal="left"/>
      <protection locked="0"/>
    </xf>
    <xf numFmtId="167" fontId="7" fillId="0" borderId="0" xfId="1" applyNumberFormat="1" applyFont="1" applyFill="1" applyBorder="1" applyAlignment="1">
      <alignment horizontal="left"/>
    </xf>
    <xf numFmtId="167" fontId="8" fillId="4" borderId="0" xfId="9" applyNumberFormat="1" applyBorder="1" applyAlignment="1">
      <alignment horizontal="left"/>
    </xf>
    <xf numFmtId="167" fontId="4" fillId="0" borderId="0" xfId="4" applyNumberFormat="1" applyFont="1" applyFill="1" applyBorder="1" applyAlignment="1">
      <alignment horizontal="left"/>
    </xf>
    <xf numFmtId="167" fontId="4" fillId="0" borderId="0" xfId="1" applyNumberFormat="1" applyFont="1" applyFill="1" applyBorder="1" applyAlignment="1">
      <alignment horizontal="left"/>
    </xf>
    <xf numFmtId="0" fontId="0" fillId="7" borderId="0" xfId="0" applyFill="1" applyAlignment="1">
      <alignment wrapText="1"/>
    </xf>
    <xf numFmtId="0" fontId="3" fillId="7" borderId="0" xfId="0" applyFont="1" applyFill="1" applyAlignment="1">
      <alignment wrapText="1"/>
    </xf>
    <xf numFmtId="0" fontId="3" fillId="0" borderId="0" xfId="0" applyFont="1" applyAlignment="1">
      <alignment wrapText="1"/>
    </xf>
    <xf numFmtId="0" fontId="23" fillId="7" borderId="0" xfId="0" applyFont="1" applyFill="1"/>
    <xf numFmtId="0" fontId="23" fillId="7" borderId="0" xfId="0" applyFont="1" applyFill="1" applyAlignment="1">
      <alignment wrapText="1"/>
    </xf>
    <xf numFmtId="167" fontId="7" fillId="0" borderId="0" xfId="8" applyNumberFormat="1" applyFill="1" applyBorder="1" applyAlignment="1" applyProtection="1">
      <alignment horizontal="left"/>
    </xf>
    <xf numFmtId="0" fontId="1" fillId="0" borderId="0" xfId="20"/>
    <xf numFmtId="164" fontId="4" fillId="0" borderId="0" xfId="20" applyNumberFormat="1" applyFont="1" applyAlignment="1">
      <alignment horizontal="left"/>
    </xf>
    <xf numFmtId="0" fontId="1" fillId="5" borderId="0" xfId="20" applyFill="1" applyAlignment="1">
      <alignment wrapText="1"/>
    </xf>
    <xf numFmtId="0" fontId="1" fillId="6" borderId="0" xfId="20" applyFill="1" applyAlignment="1">
      <alignment wrapText="1"/>
    </xf>
    <xf numFmtId="0" fontId="10" fillId="0" borderId="0" xfId="20" applyFont="1"/>
    <xf numFmtId="0" fontId="1" fillId="5" borderId="5" xfId="20" applyFill="1" applyBorder="1" applyAlignment="1">
      <alignment wrapText="1"/>
    </xf>
    <xf numFmtId="0" fontId="1" fillId="5" borderId="5" xfId="20" applyFill="1" applyBorder="1" applyAlignment="1">
      <alignment horizontal="right" wrapText="1"/>
    </xf>
    <xf numFmtId="0" fontId="1" fillId="5" borderId="5" xfId="20" quotePrefix="1" applyFill="1" applyBorder="1" applyAlignment="1">
      <alignment wrapText="1"/>
    </xf>
    <xf numFmtId="0" fontId="1" fillId="5" borderId="0" xfId="20" applyFill="1" applyAlignment="1">
      <alignment horizontal="left" indent="1"/>
    </xf>
    <xf numFmtId="0" fontId="1" fillId="0" borderId="0" xfId="20" applyAlignment="1">
      <alignment wrapText="1"/>
    </xf>
    <xf numFmtId="0" fontId="0" fillId="7" borderId="3" xfId="0" applyFill="1" applyBorder="1"/>
    <xf numFmtId="0" fontId="0" fillId="7" borderId="4" xfId="0" applyFill="1" applyBorder="1"/>
    <xf numFmtId="15" fontId="0" fillId="7" borderId="4" xfId="0" applyNumberFormat="1" applyFill="1" applyBorder="1" applyAlignment="1">
      <alignment horizontal="left"/>
    </xf>
    <xf numFmtId="0" fontId="25" fillId="7" borderId="0" xfId="0" applyFont="1" applyFill="1"/>
    <xf numFmtId="15" fontId="0" fillId="7" borderId="0" xfId="0" applyNumberFormat="1" applyFill="1" applyAlignment="1">
      <alignment horizontal="left"/>
    </xf>
    <xf numFmtId="0" fontId="13" fillId="9" borderId="0" xfId="0" applyFont="1" applyFill="1"/>
    <xf numFmtId="0" fontId="26" fillId="7" borderId="0" xfId="0" applyFont="1" applyFill="1"/>
    <xf numFmtId="0" fontId="18" fillId="0" borderId="0" xfId="0" applyFont="1"/>
    <xf numFmtId="0" fontId="0" fillId="7" borderId="12" xfId="0" applyFill="1" applyBorder="1" applyAlignment="1">
      <alignment horizontal="left" vertical="top"/>
    </xf>
    <xf numFmtId="0" fontId="0" fillId="7" borderId="12" xfId="0" applyFill="1" applyBorder="1" applyAlignment="1">
      <alignment horizontal="left"/>
    </xf>
    <xf numFmtId="0" fontId="0" fillId="7" borderId="0" xfId="0" applyFill="1" applyAlignment="1">
      <alignment horizontal="left" vertical="top"/>
    </xf>
    <xf numFmtId="0" fontId="0" fillId="7" borderId="0" xfId="0" applyFill="1" applyAlignment="1">
      <alignment horizontal="left"/>
    </xf>
    <xf numFmtId="0" fontId="0" fillId="7" borderId="10" xfId="0" applyFill="1" applyBorder="1" applyAlignment="1">
      <alignment horizontal="left"/>
    </xf>
    <xf numFmtId="0" fontId="14" fillId="7" borderId="0" xfId="0" applyFont="1" applyFill="1" applyAlignment="1">
      <alignment horizontal="right"/>
    </xf>
    <xf numFmtId="0" fontId="26" fillId="7" borderId="0" xfId="0" applyFont="1" applyFill="1" applyAlignment="1">
      <alignment horizontal="right" vertical="top"/>
    </xf>
    <xf numFmtId="0" fontId="26" fillId="7" borderId="0" xfId="0" applyFont="1" applyFill="1" applyAlignment="1">
      <alignment horizontal="right" vertical="top" wrapText="1"/>
    </xf>
    <xf numFmtId="0" fontId="27" fillId="7" borderId="0" xfId="0" applyFont="1" applyFill="1"/>
    <xf numFmtId="0" fontId="22" fillId="7" borderId="0" xfId="0" applyFont="1" applyFill="1"/>
    <xf numFmtId="0" fontId="0" fillId="7" borderId="7" xfId="0" applyFill="1" applyBorder="1"/>
    <xf numFmtId="0" fontId="0" fillId="7" borderId="8" xfId="0" applyFill="1" applyBorder="1"/>
    <xf numFmtId="0" fontId="0" fillId="7" borderId="6" xfId="0" applyFill="1" applyBorder="1"/>
    <xf numFmtId="0" fontId="0" fillId="7" borderId="9" xfId="0" applyFill="1" applyBorder="1"/>
    <xf numFmtId="0" fontId="0" fillId="7" borderId="2" xfId="0" applyFill="1" applyBorder="1"/>
    <xf numFmtId="0" fontId="14" fillId="7" borderId="0" xfId="0" applyFont="1" applyFill="1" applyAlignment="1">
      <alignment horizontal="left"/>
    </xf>
    <xf numFmtId="0" fontId="26" fillId="7" borderId="0" xfId="0" applyFont="1" applyFill="1" applyAlignment="1">
      <alignment horizontal="left" vertical="top"/>
    </xf>
    <xf numFmtId="0" fontId="14" fillId="7" borderId="0" xfId="0" applyFont="1" applyFill="1" applyAlignment="1">
      <alignment wrapText="1"/>
    </xf>
    <xf numFmtId="0" fontId="10" fillId="0" borderId="0" xfId="0" applyFont="1"/>
    <xf numFmtId="0" fontId="0" fillId="5" borderId="0" xfId="0" applyFill="1" applyAlignment="1">
      <alignment wrapText="1"/>
    </xf>
    <xf numFmtId="0" fontId="29" fillId="0" borderId="0" xfId="0" applyFont="1"/>
    <xf numFmtId="0" fontId="30" fillId="0" borderId="0" xfId="0" applyFont="1"/>
    <xf numFmtId="0" fontId="6" fillId="5" borderId="0" xfId="0" applyFont="1" applyFill="1" applyAlignment="1">
      <alignment wrapText="1"/>
    </xf>
    <xf numFmtId="0" fontId="31" fillId="0" borderId="0" xfId="0" applyFont="1"/>
    <xf numFmtId="0" fontId="0" fillId="0" borderId="14" xfId="0" applyBorder="1"/>
    <xf numFmtId="0" fontId="13" fillId="0" borderId="12" xfId="0" applyFont="1" applyBorder="1"/>
    <xf numFmtId="0" fontId="0" fillId="0" borderId="12" xfId="0" applyBorder="1" applyAlignment="1">
      <alignment wrapText="1"/>
    </xf>
    <xf numFmtId="0" fontId="6" fillId="0" borderId="12" xfId="0" applyFont="1" applyBorder="1" applyAlignment="1">
      <alignment horizontal="center"/>
    </xf>
    <xf numFmtId="0" fontId="6" fillId="0" borderId="15" xfId="0" applyFont="1" applyBorder="1" applyAlignment="1">
      <alignment horizontal="center"/>
    </xf>
    <xf numFmtId="4" fontId="3" fillId="3" borderId="16" xfId="6" applyBorder="1" applyAlignment="1">
      <alignment horizontal="left"/>
      <protection locked="0"/>
    </xf>
    <xf numFmtId="4" fontId="3" fillId="3" borderId="0" xfId="6" applyBorder="1" applyAlignment="1">
      <protection locked="0"/>
    </xf>
    <xf numFmtId="4" fontId="3" fillId="3" borderId="0" xfId="6" applyBorder="1" applyAlignment="1">
      <alignment wrapText="1"/>
      <protection locked="0"/>
    </xf>
    <xf numFmtId="165" fontId="3" fillId="3" borderId="17" xfId="7" applyBorder="1" applyAlignment="1">
      <protection locked="0"/>
    </xf>
    <xf numFmtId="166" fontId="3" fillId="2" borderId="16" xfId="16" applyBorder="1" applyAlignment="1">
      <alignment horizontal="left"/>
      <protection locked="0"/>
    </xf>
    <xf numFmtId="166" fontId="3" fillId="2" borderId="0" xfId="16" applyBorder="1" applyAlignment="1">
      <alignment horizontal="left"/>
      <protection locked="0"/>
    </xf>
    <xf numFmtId="166" fontId="3" fillId="2" borderId="0" xfId="16" applyBorder="1" applyAlignment="1">
      <alignment wrapText="1"/>
      <protection locked="0"/>
    </xf>
    <xf numFmtId="165" fontId="3" fillId="2" borderId="17" xfId="13" applyBorder="1" applyAlignment="1">
      <alignment horizontal="right"/>
      <protection locked="0"/>
    </xf>
    <xf numFmtId="0" fontId="7" fillId="0" borderId="16" xfId="8" applyNumberFormat="1" applyBorder="1" applyProtection="1"/>
    <xf numFmtId="0" fontId="32" fillId="0" borderId="0" xfId="0" applyFont="1"/>
    <xf numFmtId="0" fontId="0" fillId="0" borderId="17" xfId="0" applyBorder="1" applyAlignment="1">
      <alignment wrapText="1"/>
    </xf>
    <xf numFmtId="0" fontId="8" fillId="4" borderId="16" xfId="9" applyNumberFormat="1" applyBorder="1" applyAlignment="1"/>
    <xf numFmtId="0" fontId="9" fillId="0" borderId="16" xfId="10" applyBorder="1" applyAlignment="1"/>
    <xf numFmtId="0" fontId="24" fillId="0" borderId="16" xfId="4" applyNumberFormat="1" applyBorder="1" applyAlignment="1">
      <alignment horizontal="left"/>
    </xf>
    <xf numFmtId="0" fontId="4" fillId="0" borderId="0" xfId="0" applyFont="1" applyAlignment="1">
      <alignment horizontal="left"/>
    </xf>
    <xf numFmtId="0" fontId="5" fillId="0" borderId="16" xfId="5" applyBorder="1" applyAlignment="1"/>
    <xf numFmtId="0" fontId="5" fillId="0" borderId="0" xfId="0" applyFont="1"/>
    <xf numFmtId="0" fontId="0" fillId="0" borderId="18" xfId="0" applyBorder="1"/>
    <xf numFmtId="0" fontId="0" fillId="0" borderId="10" xfId="0" applyBorder="1"/>
    <xf numFmtId="0" fontId="0" fillId="0" borderId="19" xfId="0" applyBorder="1"/>
    <xf numFmtId="0" fontId="0" fillId="0" borderId="10" xfId="0" applyBorder="1" applyAlignment="1">
      <alignment wrapText="1"/>
    </xf>
    <xf numFmtId="0" fontId="0" fillId="0" borderId="19" xfId="0" applyBorder="1" applyAlignment="1">
      <alignment wrapText="1"/>
    </xf>
    <xf numFmtId="0" fontId="0" fillId="0" borderId="20" xfId="0" applyBorder="1"/>
    <xf numFmtId="0" fontId="0" fillId="0" borderId="21" xfId="0" applyBorder="1" applyAlignment="1">
      <alignment wrapText="1"/>
    </xf>
    <xf numFmtId="4" fontId="9" fillId="3" borderId="0" xfId="10" applyNumberFormat="1" applyFill="1" applyBorder="1" applyAlignment="1" applyProtection="1">
      <alignment horizontal="left"/>
      <protection locked="0"/>
    </xf>
    <xf numFmtId="4" fontId="3" fillId="3" borderId="0" xfId="6" applyBorder="1" applyAlignment="1">
      <alignment horizontal="left"/>
      <protection locked="0"/>
    </xf>
    <xf numFmtId="4" fontId="5" fillId="3" borderId="0" xfId="5" applyNumberFormat="1" applyFill="1" applyBorder="1" applyAlignment="1">
      <alignment horizontal="left"/>
    </xf>
    <xf numFmtId="0" fontId="10" fillId="0" borderId="14" xfId="0" applyFont="1" applyBorder="1"/>
    <xf numFmtId="0" fontId="10" fillId="0" borderId="12" xfId="0" applyFont="1" applyBorder="1"/>
    <xf numFmtId="0" fontId="6" fillId="0" borderId="0" xfId="0" applyFont="1" applyAlignment="1">
      <alignment horizontal="right"/>
    </xf>
    <xf numFmtId="166" fontId="3" fillId="2" borderId="0" xfId="16" applyBorder="1" applyAlignment="1">
      <alignment horizontal="right"/>
      <protection locked="0"/>
    </xf>
    <xf numFmtId="166" fontId="3" fillId="10" borderId="16" xfId="12" applyBorder="1">
      <alignment horizontal="right"/>
      <protection locked="0"/>
    </xf>
    <xf numFmtId="166" fontId="3" fillId="10" borderId="0" xfId="12" applyBorder="1">
      <alignment horizontal="right"/>
      <protection locked="0"/>
    </xf>
    <xf numFmtId="165" fontId="3" fillId="10" borderId="17" xfId="15" applyBorder="1" applyAlignment="1">
      <alignment horizontal="right"/>
      <protection locked="0"/>
    </xf>
    <xf numFmtId="0" fontId="0" fillId="0" borderId="17" xfId="0" applyBorder="1"/>
    <xf numFmtId="0" fontId="24" fillId="0" borderId="18" xfId="4" applyNumberFormat="1" applyBorder="1" applyAlignment="1">
      <alignment horizontal="left"/>
    </xf>
    <xf numFmtId="0" fontId="4" fillId="0" borderId="10" xfId="0" applyFont="1" applyBorder="1" applyAlignment="1">
      <alignment horizontal="left"/>
    </xf>
    <xf numFmtId="0" fontId="0" fillId="0" borderId="21" xfId="0" applyBorder="1"/>
    <xf numFmtId="9" fontId="19" fillId="8" borderId="0" xfId="14" applyNumberFormat="1" applyBorder="1" applyAlignment="1"/>
    <xf numFmtId="0" fontId="19" fillId="8" borderId="0" xfId="14" applyAlignment="1">
      <alignment horizontal="left"/>
    </xf>
    <xf numFmtId="0" fontId="19" fillId="8" borderId="0" xfId="14"/>
    <xf numFmtId="0" fontId="28" fillId="0" borderId="0" xfId="0" applyFont="1"/>
    <xf numFmtId="0" fontId="7" fillId="0" borderId="0" xfId="8" applyNumberFormat="1" applyProtection="1"/>
    <xf numFmtId="0" fontId="7" fillId="0" borderId="0" xfId="8" applyNumberFormat="1" applyAlignment="1" applyProtection="1">
      <alignment horizontal="left"/>
    </xf>
    <xf numFmtId="2" fontId="7" fillId="0" borderId="0" xfId="8" applyNumberFormat="1" applyProtection="1"/>
    <xf numFmtId="3" fontId="3" fillId="3" borderId="0" xfId="6" applyNumberFormat="1" applyAlignment="1">
      <protection locked="0"/>
    </xf>
    <xf numFmtId="165" fontId="7" fillId="0" borderId="0" xfId="8" applyNumberFormat="1" applyProtection="1"/>
    <xf numFmtId="165" fontId="7" fillId="0" borderId="0" xfId="22" applyNumberFormat="1" applyFont="1" applyProtection="1"/>
    <xf numFmtId="168" fontId="7" fillId="0" borderId="0" xfId="8" applyNumberFormat="1" applyProtection="1"/>
    <xf numFmtId="9" fontId="0" fillId="0" borderId="0" xfId="0" applyNumberFormat="1"/>
    <xf numFmtId="9" fontId="7" fillId="0" borderId="0" xfId="22" applyFont="1" applyProtection="1"/>
    <xf numFmtId="0" fontId="33" fillId="0" borderId="26" xfId="24"/>
    <xf numFmtId="2" fontId="0" fillId="0" borderId="0" xfId="0" applyNumberFormat="1"/>
    <xf numFmtId="0" fontId="35" fillId="0" borderId="0" xfId="25"/>
    <xf numFmtId="9" fontId="0" fillId="0" borderId="0" xfId="22" applyFont="1" applyBorder="1"/>
    <xf numFmtId="0" fontId="16" fillId="0" borderId="0" xfId="11"/>
    <xf numFmtId="0" fontId="16" fillId="0" borderId="3" xfId="11" applyBorder="1"/>
    <xf numFmtId="0" fontId="40" fillId="0" borderId="0" xfId="8" applyNumberFormat="1" applyFont="1" applyProtection="1"/>
    <xf numFmtId="0" fontId="0" fillId="0" borderId="0" xfId="0" quotePrefix="1"/>
    <xf numFmtId="0" fontId="7" fillId="0" borderId="0" xfId="8" applyNumberFormat="1" applyFill="1" applyProtection="1"/>
    <xf numFmtId="0" fontId="14" fillId="0" borderId="0" xfId="0" applyFont="1" applyAlignment="1">
      <alignment vertical="center"/>
    </xf>
    <xf numFmtId="0" fontId="14" fillId="0" borderId="0" xfId="0" applyFont="1" applyAlignment="1">
      <alignment horizontal="right" vertical="center"/>
    </xf>
    <xf numFmtId="0" fontId="14" fillId="0" borderId="0" xfId="0" applyFont="1" applyAlignment="1">
      <alignment horizontal="right" vertical="center" wrapText="1"/>
    </xf>
    <xf numFmtId="0" fontId="36" fillId="12" borderId="0" xfId="0" applyFont="1" applyFill="1" applyAlignment="1">
      <alignment horizontal="right" vertical="center" wrapText="1"/>
    </xf>
    <xf numFmtId="0" fontId="38" fillId="0" borderId="0" xfId="0" applyFont="1" applyAlignment="1">
      <alignment horizontal="right"/>
    </xf>
    <xf numFmtId="9" fontId="38" fillId="0" borderId="0" xfId="22" applyFont="1" applyBorder="1" applyAlignment="1">
      <alignment horizontal="right"/>
    </xf>
    <xf numFmtId="5" fontId="38" fillId="0" borderId="0" xfId="26" applyNumberFormat="1" applyFont="1" applyBorder="1" applyAlignment="1">
      <alignment horizontal="right"/>
    </xf>
    <xf numFmtId="5" fontId="14" fillId="0" borderId="0" xfId="0" applyNumberFormat="1" applyFont="1" applyAlignment="1">
      <alignment horizontal="right"/>
    </xf>
    <xf numFmtId="0" fontId="14" fillId="0" borderId="28" xfId="0" applyFont="1" applyBorder="1"/>
    <xf numFmtId="0" fontId="0" fillId="0" borderId="28" xfId="0" applyBorder="1" applyAlignment="1">
      <alignment horizontal="right"/>
    </xf>
    <xf numFmtId="0" fontId="0" fillId="0" borderId="28" xfId="0" applyBorder="1"/>
    <xf numFmtId="5" fontId="14" fillId="0" borderId="28" xfId="0" applyNumberFormat="1" applyFont="1" applyBorder="1"/>
    <xf numFmtId="0" fontId="39" fillId="13" borderId="27" xfId="0" applyFont="1" applyFill="1" applyBorder="1" applyAlignment="1">
      <alignment vertical="center"/>
    </xf>
    <xf numFmtId="5" fontId="0" fillId="0" borderId="0" xfId="0" applyNumberFormat="1"/>
    <xf numFmtId="165" fontId="0" fillId="0" borderId="0" xfId="0" applyNumberFormat="1"/>
    <xf numFmtId="0" fontId="36" fillId="12" borderId="29" xfId="0" applyFont="1" applyFill="1" applyBorder="1" applyAlignment="1">
      <alignment horizontal="left" vertical="center" wrapText="1"/>
    </xf>
    <xf numFmtId="0" fontId="0" fillId="0" borderId="30" xfId="0" applyBorder="1"/>
    <xf numFmtId="0" fontId="36" fillId="12" borderId="32" xfId="0" applyFont="1" applyFill="1" applyBorder="1" applyAlignment="1">
      <alignment horizontal="left" vertical="center" wrapText="1"/>
    </xf>
    <xf numFmtId="0" fontId="0" fillId="0" borderId="33" xfId="0" applyBorder="1"/>
    <xf numFmtId="169" fontId="14" fillId="0" borderId="33" xfId="0" applyNumberFormat="1" applyFont="1" applyBorder="1"/>
    <xf numFmtId="0" fontId="0" fillId="0" borderId="35" xfId="0" applyBorder="1"/>
    <xf numFmtId="9" fontId="14" fillId="0" borderId="35" xfId="22" applyFont="1" applyBorder="1"/>
    <xf numFmtId="0" fontId="36" fillId="12" borderId="37" xfId="0" applyFont="1" applyFill="1" applyBorder="1" applyAlignment="1">
      <alignment horizontal="left" vertical="center" wrapText="1"/>
    </xf>
    <xf numFmtId="0" fontId="0" fillId="0" borderId="29" xfId="0" applyBorder="1"/>
    <xf numFmtId="0" fontId="0" fillId="0" borderId="32" xfId="0" applyBorder="1"/>
    <xf numFmtId="0" fontId="0" fillId="0" borderId="37" xfId="0" applyBorder="1"/>
    <xf numFmtId="0" fontId="0" fillId="0" borderId="31" xfId="0" applyBorder="1"/>
    <xf numFmtId="0" fontId="0" fillId="0" borderId="34" xfId="0" applyBorder="1"/>
    <xf numFmtId="0" fontId="0" fillId="0" borderId="36" xfId="0" applyBorder="1"/>
    <xf numFmtId="5" fontId="8" fillId="4" borderId="0" xfId="9" applyNumberFormat="1"/>
    <xf numFmtId="4" fontId="3" fillId="3" borderId="2" xfId="6" applyBorder="1" applyAlignment="1">
      <protection locked="0"/>
    </xf>
    <xf numFmtId="4" fontId="3" fillId="3" borderId="23" xfId="6" applyBorder="1" applyAlignment="1">
      <protection locked="0"/>
    </xf>
    <xf numFmtId="4" fontId="3" fillId="3" borderId="22" xfId="6" applyBorder="1" applyAlignment="1">
      <protection locked="0"/>
    </xf>
    <xf numFmtId="4" fontId="3" fillId="3" borderId="0" xfId="6" applyAlignment="1">
      <alignment horizontal="left"/>
      <protection locked="0"/>
    </xf>
    <xf numFmtId="4" fontId="3" fillId="3" borderId="2" xfId="6" applyBorder="1" applyAlignment="1">
      <alignment horizontal="left"/>
      <protection locked="0"/>
    </xf>
    <xf numFmtId="4" fontId="3" fillId="0" borderId="0" xfId="6" applyFill="1" applyAlignment="1">
      <protection locked="0"/>
    </xf>
    <xf numFmtId="3" fontId="41" fillId="0" borderId="0" xfId="6" applyNumberFormat="1" applyFont="1" applyFill="1" applyAlignment="1">
      <alignment horizontal="center"/>
      <protection locked="0"/>
    </xf>
    <xf numFmtId="165" fontId="3" fillId="0" borderId="0" xfId="7" applyFill="1" applyBorder="1" applyAlignment="1">
      <protection locked="0"/>
    </xf>
    <xf numFmtId="4" fontId="14" fillId="3" borderId="38" xfId="6" applyFont="1" applyBorder="1" applyAlignment="1">
      <alignment horizontal="center"/>
      <protection locked="0"/>
    </xf>
    <xf numFmtId="4" fontId="14" fillId="0" borderId="0" xfId="6" applyFont="1" applyFill="1" applyAlignment="1">
      <protection locked="0"/>
    </xf>
    <xf numFmtId="9" fontId="42" fillId="14" borderId="39" xfId="0" applyNumberFormat="1" applyFont="1" applyFill="1" applyBorder="1" applyAlignment="1">
      <alignment horizontal="left" vertical="center" wrapText="1"/>
    </xf>
    <xf numFmtId="9" fontId="42" fillId="14" borderId="40" xfId="0" applyNumberFormat="1" applyFont="1" applyFill="1" applyBorder="1" applyAlignment="1">
      <alignment horizontal="right" vertical="center" wrapText="1"/>
    </xf>
    <xf numFmtId="9" fontId="42" fillId="14" borderId="41" xfId="0" applyNumberFormat="1" applyFont="1" applyFill="1" applyBorder="1" applyAlignment="1">
      <alignment horizontal="right" vertical="center" wrapText="1"/>
    </xf>
    <xf numFmtId="0" fontId="43" fillId="0" borderId="42" xfId="0" applyFont="1" applyBorder="1"/>
    <xf numFmtId="0" fontId="43" fillId="0" borderId="0" xfId="0" applyFont="1"/>
    <xf numFmtId="0" fontId="43" fillId="15" borderId="42" xfId="0" applyFont="1" applyFill="1" applyBorder="1" applyAlignment="1">
      <alignment horizontal="left"/>
    </xf>
    <xf numFmtId="0" fontId="43" fillId="15" borderId="0" xfId="0" applyFont="1" applyFill="1"/>
    <xf numFmtId="0" fontId="44" fillId="15" borderId="43" xfId="0" applyFont="1" applyFill="1" applyBorder="1"/>
    <xf numFmtId="0" fontId="42" fillId="0" borderId="44" xfId="0" applyFont="1" applyBorder="1"/>
    <xf numFmtId="0" fontId="43" fillId="0" borderId="45" xfId="0" applyFont="1" applyBorder="1"/>
    <xf numFmtId="169" fontId="43" fillId="16" borderId="0" xfId="0" applyNumberFormat="1" applyFont="1" applyFill="1"/>
    <xf numFmtId="4" fontId="3" fillId="0" borderId="0" xfId="6" applyFill="1" applyAlignment="1">
      <alignment horizontal="center"/>
      <protection locked="0"/>
    </xf>
    <xf numFmtId="169" fontId="43" fillId="15" borderId="0" xfId="0" applyNumberFormat="1" applyFont="1" applyFill="1"/>
    <xf numFmtId="0" fontId="0" fillId="0" borderId="0" xfId="0" applyAlignment="1">
      <alignment vertical="center"/>
    </xf>
    <xf numFmtId="0" fontId="7" fillId="0" borderId="47" xfId="8" applyNumberFormat="1" applyBorder="1" applyProtection="1"/>
    <xf numFmtId="0" fontId="40" fillId="0" borderId="47" xfId="8" applyNumberFormat="1" applyFont="1" applyBorder="1" applyProtection="1"/>
    <xf numFmtId="0" fontId="0" fillId="0" borderId="47" xfId="0" applyBorder="1"/>
    <xf numFmtId="0" fontId="7" fillId="0" borderId="0" xfId="8" applyNumberFormat="1" applyBorder="1" applyProtection="1"/>
    <xf numFmtId="0" fontId="7" fillId="0" borderId="48" xfId="8" applyNumberFormat="1" applyBorder="1" applyProtection="1"/>
    <xf numFmtId="0" fontId="0" fillId="0" borderId="48" xfId="0" applyBorder="1"/>
    <xf numFmtId="0" fontId="14" fillId="0" borderId="0" xfId="0" applyFont="1" applyAlignment="1">
      <alignment horizontal="center" vertical="center" wrapText="1"/>
    </xf>
    <xf numFmtId="3" fontId="3" fillId="0" borderId="22" xfId="6" applyNumberFormat="1" applyFill="1" applyBorder="1" applyAlignment="1">
      <alignment horizontal="center"/>
      <protection locked="0"/>
    </xf>
    <xf numFmtId="0" fontId="24" fillId="0" borderId="0" xfId="4" applyNumberFormat="1" applyAlignment="1"/>
    <xf numFmtId="165" fontId="40" fillId="0" borderId="38" xfId="8" applyNumberFormat="1" applyFont="1" applyFill="1" applyBorder="1" applyAlignment="1">
      <alignment horizontal="center" vertical="center"/>
      <protection locked="0"/>
    </xf>
    <xf numFmtId="169" fontId="14" fillId="3" borderId="38" xfId="7" applyNumberFormat="1" applyFont="1" applyBorder="1" applyAlignment="1">
      <alignment horizontal="center" vertical="center"/>
      <protection locked="0"/>
    </xf>
    <xf numFmtId="3" fontId="41" fillId="0" borderId="0" xfId="6" applyNumberFormat="1" applyFont="1" applyFill="1" applyAlignment="1">
      <alignment horizontal="right" indent="1"/>
      <protection locked="0"/>
    </xf>
    <xf numFmtId="0" fontId="9" fillId="0" borderId="0" xfId="10"/>
    <xf numFmtId="9" fontId="42" fillId="14" borderId="50" xfId="0" applyNumberFormat="1" applyFont="1" applyFill="1" applyBorder="1" applyAlignment="1">
      <alignment horizontal="left" vertical="center" wrapText="1"/>
    </xf>
    <xf numFmtId="9" fontId="42" fillId="14" borderId="51" xfId="0" applyNumberFormat="1" applyFont="1" applyFill="1" applyBorder="1" applyAlignment="1">
      <alignment horizontal="right" vertical="center" wrapText="1"/>
    </xf>
    <xf numFmtId="9" fontId="42" fillId="14" borderId="52" xfId="0" applyNumberFormat="1" applyFont="1" applyFill="1" applyBorder="1" applyAlignment="1">
      <alignment horizontal="right" vertical="center" wrapText="1"/>
    </xf>
    <xf numFmtId="0" fontId="42" fillId="0" borderId="53" xfId="0" applyFont="1" applyBorder="1"/>
    <xf numFmtId="0" fontId="42" fillId="0" borderId="0" xfId="0" applyFont="1"/>
    <xf numFmtId="0" fontId="43" fillId="15" borderId="53" xfId="0" applyFont="1" applyFill="1" applyBorder="1" applyAlignment="1">
      <alignment horizontal="left"/>
    </xf>
    <xf numFmtId="0" fontId="43" fillId="0" borderId="53" xfId="0" applyFont="1" applyBorder="1"/>
    <xf numFmtId="0" fontId="42" fillId="0" borderId="54" xfId="0" applyFont="1" applyBorder="1"/>
    <xf numFmtId="0" fontId="42" fillId="0" borderId="55" xfId="0" applyFont="1" applyBorder="1"/>
    <xf numFmtId="4" fontId="0" fillId="0" borderId="0" xfId="0" applyNumberFormat="1"/>
    <xf numFmtId="4" fontId="3" fillId="17" borderId="0" xfId="6" applyFill="1" applyBorder="1" applyAlignment="1">
      <alignment horizontal="right"/>
      <protection locked="0"/>
    </xf>
    <xf numFmtId="3" fontId="3" fillId="17" borderId="0" xfId="6" applyNumberFormat="1" applyFill="1" applyBorder="1" applyAlignment="1">
      <alignment horizontal="right"/>
      <protection locked="0"/>
    </xf>
    <xf numFmtId="0" fontId="46" fillId="0" borderId="0" xfId="0" applyFont="1"/>
    <xf numFmtId="0" fontId="46" fillId="0" borderId="0" xfId="8" applyNumberFormat="1" applyFont="1" applyBorder="1" applyAlignment="1" applyProtection="1">
      <alignment horizontal="right"/>
    </xf>
    <xf numFmtId="9" fontId="3" fillId="17" borderId="0" xfId="22" applyFill="1" applyBorder="1" applyAlignment="1" applyProtection="1">
      <alignment horizontal="right"/>
      <protection locked="0"/>
    </xf>
    <xf numFmtId="4" fontId="3" fillId="3" borderId="0" xfId="6" applyBorder="1" applyAlignment="1">
      <alignment horizontal="center"/>
      <protection locked="0"/>
    </xf>
    <xf numFmtId="4" fontId="3" fillId="0" borderId="2" xfId="6" applyFill="1" applyBorder="1" applyAlignment="1">
      <alignment horizontal="center"/>
      <protection locked="0"/>
    </xf>
    <xf numFmtId="3" fontId="3" fillId="0" borderId="2" xfId="6" applyNumberFormat="1" applyFill="1" applyBorder="1" applyAlignment="1">
      <alignment horizontal="center"/>
      <protection locked="0"/>
    </xf>
    <xf numFmtId="4" fontId="0" fillId="3" borderId="0" xfId="6" applyFont="1" applyBorder="1" applyAlignment="1">
      <alignment horizontal="center"/>
      <protection locked="0"/>
    </xf>
    <xf numFmtId="9" fontId="3" fillId="3" borderId="0" xfId="7" applyNumberFormat="1" applyAlignment="1">
      <alignment horizontal="center"/>
      <protection locked="0"/>
    </xf>
    <xf numFmtId="0" fontId="47" fillId="0" borderId="0" xfId="0" applyFont="1" applyAlignment="1">
      <alignment vertical="center"/>
    </xf>
    <xf numFmtId="0" fontId="46" fillId="0" borderId="2" xfId="8" applyNumberFormat="1" applyFont="1" applyFill="1" applyBorder="1" applyProtection="1"/>
    <xf numFmtId="0" fontId="46" fillId="0" borderId="0" xfId="8" applyNumberFormat="1" applyFont="1" applyFill="1" applyBorder="1" applyProtection="1"/>
    <xf numFmtId="169" fontId="14" fillId="17" borderId="30" xfId="6" applyNumberFormat="1" applyFont="1" applyFill="1" applyBorder="1" applyAlignment="1">
      <protection locked="0"/>
    </xf>
    <xf numFmtId="3" fontId="3" fillId="0" borderId="0" xfId="6" applyNumberFormat="1" applyFill="1" applyBorder="1" applyAlignment="1">
      <alignment horizontal="center"/>
      <protection locked="0"/>
    </xf>
    <xf numFmtId="4" fontId="3" fillId="0" borderId="0" xfId="6" applyFill="1" applyBorder="1" applyAlignment="1">
      <alignment horizontal="center"/>
      <protection locked="0"/>
    </xf>
    <xf numFmtId="4" fontId="14" fillId="17" borderId="0" xfId="6" applyFont="1" applyFill="1" applyBorder="1" applyAlignment="1">
      <alignment horizontal="centerContinuous" vertical="center" wrapText="1"/>
      <protection locked="0"/>
    </xf>
    <xf numFmtId="4" fontId="3" fillId="17" borderId="0" xfId="6" applyFill="1" applyBorder="1" applyAlignment="1">
      <alignment horizontal="left" vertical="center" wrapText="1"/>
      <protection locked="0"/>
    </xf>
    <xf numFmtId="0" fontId="38" fillId="0" borderId="47" xfId="8" applyNumberFormat="1" applyFont="1" applyFill="1" applyBorder="1" applyProtection="1"/>
    <xf numFmtId="3" fontId="38" fillId="0" borderId="47" xfId="6" applyNumberFormat="1" applyFont="1" applyFill="1" applyBorder="1" applyAlignment="1">
      <protection locked="0"/>
    </xf>
    <xf numFmtId="0" fontId="38" fillId="0" borderId="47" xfId="0" applyFont="1" applyBorder="1"/>
    <xf numFmtId="0" fontId="38" fillId="0" borderId="0" xfId="8" applyNumberFormat="1" applyFont="1" applyFill="1" applyBorder="1" applyProtection="1"/>
    <xf numFmtId="3" fontId="38" fillId="0" borderId="0" xfId="6" applyNumberFormat="1" applyFont="1" applyFill="1" applyBorder="1" applyAlignment="1">
      <protection locked="0"/>
    </xf>
    <xf numFmtId="0" fontId="38" fillId="0" borderId="0" xfId="0" applyFont="1"/>
    <xf numFmtId="0" fontId="38" fillId="0" borderId="48" xfId="8" applyNumberFormat="1" applyFont="1" applyFill="1" applyBorder="1" applyProtection="1"/>
    <xf numFmtId="3" fontId="38" fillId="0" borderId="48" xfId="6" applyNumberFormat="1" applyFont="1" applyFill="1" applyBorder="1" applyAlignment="1">
      <protection locked="0"/>
    </xf>
    <xf numFmtId="0" fontId="38" fillId="0" borderId="48" xfId="0" applyFont="1" applyBorder="1"/>
    <xf numFmtId="0" fontId="47" fillId="0" borderId="0" xfId="0" applyFont="1"/>
    <xf numFmtId="0" fontId="46" fillId="0" borderId="0" xfId="8" applyNumberFormat="1" applyFont="1" applyFill="1" applyBorder="1" applyAlignment="1" applyProtection="1"/>
    <xf numFmtId="3" fontId="7" fillId="0" borderId="0" xfId="8" applyNumberFormat="1" applyFill="1" applyAlignment="1">
      <protection locked="0"/>
    </xf>
    <xf numFmtId="3" fontId="7" fillId="0" borderId="47" xfId="8" applyNumberFormat="1" applyFill="1" applyBorder="1" applyAlignment="1">
      <protection locked="0"/>
    </xf>
    <xf numFmtId="3" fontId="7" fillId="0" borderId="48" xfId="8" applyNumberFormat="1" applyFill="1" applyBorder="1" applyAlignment="1">
      <protection locked="0"/>
    </xf>
    <xf numFmtId="3" fontId="7" fillId="0" borderId="0" xfId="8" applyNumberFormat="1" applyFill="1" applyBorder="1" applyAlignment="1">
      <protection locked="0"/>
    </xf>
    <xf numFmtId="4" fontId="7" fillId="0" borderId="0" xfId="8" applyNumberFormat="1" applyFill="1" applyAlignment="1">
      <protection locked="0"/>
    </xf>
    <xf numFmtId="0" fontId="48" fillId="0" borderId="0" xfId="0" applyFont="1" applyAlignment="1">
      <alignment horizontal="right"/>
    </xf>
    <xf numFmtId="0" fontId="16" fillId="0" borderId="0" xfId="11" quotePrefix="1" applyAlignment="1">
      <alignment horizontal="left"/>
    </xf>
    <xf numFmtId="0" fontId="0" fillId="0" borderId="0" xfId="0" applyAlignment="1">
      <alignment horizontal="center"/>
    </xf>
    <xf numFmtId="0" fontId="0" fillId="0" borderId="0" xfId="0" quotePrefix="1" applyAlignment="1">
      <alignment horizontal="center"/>
    </xf>
    <xf numFmtId="0" fontId="16" fillId="0" borderId="0" xfId="11" applyAlignment="1">
      <alignment horizontal="left"/>
    </xf>
    <xf numFmtId="0" fontId="14" fillId="0" borderId="0" xfId="0" applyFont="1" applyAlignment="1">
      <alignment horizontal="left"/>
    </xf>
    <xf numFmtId="0" fontId="14" fillId="0" borderId="57" xfId="0" applyFont="1" applyBorder="1" applyAlignment="1">
      <alignment horizontal="left"/>
    </xf>
    <xf numFmtId="0" fontId="0" fillId="0" borderId="58" xfId="0" applyBorder="1" applyAlignment="1">
      <alignment horizontal="left"/>
    </xf>
    <xf numFmtId="0" fontId="0" fillId="0" borderId="59" xfId="0" applyBorder="1" applyAlignment="1">
      <alignment horizontal="left"/>
    </xf>
    <xf numFmtId="0" fontId="0" fillId="0" borderId="60" xfId="0" applyBorder="1" applyAlignment="1">
      <alignment horizontal="left"/>
    </xf>
    <xf numFmtId="0" fontId="0" fillId="0" borderId="61" xfId="0" applyBorder="1" applyAlignment="1">
      <alignment horizontal="left" wrapText="1"/>
    </xf>
    <xf numFmtId="0" fontId="0" fillId="0" borderId="62" xfId="0" applyBorder="1" applyAlignment="1">
      <alignment horizontal="left"/>
    </xf>
    <xf numFmtId="0" fontId="0" fillId="7" borderId="63" xfId="0" applyFill="1" applyBorder="1" applyAlignment="1">
      <alignment horizontal="left" vertical="top"/>
    </xf>
    <xf numFmtId="0" fontId="0" fillId="7" borderId="64" xfId="0" applyFill="1" applyBorder="1" applyAlignment="1">
      <alignment horizontal="left" wrapText="1"/>
    </xf>
    <xf numFmtId="0" fontId="12" fillId="0" borderId="0" xfId="0" applyFont="1" applyAlignment="1">
      <alignment horizontal="left"/>
    </xf>
    <xf numFmtId="0" fontId="12" fillId="0" borderId="0" xfId="0" applyFont="1" applyAlignment="1">
      <alignment horizontal="left" wrapText="1"/>
    </xf>
    <xf numFmtId="0" fontId="50" fillId="0" borderId="58" xfId="0" applyFont="1" applyBorder="1" applyAlignment="1">
      <alignment horizontal="center" vertical="top"/>
    </xf>
    <xf numFmtId="0" fontId="0" fillId="0" borderId="59" xfId="0" applyBorder="1" applyAlignment="1">
      <alignment horizontal="left" wrapText="1"/>
    </xf>
    <xf numFmtId="0" fontId="0" fillId="0" borderId="60" xfId="0" applyBorder="1" applyAlignment="1">
      <alignment horizontal="left" wrapText="1"/>
    </xf>
    <xf numFmtId="0" fontId="45" fillId="0" borderId="63" xfId="0" applyFont="1" applyBorder="1" applyAlignment="1">
      <alignment horizontal="left" wrapText="1"/>
    </xf>
    <xf numFmtId="0" fontId="0" fillId="0" borderId="64" xfId="0" applyBorder="1" applyAlignment="1">
      <alignment horizontal="left" wrapText="1"/>
    </xf>
    <xf numFmtId="4" fontId="8" fillId="4" borderId="0" xfId="9" applyNumberFormat="1" applyBorder="1" applyAlignment="1">
      <alignment horizontal="left"/>
    </xf>
    <xf numFmtId="4" fontId="8" fillId="4" borderId="61" xfId="9" applyNumberFormat="1" applyBorder="1" applyAlignment="1"/>
    <xf numFmtId="4" fontId="8" fillId="4" borderId="0" xfId="9" applyNumberFormat="1" applyBorder="1" applyAlignment="1">
      <alignment horizontal="right"/>
    </xf>
    <xf numFmtId="4" fontId="3" fillId="3" borderId="61" xfId="6" applyBorder="1" applyAlignment="1">
      <protection locked="0"/>
    </xf>
    <xf numFmtId="4" fontId="3" fillId="3" borderId="61" xfId="6" applyBorder="1" applyAlignment="1">
      <alignment horizontal="left"/>
      <protection locked="0"/>
    </xf>
    <xf numFmtId="4" fontId="14" fillId="3" borderId="0" xfId="6" applyFont="1" applyBorder="1" applyAlignment="1">
      <alignment horizontal="left"/>
      <protection locked="0"/>
    </xf>
    <xf numFmtId="4" fontId="51" fillId="4" borderId="61" xfId="9" applyNumberFormat="1" applyFont="1" applyBorder="1" applyAlignment="1">
      <alignment horizontal="left" wrapText="1"/>
    </xf>
    <xf numFmtId="4" fontId="3" fillId="3" borderId="0" xfId="6" applyBorder="1" applyAlignment="1">
      <alignment horizontal="right"/>
      <protection locked="0"/>
    </xf>
    <xf numFmtId="4" fontId="3" fillId="3" borderId="61" xfId="6" quotePrefix="1" applyBorder="1" applyAlignment="1">
      <alignment horizontal="left"/>
      <protection locked="0"/>
    </xf>
    <xf numFmtId="4" fontId="0" fillId="3" borderId="61" xfId="6" applyFont="1" applyBorder="1" applyAlignment="1">
      <alignment horizontal="left"/>
      <protection locked="0"/>
    </xf>
    <xf numFmtId="4" fontId="0" fillId="3" borderId="61" xfId="6" quotePrefix="1" applyFont="1" applyBorder="1" applyAlignment="1">
      <alignment horizontal="left"/>
      <protection locked="0"/>
    </xf>
    <xf numFmtId="3" fontId="14" fillId="3" borderId="38" xfId="6" applyNumberFormat="1" applyFont="1" applyBorder="1" applyAlignment="1">
      <alignment horizontal="center"/>
      <protection locked="0"/>
    </xf>
    <xf numFmtId="0" fontId="46" fillId="0" borderId="2" xfId="8" applyNumberFormat="1" applyFont="1" applyFill="1" applyBorder="1" applyAlignment="1" applyProtection="1"/>
    <xf numFmtId="170" fontId="3" fillId="3" borderId="24" xfId="6" applyNumberFormat="1" applyBorder="1" applyAlignment="1">
      <protection locked="0"/>
    </xf>
    <xf numFmtId="3" fontId="3" fillId="3" borderId="0" xfId="6" applyNumberFormat="1" applyBorder="1" applyAlignment="1">
      <protection locked="0"/>
    </xf>
    <xf numFmtId="9" fontId="3" fillId="3" borderId="0" xfId="7" applyNumberFormat="1" applyBorder="1" applyAlignment="1">
      <alignment horizontal="center"/>
      <protection locked="0"/>
    </xf>
    <xf numFmtId="170" fontId="3" fillId="3" borderId="25" xfId="6" applyNumberFormat="1" applyBorder="1" applyAlignment="1">
      <protection locked="0"/>
    </xf>
    <xf numFmtId="0" fontId="0" fillId="0" borderId="65" xfId="0" applyBorder="1"/>
    <xf numFmtId="0" fontId="14" fillId="0" borderId="66" xfId="0" applyFont="1" applyBorder="1"/>
    <xf numFmtId="0" fontId="0" fillId="0" borderId="66" xfId="0" applyBorder="1"/>
    <xf numFmtId="0" fontId="0" fillId="0" borderId="67" xfId="0" applyBorder="1"/>
    <xf numFmtId="0" fontId="14" fillId="0" borderId="67" xfId="0" applyFont="1" applyBorder="1"/>
    <xf numFmtId="0" fontId="0" fillId="17" borderId="0" xfId="0" applyFill="1"/>
    <xf numFmtId="165" fontId="0" fillId="0" borderId="0" xfId="22" applyNumberFormat="1" applyFont="1"/>
    <xf numFmtId="165" fontId="38" fillId="0" borderId="0" xfId="22" applyNumberFormat="1" applyFont="1" applyBorder="1" applyAlignment="1">
      <alignment horizontal="right"/>
    </xf>
    <xf numFmtId="4" fontId="3" fillId="3" borderId="22" xfId="6" applyBorder="1" applyAlignment="1">
      <alignment horizontal="center"/>
      <protection locked="0"/>
    </xf>
    <xf numFmtId="0" fontId="14" fillId="0" borderId="0" xfId="0" applyFont="1" applyAlignment="1">
      <alignment horizontal="left" vertical="center" wrapText="1"/>
    </xf>
    <xf numFmtId="0" fontId="53" fillId="0" borderId="0" xfId="0" applyFont="1"/>
    <xf numFmtId="5" fontId="34" fillId="0" borderId="0" xfId="5" applyNumberFormat="1" applyFont="1" applyAlignment="1"/>
    <xf numFmtId="9" fontId="43" fillId="16" borderId="0" xfId="22" applyFont="1" applyFill="1"/>
    <xf numFmtId="5" fontId="24" fillId="0" borderId="0" xfId="4" applyNumberFormat="1" applyAlignment="1">
      <alignment horizontal="right"/>
    </xf>
    <xf numFmtId="0" fontId="39" fillId="13" borderId="27" xfId="0" applyFont="1" applyFill="1" applyBorder="1" applyAlignment="1">
      <alignment vertical="center" wrapText="1"/>
    </xf>
    <xf numFmtId="0" fontId="39" fillId="13" borderId="68" xfId="0" applyFont="1" applyFill="1" applyBorder="1" applyAlignment="1">
      <alignment vertical="center"/>
    </xf>
    <xf numFmtId="0" fontId="39" fillId="13" borderId="71" xfId="0" applyFont="1" applyFill="1" applyBorder="1" applyAlignment="1">
      <alignment horizontal="right" vertical="center" wrapText="1"/>
    </xf>
    <xf numFmtId="0" fontId="36" fillId="0" borderId="69" xfId="0" applyFont="1" applyBorder="1" applyAlignment="1">
      <alignment vertical="center"/>
    </xf>
    <xf numFmtId="0" fontId="36" fillId="0" borderId="72" xfId="0" applyFont="1" applyBorder="1" applyAlignment="1">
      <alignment vertical="center"/>
    </xf>
    <xf numFmtId="42" fontId="36" fillId="0" borderId="73" xfId="23" applyFont="1" applyBorder="1"/>
    <xf numFmtId="42" fontId="36" fillId="0" borderId="71" xfId="23" applyFont="1" applyBorder="1"/>
    <xf numFmtId="42" fontId="0" fillId="0" borderId="0" xfId="0" applyNumberFormat="1"/>
    <xf numFmtId="0" fontId="35" fillId="0" borderId="0" xfId="25" applyFill="1"/>
    <xf numFmtId="0" fontId="46" fillId="0" borderId="66" xfId="0" applyFont="1" applyBorder="1"/>
    <xf numFmtId="0" fontId="46" fillId="0" borderId="67" xfId="0" applyFont="1" applyBorder="1"/>
    <xf numFmtId="0" fontId="0" fillId="0" borderId="67" xfId="0" applyBorder="1" applyAlignment="1">
      <alignment horizontal="right"/>
    </xf>
    <xf numFmtId="42" fontId="14" fillId="0" borderId="65" xfId="23" applyFont="1" applyFill="1" applyBorder="1"/>
    <xf numFmtId="5" fontId="0" fillId="0" borderId="0" xfId="0" applyNumberFormat="1" applyAlignment="1">
      <alignment horizontal="right"/>
    </xf>
    <xf numFmtId="0" fontId="0" fillId="0" borderId="0" xfId="0" applyAlignment="1">
      <alignment horizontal="right"/>
    </xf>
    <xf numFmtId="5" fontId="0" fillId="0" borderId="2" xfId="0" applyNumberFormat="1" applyBorder="1" applyAlignment="1">
      <alignment horizontal="right"/>
    </xf>
    <xf numFmtId="0" fontId="0" fillId="0" borderId="2" xfId="0" applyBorder="1" applyAlignment="1">
      <alignment horizontal="right"/>
    </xf>
    <xf numFmtId="170" fontId="0" fillId="0" borderId="0" xfId="23" applyNumberFormat="1" applyFont="1" applyFill="1" applyBorder="1"/>
    <xf numFmtId="9" fontId="0" fillId="0" borderId="0" xfId="22" applyFont="1" applyFill="1" applyBorder="1" applyAlignment="1">
      <alignment horizontal="center"/>
    </xf>
    <xf numFmtId="42" fontId="14" fillId="0" borderId="25" xfId="23" applyFont="1" applyFill="1" applyBorder="1"/>
    <xf numFmtId="9" fontId="0" fillId="0" borderId="2" xfId="22" applyFont="1" applyFill="1" applyBorder="1" applyAlignment="1">
      <alignment horizontal="center"/>
    </xf>
    <xf numFmtId="42" fontId="14" fillId="0" borderId="24" xfId="23" applyFont="1" applyFill="1" applyBorder="1"/>
    <xf numFmtId="9" fontId="0" fillId="0" borderId="0" xfId="22" applyFont="1" applyFill="1" applyBorder="1"/>
    <xf numFmtId="0" fontId="34" fillId="0" borderId="0" xfId="5" applyFont="1" applyFill="1"/>
    <xf numFmtId="42" fontId="14" fillId="0" borderId="67" xfId="23" applyFont="1" applyFill="1" applyBorder="1"/>
    <xf numFmtId="42" fontId="0" fillId="0" borderId="0" xfId="23" applyFont="1" applyFill="1" applyBorder="1"/>
    <xf numFmtId="4" fontId="14" fillId="18" borderId="0" xfId="6" applyFont="1" applyFill="1" applyBorder="1" applyAlignment="1">
      <alignment horizontal="centerContinuous" vertical="center" wrapText="1"/>
      <protection locked="0"/>
    </xf>
    <xf numFmtId="4" fontId="3" fillId="18" borderId="0" xfId="6" applyFill="1" applyBorder="1" applyAlignment="1">
      <alignment horizontal="right"/>
      <protection locked="0"/>
    </xf>
    <xf numFmtId="0" fontId="46" fillId="0" borderId="0" xfId="8" applyNumberFormat="1" applyFont="1" applyFill="1" applyBorder="1" applyAlignment="1" applyProtection="1">
      <alignment horizontal="right"/>
    </xf>
    <xf numFmtId="5" fontId="38" fillId="0" borderId="0" xfId="26" applyNumberFormat="1" applyFont="1" applyFill="1" applyBorder="1" applyAlignment="1">
      <alignment horizontal="right"/>
    </xf>
    <xf numFmtId="3" fontId="3" fillId="18" borderId="0" xfId="6" applyNumberFormat="1" applyFill="1" applyBorder="1" applyAlignment="1">
      <alignment horizontal="right"/>
      <protection locked="0"/>
    </xf>
    <xf numFmtId="9" fontId="3" fillId="18" borderId="0" xfId="22" applyFill="1" applyBorder="1" applyAlignment="1" applyProtection="1">
      <alignment horizontal="right"/>
      <protection locked="0"/>
    </xf>
    <xf numFmtId="165" fontId="38" fillId="0" borderId="0" xfId="22" applyNumberFormat="1" applyFont="1" applyFill="1" applyBorder="1" applyAlignment="1">
      <alignment horizontal="right"/>
    </xf>
    <xf numFmtId="9" fontId="38" fillId="0" borderId="0" xfId="22" applyFont="1" applyFill="1" applyBorder="1" applyAlignment="1">
      <alignment horizontal="right"/>
    </xf>
    <xf numFmtId="5" fontId="8" fillId="19" borderId="0" xfId="9" applyNumberFormat="1" applyFill="1"/>
    <xf numFmtId="5" fontId="24" fillId="0" borderId="0" xfId="4" applyNumberFormat="1" applyFill="1" applyAlignment="1">
      <alignment horizontal="right"/>
    </xf>
    <xf numFmtId="169" fontId="14" fillId="18" borderId="30" xfId="6" applyNumberFormat="1" applyFont="1" applyFill="1" applyBorder="1" applyAlignment="1">
      <protection locked="0"/>
    </xf>
    <xf numFmtId="9" fontId="14" fillId="0" borderId="35" xfId="22" applyFont="1" applyFill="1" applyBorder="1"/>
    <xf numFmtId="0" fontId="55" fillId="0" borderId="0" xfId="10" applyFont="1"/>
    <xf numFmtId="44" fontId="0" fillId="0" borderId="0" xfId="0" applyNumberFormat="1"/>
    <xf numFmtId="171" fontId="0" fillId="0" borderId="0" xfId="0" applyNumberFormat="1"/>
    <xf numFmtId="169" fontId="43" fillId="0" borderId="0" xfId="0" applyNumberFormat="1" applyFont="1"/>
    <xf numFmtId="9" fontId="43" fillId="0" borderId="0" xfId="22" applyFont="1" applyFill="1" applyBorder="1"/>
    <xf numFmtId="0" fontId="44" fillId="0" borderId="43" xfId="0" applyFont="1" applyBorder="1" applyAlignment="1">
      <alignment vertical="center"/>
    </xf>
    <xf numFmtId="169" fontId="42" fillId="0" borderId="45" xfId="0" applyNumberFormat="1" applyFont="1" applyBorder="1"/>
    <xf numFmtId="9" fontId="42" fillId="0" borderId="45" xfId="22" applyFont="1" applyFill="1" applyBorder="1"/>
    <xf numFmtId="0" fontId="43" fillId="0" borderId="46" xfId="0" applyFont="1" applyBorder="1"/>
    <xf numFmtId="169" fontId="42" fillId="0" borderId="0" xfId="0" applyNumberFormat="1" applyFont="1"/>
    <xf numFmtId="9" fontId="42" fillId="0" borderId="0" xfId="22" applyFont="1" applyFill="1" applyBorder="1"/>
    <xf numFmtId="41" fontId="24" fillId="0" borderId="0" xfId="4" applyNumberFormat="1" applyFill="1" applyAlignment="1"/>
    <xf numFmtId="9" fontId="42" fillId="0" borderId="49" xfId="22" applyFont="1" applyFill="1" applyBorder="1"/>
    <xf numFmtId="9" fontId="43" fillId="16" borderId="49" xfId="22" applyFont="1" applyFill="1" applyBorder="1"/>
    <xf numFmtId="9" fontId="43" fillId="0" borderId="49" xfId="22" applyFont="1" applyFill="1" applyBorder="1"/>
    <xf numFmtId="169" fontId="42" fillId="0" borderId="55" xfId="0" applyNumberFormat="1" applyFont="1" applyBorder="1"/>
    <xf numFmtId="9" fontId="42" fillId="0" borderId="56" xfId="22" applyFont="1" applyFill="1" applyBorder="1"/>
    <xf numFmtId="169" fontId="24" fillId="0" borderId="0" xfId="4" applyNumberFormat="1" applyFill="1" applyAlignment="1"/>
    <xf numFmtId="0" fontId="24" fillId="0" borderId="0" xfId="4" applyNumberFormat="1" applyFill="1" applyAlignment="1"/>
    <xf numFmtId="4" fontId="3" fillId="3" borderId="70" xfId="6" applyBorder="1" applyAlignment="1">
      <protection locked="0"/>
    </xf>
    <xf numFmtId="43" fontId="0" fillId="0" borderId="75" xfId="1" applyFont="1" applyBorder="1"/>
    <xf numFmtId="43" fontId="0" fillId="0" borderId="8" xfId="1" applyFont="1" applyBorder="1"/>
    <xf numFmtId="43" fontId="36" fillId="0" borderId="73" xfId="0" applyNumberFormat="1" applyFont="1" applyBorder="1" applyAlignment="1">
      <alignment vertical="center"/>
    </xf>
    <xf numFmtId="4" fontId="3" fillId="3" borderId="74" xfId="6" applyBorder="1" applyAlignment="1">
      <protection locked="0"/>
    </xf>
    <xf numFmtId="9" fontId="14" fillId="0" borderId="65" xfId="22" applyFont="1" applyFill="1" applyBorder="1"/>
    <xf numFmtId="3" fontId="0" fillId="0" borderId="0" xfId="0" applyNumberFormat="1"/>
    <xf numFmtId="0" fontId="26" fillId="7" borderId="0" xfId="0" applyFont="1" applyFill="1" applyAlignment="1">
      <alignment vertical="top" wrapText="1"/>
    </xf>
    <xf numFmtId="0" fontId="26" fillId="0" borderId="0" xfId="0" applyFont="1" applyAlignment="1">
      <alignment vertical="top" wrapText="1"/>
    </xf>
    <xf numFmtId="0" fontId="14" fillId="0" borderId="0" xfId="0" applyFont="1" applyAlignment="1">
      <alignment horizontal="center"/>
    </xf>
  </cellXfs>
  <cellStyles count="27">
    <cellStyle name="Change in Formula" xfId="3" xr:uid="{00000000-0005-0000-0000-000000000000}"/>
    <cellStyle name="Comma" xfId="1" builtinId="3" customBuiltin="1"/>
    <cellStyle name="Comma [0]" xfId="2" builtinId="6" customBuiltin="1"/>
    <cellStyle name="Currency" xfId="26" builtinId="4"/>
    <cellStyle name="Currency [0]" xfId="23" builtinId="7"/>
    <cellStyle name="Error checks" xfId="4" xr:uid="{00000000-0005-0000-0000-000003000000}"/>
    <cellStyle name="Error Warning" xfId="5" xr:uid="{00000000-0005-0000-0000-000004000000}"/>
    <cellStyle name="Explanatory Text" xfId="25" builtinId="53"/>
    <cellStyle name="Heading 1" xfId="24" builtinId="16"/>
    <cellStyle name="Hyperlink" xfId="11" builtinId="8"/>
    <cellStyle name="Info/Default #" xfId="16" xr:uid="{00000000-0005-0000-0000-000006000000}"/>
    <cellStyle name="Info/default %" xfId="13" xr:uid="{00000000-0005-0000-0000-000007000000}"/>
    <cellStyle name="Info/import #" xfId="12" xr:uid="{00000000-0005-0000-0000-000008000000}"/>
    <cellStyle name="Info/import %" xfId="15" xr:uid="{00000000-0005-0000-0000-000009000000}"/>
    <cellStyle name="Input #" xfId="6" xr:uid="{00000000-0005-0000-0000-00000A000000}"/>
    <cellStyle name="Input %" xfId="7" xr:uid="{00000000-0005-0000-0000-00000B000000}"/>
    <cellStyle name="Input2" xfId="8" xr:uid="{00000000-0005-0000-0000-00000C000000}"/>
    <cellStyle name="Key Outputs" xfId="9" xr:uid="{00000000-0005-0000-0000-00000D000000}"/>
    <cellStyle name="Links from other files (green) style" xfId="10" xr:uid="{00000000-0005-0000-0000-00000E000000}"/>
    <cellStyle name="Normal" xfId="0" builtinId="0" customBuiltin="1"/>
    <cellStyle name="Normal 2" xfId="19" xr:uid="{00000000-0005-0000-0000-000010000000}"/>
    <cellStyle name="Normal 3" xfId="20" xr:uid="{00000000-0005-0000-0000-000011000000}"/>
    <cellStyle name="Percent" xfId="22" builtinId="5"/>
    <cellStyle name="Percent 2" xfId="17" xr:uid="{00000000-0005-0000-0000-000012000000}"/>
    <cellStyle name="Percent 2 2" xfId="18" xr:uid="{00000000-0005-0000-0000-000013000000}"/>
    <cellStyle name="QA" xfId="14" xr:uid="{00000000-0005-0000-0000-000014000000}"/>
    <cellStyle name="Source" xfId="21" xr:uid="{FF3C3CBD-6D4A-4CD3-A42D-05188F4B9C0E}"/>
  </cellStyles>
  <dxfs count="144">
    <dxf>
      <font>
        <color rgb="FF48B749"/>
      </font>
    </dxf>
    <dxf>
      <font>
        <color rgb="FFFF0000"/>
      </font>
    </dxf>
    <dxf>
      <font>
        <color rgb="FFF78D1E"/>
      </font>
    </dxf>
    <dxf>
      <numFmt numFmtId="0" formatCode="General"/>
    </dxf>
    <dxf>
      <font>
        <b/>
      </font>
      <numFmt numFmtId="32" formatCode="_-&quot;$&quot;* #,##0_-;\-&quot;$&quot;* #,##0_-;_-&quot;$&quot;* &quot;-&quot;_-;_-@_-"/>
      <border diagonalUp="0" diagonalDown="0">
        <left/>
        <right style="thin">
          <color indexed="64"/>
        </right>
        <top/>
        <bottom/>
        <vertical/>
        <horizontal/>
      </border>
    </dxf>
    <dxf>
      <numFmt numFmtId="169" formatCode="&quot;$&quot;#,##0"/>
      <protection locked="0" hidden="0"/>
    </dxf>
    <dxf>
      <font>
        <b/>
      </font>
      <numFmt numFmtId="169" formatCode="&quot;$&quot;#,##0"/>
      <alignment horizontal="general" vertical="bottom" textRotation="0" wrapText="0" indent="0" justifyLastLine="0" shrinkToFit="0" readingOrder="0"/>
      <border diagonalUp="0" diagonalDown="0">
        <left/>
        <right/>
        <top style="thin">
          <color indexed="64"/>
        </top>
        <bottom/>
        <vertical/>
        <horizontal/>
      </border>
    </dxf>
    <dxf>
      <font>
        <b/>
      </font>
      <numFmt numFmtId="32" formatCode="_-&quot;$&quot;* #,##0_-;\-&quot;$&quot;* #,##0_-;_-&quot;$&quot;* &quot;-&quot;_-;_-@_-"/>
      <border diagonalUp="0" diagonalDown="0">
        <left/>
        <right style="thin">
          <color indexed="64"/>
        </right>
        <top style="thin">
          <color indexed="64"/>
        </top>
        <bottom/>
      </border>
    </dxf>
    <dxf>
      <numFmt numFmtId="13" formatCode="0%"/>
      <alignment horizontal="left" vertical="bottom" textRotation="0" wrapText="0" indent="0" justifyLastLine="0" shrinkToFit="0" readingOrder="0"/>
    </dxf>
    <dxf>
      <numFmt numFmtId="13" formatCode="0%"/>
      <alignment horizontal="center" vertical="bottom" textRotation="0" wrapText="0" indent="0" justifyLastLine="0" shrinkToFit="0" readingOrder="0"/>
    </dxf>
    <dxf>
      <numFmt numFmtId="4" formatCode="#,##0.00"/>
      <alignment horizontal="left" vertical="bottom" textRotation="0" wrapText="0" indent="0" justifyLastLine="0" shrinkToFit="0" readingOrder="0"/>
      <protection locked="0" hidden="0"/>
    </dxf>
    <dxf>
      <alignment horizontal="left" vertical="bottom" textRotation="0" wrapText="0" indent="0" justifyLastLine="0" shrinkToFit="0" readingOrder="0"/>
    </dxf>
    <dxf>
      <numFmt numFmtId="13" formatCode="0%"/>
    </dxf>
    <dxf>
      <font>
        <b val="0"/>
        <i val="0"/>
        <strike val="0"/>
        <condense val="0"/>
        <extend val="0"/>
        <outline val="0"/>
        <shadow val="0"/>
        <u val="none"/>
        <vertAlign val="baseline"/>
        <sz val="9"/>
        <color auto="1"/>
        <name val="Arial"/>
        <family val="2"/>
        <scheme val="none"/>
      </font>
      <numFmt numFmtId="13" formatCode="0%"/>
      <alignment horizontal="center" vertical="bottom" textRotation="0" wrapText="0" indent="0" justifyLastLine="0" shrinkToFit="0" readingOrder="0"/>
    </dxf>
    <dxf>
      <numFmt numFmtId="4" formatCode="#,##0.00"/>
      <alignment horizontal="center" vertical="bottom" textRotation="0" wrapText="0" indent="0" justifyLastLine="0" shrinkToFit="0" readingOrder="0"/>
      <protection locked="0" hidden="0"/>
    </dxf>
    <dxf>
      <font>
        <b val="0"/>
        <i val="0"/>
        <strike val="0"/>
        <condense val="0"/>
        <extend val="0"/>
        <outline val="0"/>
        <shadow val="0"/>
        <u val="none"/>
        <vertAlign val="baseline"/>
        <sz val="9"/>
        <color auto="1"/>
        <name val="Arial"/>
        <family val="2"/>
        <scheme val="none"/>
      </font>
      <alignment horizontal="center" vertical="bottom" textRotation="0" wrapText="0" indent="0" justifyLastLine="0" shrinkToFit="0" readingOrder="0"/>
    </dxf>
    <dxf>
      <numFmt numFmtId="13" formatCode="0%"/>
    </dxf>
    <dxf>
      <font>
        <b val="0"/>
        <i val="0"/>
        <strike val="0"/>
        <condense val="0"/>
        <extend val="0"/>
        <outline val="0"/>
        <shadow val="0"/>
        <u val="none"/>
        <vertAlign val="baseline"/>
        <sz val="9"/>
        <color auto="1"/>
        <name val="Arial"/>
        <family val="2"/>
        <scheme val="none"/>
      </font>
      <numFmt numFmtId="13" formatCode="0%"/>
      <alignment horizontal="center" vertical="bottom" textRotation="0" wrapText="0" indent="0" justifyLastLine="0" shrinkToFit="0" readingOrder="0"/>
    </dxf>
    <dxf>
      <numFmt numFmtId="3" formatCode="#,##0"/>
      <protection locked="0" hidden="0"/>
    </dxf>
    <dxf>
      <numFmt numFmtId="3" formatCode="#,##0"/>
      <alignment horizontal="general" vertical="bottom" textRotation="0" wrapText="0" indent="0" justifyLastLine="0" shrinkToFit="0" readingOrder="0"/>
    </dxf>
    <dxf>
      <numFmt numFmtId="4" formatCode="#,##0.00"/>
      <alignment horizontal="left" vertical="bottom" textRotation="0" wrapText="0" indent="0" justifyLastLine="0" shrinkToFit="0" readingOrder="0"/>
      <protection locked="0" hidden="0"/>
    </dxf>
    <dxf>
      <alignment horizontal="left" vertical="bottom" textRotation="0" wrapText="0" indent="0" justifyLastLine="0" shrinkToFit="0" readingOrder="0"/>
    </dxf>
    <dxf>
      <numFmt numFmtId="3" formatCode="#,##0"/>
      <protection locked="0" hidden="0"/>
    </dxf>
    <dxf>
      <numFmt numFmtId="3" formatCode="#,##0"/>
      <alignment horizontal="general" vertical="bottom" textRotation="0" wrapText="0" indent="0" justifyLastLine="0" shrinkToFit="0" readingOrder="0"/>
    </dxf>
    <dxf>
      <numFmt numFmtId="4" formatCode="#,##0.00"/>
      <alignment horizontal="left" vertical="bottom" textRotation="0" wrapText="0" indent="0" justifyLastLine="0" shrinkToFit="0" readingOrder="0"/>
      <protection locked="0" hidden="0"/>
    </dxf>
    <dxf>
      <alignment horizontal="left" vertical="bottom" textRotation="0" wrapText="0" indent="0" justifyLastLine="0" shrinkToFit="0" readingOrder="0"/>
    </dxf>
    <dxf>
      <numFmt numFmtId="13" formatCode="0%"/>
      <protection locked="0" hidden="0"/>
    </dxf>
    <dxf>
      <numFmt numFmtId="1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protection locked="0" hidden="0"/>
    </dxf>
    <dxf>
      <numFmt numFmtId="3" formatCode="#,##0"/>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numFmt numFmtId="4" formatCode="#,##0.00"/>
      <alignment horizontal="center" vertical="bottom" textRotation="0" wrapText="0" indent="0" justifyLastLine="0" shrinkToFit="0" readingOrder="0"/>
      <protection locked="0" hidden="0"/>
    </dxf>
    <dxf>
      <numFmt numFmtId="4" formatCode="#,##0.00"/>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9"/>
        <color auto="1"/>
        <name val="Arial"/>
        <family val="2"/>
        <scheme val="none"/>
      </font>
      <numFmt numFmtId="169" formatCode="&quot;$&quot;#,##0"/>
    </dxf>
    <dxf>
      <numFmt numFmtId="3" formatCode="#,##0"/>
      <protection locked="0" hidden="0"/>
    </dxf>
    <dxf>
      <numFmt numFmtId="3" formatCode="#,##0"/>
      <alignment horizontal="general" vertical="bottom" textRotation="0" wrapText="0" indent="0" justifyLastLine="0" shrinkToFit="0" readingOrder="0"/>
    </dxf>
    <dxf>
      <alignment horizontal="right" vertical="bottom" textRotation="0" wrapText="0" indent="0" justifyLastLine="0" shrinkToFit="0" readingOrder="0"/>
    </dxf>
    <dxf>
      <numFmt numFmtId="0" formatCode="General"/>
      <alignment horizontal="right" vertical="bottom" textRotation="0" wrapText="0" indent="0" justifyLastLine="0" shrinkToFit="0" readingOrder="0"/>
      <border diagonalUp="0" diagonalDown="0">
        <left/>
        <right/>
        <top style="thin">
          <color indexed="64"/>
        </top>
        <bottom/>
        <vertical/>
        <horizontal/>
      </border>
    </dxf>
    <dxf>
      <numFmt numFmtId="9" formatCode="&quot;$&quot;#,##0;\-&quot;$&quot;#,##0"/>
      <alignment horizontal="right" vertical="bottom" textRotation="0" wrapText="0" indent="0" justifyLastLine="0" shrinkToFit="0" readingOrder="0"/>
    </dxf>
    <dxf>
      <numFmt numFmtId="9" formatCode="&quot;$&quot;#,##0;\-&quot;$&quot;#,##0"/>
      <alignment horizontal="right"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9"/>
        <color rgb="FF00B050"/>
        <name val="Arial"/>
        <family val="2"/>
        <scheme val="none"/>
      </font>
    </dxf>
    <dxf>
      <alignment horizontal="general" vertical="bottom" textRotation="0" wrapText="0" indent="0" justifyLastLine="0" shrinkToFit="0" readingOrder="0"/>
    </dxf>
    <dxf>
      <font>
        <b val="0"/>
        <i val="0"/>
        <strike val="0"/>
        <condense val="0"/>
        <extend val="0"/>
        <outline val="0"/>
        <shadow val="0"/>
        <u val="none"/>
        <vertAlign val="baseline"/>
        <sz val="9"/>
        <color rgb="FF00B050"/>
        <name val="Arial"/>
        <family val="2"/>
        <scheme val="none"/>
      </font>
    </dxf>
    <dxf>
      <font>
        <b val="0"/>
        <i val="0"/>
        <strike val="0"/>
        <condense val="0"/>
        <extend val="0"/>
        <outline val="0"/>
        <shadow val="0"/>
        <u val="none"/>
        <vertAlign val="baseline"/>
        <sz val="9"/>
        <color rgb="FF00B050"/>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9"/>
        <color rgb="FF00B050"/>
        <name val="Arial"/>
        <family val="2"/>
        <scheme val="none"/>
      </font>
    </dxf>
    <dxf>
      <font>
        <strike val="0"/>
        <outline val="0"/>
        <shadow val="0"/>
        <u val="none"/>
        <vertAlign val="baseline"/>
        <sz val="9"/>
        <color rgb="FF00B050"/>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4" formatCode="#,##0.00"/>
      <protection locked="0" hidden="0"/>
    </dxf>
    <dxf>
      <alignment horizontal="general" vertical="bottom" textRotation="0" wrapText="0" indent="0" justifyLastLine="0" shrinkToFit="0" readingOrder="0"/>
      <border diagonalUp="0" diagonalDown="0">
        <left/>
        <right/>
        <top style="thin">
          <color indexed="64"/>
        </top>
        <bottom/>
      </border>
    </dxf>
    <dxf>
      <numFmt numFmtId="4" formatCode="#,##0.00"/>
      <border diagonalUp="0" diagonalDown="0" outline="0">
        <left style="thin">
          <color indexed="64"/>
        </left>
        <right/>
        <top/>
        <bottom/>
      </border>
      <protection locked="0" hidden="0"/>
    </dxf>
    <dxf>
      <alignment horizontal="general" vertical="bottom" textRotation="0" wrapText="0" indent="0" justifyLastLine="0" shrinkToFit="0" readingOrder="0"/>
      <border diagonalUp="0" diagonalDown="0">
        <left style="thin">
          <color indexed="64"/>
        </left>
        <right/>
        <top/>
        <bottom/>
      </border>
    </dxf>
    <dxf>
      <numFmt numFmtId="3" formatCode="#,##0"/>
      <alignment horizontal="center" vertical="bottom" textRotation="0" wrapText="0" indent="0" justifyLastLine="0" shrinkToFit="0" readingOrder="0"/>
      <border diagonalUp="0" diagonalDown="0" outline="0">
        <left style="thin">
          <color indexed="64"/>
        </left>
        <right/>
        <top/>
        <bottom/>
      </border>
      <protection locked="0" hidden="0"/>
    </dxf>
    <dxf>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bottom/>
        <vertical/>
        <horizontal/>
      </border>
    </dxf>
    <dxf>
      <numFmt numFmtId="3" formatCode="#,##0"/>
      <alignment horizontal="center" vertical="bottom" textRotation="0" wrapText="0" indent="0" justifyLastLine="0" shrinkToFit="0" readingOrder="0"/>
      <border diagonalUp="0" diagonalDown="0" outline="0">
        <left style="thin">
          <color indexed="64"/>
        </left>
        <right/>
        <top/>
        <bottom/>
      </border>
      <protection locked="0" hidden="0"/>
    </dxf>
    <dxf>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bottom/>
        <vertical/>
        <horizontal/>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9"/>
        <color theme="1"/>
        <name val="Arial"/>
        <family val="2"/>
        <scheme val="none"/>
      </font>
      <fill>
        <patternFill patternType="solid">
          <fgColor indexed="64"/>
          <bgColor theme="3" tint="0.89996032593768116"/>
        </patternFill>
      </fill>
      <alignment horizontal="right" vertical="center" textRotation="0" wrapText="1" indent="0" justifyLastLine="0" shrinkToFit="0" readingOrder="0"/>
    </dxf>
    <dxf>
      <numFmt numFmtId="14" formatCode="0.00%"/>
    </dxf>
    <dxf>
      <font>
        <b/>
      </font>
      <numFmt numFmtId="32" formatCode="_-&quot;$&quot;* #,##0_-;\-&quot;$&quot;* #,##0_-;_-&quot;$&quot;* &quot;-&quot;_-;_-@_-"/>
      <border diagonalUp="0" diagonalDown="0">
        <left/>
        <right style="thin">
          <color indexed="64"/>
        </right>
        <top/>
        <bottom/>
        <vertical/>
        <horizontal/>
      </border>
    </dxf>
    <dxf>
      <font>
        <b/>
      </font>
      <numFmt numFmtId="169" formatCode="&quot;$&quot;#,##0"/>
      <alignment horizontal="general" vertical="bottom" textRotation="0" wrapText="0" indent="0" justifyLastLine="0" shrinkToFit="0" readingOrder="0"/>
      <border diagonalUp="0" diagonalDown="0">
        <left/>
        <right/>
        <top style="thin">
          <color indexed="64"/>
        </top>
        <bottom/>
        <vertical/>
        <horizontal/>
      </border>
    </dxf>
    <dxf>
      <numFmt numFmtId="32" formatCode="_-&quot;$&quot;* #,##0_-;\-&quot;$&quot;* #,##0_-;_-&quot;$&quot;* &quot;-&quot;_-;_-@_-"/>
      <border diagonalUp="0" diagonalDown="0" outline="0">
        <left/>
        <right style="thin">
          <color indexed="64"/>
        </right>
        <top/>
        <bottom/>
      </border>
    </dxf>
    <dxf>
      <font>
        <b/>
      </font>
      <numFmt numFmtId="32" formatCode="_-&quot;$&quot;* #,##0_-;\-&quot;$&quot;* #,##0_-;_-&quot;$&quot;* &quot;-&quot;_-;_-@_-"/>
      <border diagonalUp="0" diagonalDown="0">
        <left/>
        <right style="thin">
          <color indexed="64"/>
        </right>
        <top/>
        <bottom/>
      </border>
    </dxf>
    <dxf>
      <numFmt numFmtId="13" formatCode="0%"/>
      <alignment horizontal="center"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3" formatCode="0%"/>
      <alignment horizontal="center" vertical="bottom" textRotation="0" wrapText="0" indent="0" justifyLastLine="0" shrinkToFit="0" readingOrder="0"/>
    </dxf>
    <dxf>
      <numFmt numFmtId="3" formatCode="#,##0"/>
      <alignment horizontal="general" vertical="bottom" textRotation="0" wrapText="0" indent="0" justifyLastLine="0" shrinkToFit="0" readingOrder="0"/>
    </dxf>
    <dxf>
      <alignment horizontal="left" vertical="bottom" textRotation="0" wrapText="0" indent="0" justifyLastLine="0" shrinkToFit="0" readingOrder="0"/>
    </dxf>
    <dxf>
      <numFmt numFmtId="3" formatCode="#,##0"/>
      <alignment horizontal="general" vertical="bottom" textRotation="0" wrapText="0" indent="0" justifyLastLine="0" shrinkToFit="0" readingOrder="0"/>
    </dxf>
    <dxf>
      <alignment horizontal="right" vertical="bottom" textRotation="0" wrapText="0" indent="0" justifyLastLine="0" shrinkToFit="0" readingOrder="0"/>
    </dxf>
    <dxf>
      <alignment horizontal="left" vertical="bottom" textRotation="0" wrapText="0" indent="0" justifyLastLine="0" shrinkToFit="0" readingOrder="0"/>
    </dxf>
    <dxf>
      <numFmt numFmtId="13" formatCode="0%"/>
      <alignment horizontal="center" vertical="bottom" textRotation="0" wrapText="0" indent="0" justifyLastLine="0" shrinkToFit="0" readingOrder="0"/>
    </dxf>
    <dxf>
      <numFmt numFmtId="3" formatCode="#,##0"/>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numFmt numFmtId="4" formatCode="#,##0.00"/>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numFmt numFmtId="169" formatCode="&quot;$&quot;#,##0"/>
    </dxf>
    <dxf>
      <font>
        <b val="0"/>
        <i val="0"/>
        <strike val="0"/>
        <condense val="0"/>
        <extend val="0"/>
        <outline val="0"/>
        <shadow val="0"/>
        <u val="none"/>
        <vertAlign val="baseline"/>
        <sz val="9"/>
        <color auto="1"/>
        <name val="Arial"/>
        <family val="2"/>
        <scheme val="none"/>
      </font>
      <numFmt numFmtId="169" formatCode="&quot;$&quot;#,##0"/>
    </dxf>
    <dxf>
      <numFmt numFmtId="3" formatCode="#,##0"/>
      <alignment horizontal="general" vertical="bottom" textRotation="0" wrapText="0" indent="0" justifyLastLine="0" shrinkToFit="0" readingOrder="0"/>
    </dxf>
    <dxf>
      <alignment horizontal="right" vertical="bottom" textRotation="0" wrapText="0" indent="0" justifyLastLine="0" shrinkToFit="0" readingOrder="0"/>
    </dxf>
    <dxf>
      <numFmt numFmtId="0" formatCode="General"/>
      <alignment horizontal="right" vertical="bottom" textRotation="0" wrapText="0" indent="0" justifyLastLine="0" shrinkToFit="0" readingOrder="0"/>
    </dxf>
    <dxf>
      <alignment horizontal="right" vertical="bottom" textRotation="0" wrapText="0" indent="0" justifyLastLine="0" shrinkToFit="0" readingOrder="0"/>
    </dxf>
    <dxf>
      <numFmt numFmtId="9" formatCode="&quot;$&quot;#,##0;\-&quot;$&quot;#,##0"/>
      <alignment horizontal="right" vertical="bottom" textRotation="0" wrapText="0" indent="0" justifyLastLine="0" shrinkToFit="0" readingOrder="0"/>
    </dxf>
    <dxf>
      <font>
        <b val="0"/>
        <i val="0"/>
        <strike val="0"/>
        <condense val="0"/>
        <extend val="0"/>
        <outline val="0"/>
        <shadow val="0"/>
        <u val="none"/>
        <vertAlign val="baseline"/>
        <sz val="9"/>
        <color rgb="FF00B050"/>
        <name val="Arial"/>
        <family val="2"/>
        <scheme val="none"/>
      </font>
      <border diagonalUp="0" diagonalDown="0" outline="0">
        <left style="thin">
          <color indexed="64"/>
        </left>
        <right/>
        <top/>
        <bottom/>
      </border>
    </dxf>
    <dxf>
      <alignment horizontal="general" vertical="bottom" textRotation="0" wrapText="0" indent="0" justifyLastLine="0" shrinkToFit="0" readingOrder="0"/>
    </dxf>
    <dxf>
      <font>
        <b val="0"/>
        <i val="0"/>
        <strike val="0"/>
        <condense val="0"/>
        <extend val="0"/>
        <outline val="0"/>
        <shadow val="0"/>
        <u val="none"/>
        <vertAlign val="baseline"/>
        <sz val="9"/>
        <color rgb="FF00B050"/>
        <name val="Arial"/>
        <family val="2"/>
        <scheme val="none"/>
      </font>
      <border diagonalUp="0" diagonalDown="0" outline="0">
        <left style="thin">
          <color indexed="64"/>
        </left>
        <right/>
        <top/>
        <bottom/>
      </border>
    </dxf>
    <dxf>
      <font>
        <b val="0"/>
        <i val="0"/>
        <strike val="0"/>
        <condense val="0"/>
        <extend val="0"/>
        <outline val="0"/>
        <shadow val="0"/>
        <u val="none"/>
        <vertAlign val="baseline"/>
        <sz val="9"/>
        <color rgb="FF00B050"/>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9"/>
        <color rgb="FF00B050"/>
        <name val="Arial"/>
        <family val="2"/>
        <scheme val="none"/>
      </font>
      <border diagonalUp="0" diagonalDown="0" outline="0">
        <left style="thin">
          <color indexed="64"/>
        </left>
        <right/>
        <top/>
        <bottom/>
      </border>
    </dxf>
    <dxf>
      <font>
        <strike val="0"/>
        <outline val="0"/>
        <shadow val="0"/>
        <u val="none"/>
        <vertAlign val="baseline"/>
        <sz val="9"/>
        <color rgb="FF00B050"/>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border diagonalUp="0" diagonalDown="0" outline="0">
        <left style="thin">
          <color indexed="64"/>
        </left>
        <right/>
        <top/>
        <bottom/>
      </border>
    </dxf>
    <dxf>
      <alignment horizontal="general" vertical="bottom" textRotation="0" wrapText="0" indent="0" justifyLastLine="0" shrinkToFit="0" readingOrder="0"/>
      <border diagonalUp="0" diagonalDown="0" outline="0">
        <left/>
        <right/>
        <top style="thin">
          <color indexed="64"/>
        </top>
        <bottom/>
      </border>
    </dxf>
    <dxf>
      <border diagonalUp="0" diagonalDown="0" outline="0">
        <left style="thin">
          <color indexed="64"/>
        </left>
        <right/>
        <top/>
        <bottom/>
      </border>
    </dxf>
    <dxf>
      <alignment horizontal="general" vertical="bottom" textRotation="0" wrapText="0" indent="0" justifyLastLine="0" shrinkToFit="0" readingOrder="0"/>
      <border diagonalUp="0" diagonalDown="0">
        <left style="thin">
          <color indexed="64"/>
        </left>
        <right/>
        <top/>
        <bottom/>
        <vertical/>
        <horizontal/>
      </border>
    </dxf>
    <dxf>
      <border diagonalUp="0" diagonalDown="0" outline="0">
        <left/>
        <right style="thin">
          <color indexed="64"/>
        </right>
        <top/>
        <bottom/>
      </border>
    </dxf>
    <dxf>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bottom/>
        <vertical/>
        <horizontal/>
      </border>
    </dxf>
    <dxf>
      <border diagonalUp="0" diagonalDown="0" outline="0">
        <left/>
        <right style="thin">
          <color indexed="64"/>
        </right>
        <top/>
        <bottom/>
      </border>
    </dxf>
    <dxf>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bottom/>
        <vertical/>
        <horizontal/>
      </border>
    </dxf>
    <dxf>
      <numFmt numFmtId="32" formatCode="_-&quot;$&quot;* #,##0_-;\-&quot;$&quot;* #,##0_-;_-&quot;$&quot;* &quot;-&quot;_-;_-@_-"/>
    </dxf>
    <dxf>
      <border outline="0">
        <bottom style="thin">
          <color rgb="FF000000"/>
        </bottom>
      </border>
    </dxf>
    <dxf>
      <font>
        <b/>
        <i val="0"/>
        <strike val="0"/>
        <condense val="0"/>
        <extend val="0"/>
        <outline val="0"/>
        <shadow val="0"/>
        <u val="none"/>
        <vertAlign val="baseline"/>
        <sz val="9"/>
        <color theme="1"/>
        <name val="Arial"/>
        <family val="2"/>
        <scheme val="none"/>
      </font>
      <fill>
        <patternFill patternType="solid">
          <fgColor indexed="64"/>
          <bgColor theme="3" tint="0.89996032593768116"/>
        </patternFill>
      </fill>
      <alignment horizontal="right" vertical="center" textRotation="0" wrapText="1" indent="0" justifyLastLine="0" shrinkToFit="0" readingOrder="0"/>
    </dxf>
    <dxf>
      <numFmt numFmtId="13" formatCode="0%"/>
      <border diagonalUp="0" diagonalDown="0" outline="0">
        <left/>
        <right style="thin">
          <color indexed="64"/>
        </right>
        <top/>
        <bottom/>
      </border>
    </dxf>
    <dxf>
      <numFmt numFmtId="14" formatCode="0.00%"/>
    </dxf>
    <dxf>
      <numFmt numFmtId="32" formatCode="_-&quot;$&quot;* #,##0_-;\-&quot;$&quot;* #,##0_-;_-&quot;$&quot;* &quot;-&quot;_-;_-@_-"/>
    </dxf>
    <dxf>
      <font>
        <b/>
      </font>
      <numFmt numFmtId="32" formatCode="_-&quot;$&quot;* #,##0_-;\-&quot;$&quot;* #,##0_-;_-&quot;$&quot;* &quot;-&quot;_-;_-@_-"/>
    </dxf>
    <dxf>
      <numFmt numFmtId="170" formatCode="_-&quot;$&quot;* #,##0_-;\-&quot;$&quot;* #,##0_-;_-&quot;$&quot;* &quot;-&quot;??_-;_-@_-"/>
    </dxf>
    <dxf>
      <numFmt numFmtId="169" formatCode="&quot;$&quot;#,##0"/>
      <border diagonalUp="0" diagonalDown="0">
        <left/>
        <right/>
        <top style="thin">
          <color indexed="64"/>
        </top>
        <bottom/>
      </border>
    </dxf>
    <dxf>
      <numFmt numFmtId="32" formatCode="_-&quot;$&quot;* #,##0_-;\-&quot;$&quot;* #,##0_-;_-&quot;$&quot;* &quot;-&quot;_-;_-@_-"/>
    </dxf>
    <dxf>
      <font>
        <b/>
      </font>
      <numFmt numFmtId="32" formatCode="_-&quot;$&quot;* #,##0_-;\-&quot;$&quot;* #,##0_-;_-&quot;$&quot;* &quot;-&quot;_-;_-@_-"/>
    </dxf>
    <dxf>
      <numFmt numFmtId="13" formatCode="0%"/>
      <alignment horizontal="center"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3" formatCode="0%"/>
      <alignment horizontal="center" vertical="bottom" textRotation="0" wrapText="0" indent="0" justifyLastLine="0" shrinkToFit="0" readingOrder="0"/>
    </dxf>
    <dxf>
      <numFmt numFmtId="3" formatCode="#,##0"/>
      <alignment horizontal="general" vertical="bottom" textRotation="0" wrapText="0" indent="0" justifyLastLine="0" shrinkToFit="0" readingOrder="0"/>
    </dxf>
    <dxf>
      <alignment horizontal="left" vertical="bottom" textRotation="0" wrapText="0" indent="0" justifyLastLine="0" shrinkToFit="0" readingOrder="0"/>
    </dxf>
    <dxf>
      <numFmt numFmtId="3" formatCode="#,##0"/>
      <alignment horizontal="general" vertical="bottom" textRotation="0" wrapText="0" indent="0" justifyLastLine="0" shrinkToFit="0" readingOrder="0"/>
    </dxf>
    <dxf>
      <alignment horizontal="right" vertical="bottom" textRotation="0" wrapText="0" indent="0" justifyLastLine="0" shrinkToFit="0" readingOrder="0"/>
    </dxf>
    <dxf>
      <alignment horizontal="left" vertical="bottom" textRotation="0" wrapText="0" indent="0" justifyLastLine="0" shrinkToFit="0" readingOrder="0"/>
    </dxf>
    <dxf>
      <numFmt numFmtId="13" formatCode="0%"/>
      <alignment horizontal="center" vertical="bottom" textRotation="0" wrapText="0" indent="0" justifyLastLine="0" shrinkToFit="0" readingOrder="0"/>
    </dxf>
    <dxf>
      <numFmt numFmtId="3" formatCode="#,##0"/>
      <fill>
        <patternFill patternType="none">
          <fgColor indexed="64"/>
          <bgColor auto="1"/>
        </patternFill>
      </fill>
      <alignment horizontal="center" vertical="bottom" textRotation="0" wrapText="0" indent="0" justifyLastLine="0" shrinkToFit="0" readingOrder="0"/>
    </dxf>
    <dxf>
      <numFmt numFmtId="4" formatCode="#,##0.00"/>
      <fill>
        <patternFill patternType="none">
          <fgColor indexed="64"/>
          <bgColor auto="1"/>
        </patternFill>
      </fill>
      <alignment horizontal="center" vertical="bottom" textRotation="0" wrapText="0" indent="0" justifyLastLine="0" shrinkToFit="0" readingOrder="0"/>
    </dxf>
    <dxf>
      <numFmt numFmtId="32" formatCode="_-&quot;$&quot;* #,##0_-;\-&quot;$&quot;* #,##0_-;_-&quot;$&quot;* &quot;-&quot;_-;_-@_-"/>
      <border diagonalUp="0" diagonalDown="0" outline="0">
        <left/>
        <right style="thin">
          <color indexed="64"/>
        </right>
        <top/>
        <bottom/>
      </border>
    </dxf>
    <dxf>
      <font>
        <b val="0"/>
        <i val="0"/>
        <strike val="0"/>
        <condense val="0"/>
        <extend val="0"/>
        <outline val="0"/>
        <shadow val="0"/>
        <u val="none"/>
        <vertAlign val="baseline"/>
        <sz val="9"/>
        <color auto="1"/>
        <name val="Arial"/>
        <family val="2"/>
        <scheme val="none"/>
      </font>
      <numFmt numFmtId="169" formatCode="&quot;$&quot;#,##0"/>
    </dxf>
    <dxf>
      <numFmt numFmtId="3" formatCode="#,##0"/>
    </dxf>
    <dxf>
      <alignment horizontal="right" vertical="bottom" textRotation="0" wrapText="0" indent="0" justifyLastLine="0" shrinkToFit="0" readingOrder="0"/>
    </dxf>
    <dxf>
      <numFmt numFmtId="0" formatCode="General"/>
      <alignment horizontal="right" vertical="bottom" textRotation="0" wrapText="0" indent="0" justifyLastLine="0" shrinkToFit="0" readingOrder="0"/>
    </dxf>
    <dxf>
      <alignment horizontal="right" vertical="bottom" textRotation="0" wrapText="0" indent="0" justifyLastLine="0" shrinkToFit="0" readingOrder="0"/>
    </dxf>
    <dxf>
      <numFmt numFmtId="9" formatCode="&quot;$&quot;#,##0;\-&quot;$&quot;#,##0"/>
      <alignment horizontal="right" vertical="bottom" textRotation="0" wrapText="0" indent="0" justifyLastLine="0" shrinkToFit="0" readingOrder="0"/>
    </dxf>
    <dxf>
      <font>
        <b val="0"/>
        <i val="0"/>
        <strike val="0"/>
        <condense val="0"/>
        <extend val="0"/>
        <outline val="0"/>
        <shadow val="0"/>
        <u val="none"/>
        <vertAlign val="baseline"/>
        <sz val="9"/>
        <color rgb="FF00B050"/>
        <name val="Arial"/>
        <family val="2"/>
        <scheme val="none"/>
      </font>
      <border diagonalUp="0" diagonalDown="0" outline="0">
        <left style="thin">
          <color indexed="64"/>
        </left>
        <right/>
        <top/>
        <bottom/>
      </border>
    </dxf>
    <dxf>
      <alignment horizontal="general" vertical="bottom" textRotation="0" wrapText="0" indent="0" justifyLastLine="0" shrinkToFit="0" readingOrder="0"/>
    </dxf>
    <dxf>
      <font>
        <b val="0"/>
        <i val="0"/>
        <strike val="0"/>
        <condense val="0"/>
        <extend val="0"/>
        <outline val="0"/>
        <shadow val="0"/>
        <u val="none"/>
        <vertAlign val="baseline"/>
        <sz val="9"/>
        <color rgb="FF00B050"/>
        <name val="Arial"/>
        <family val="2"/>
        <scheme val="none"/>
      </font>
      <border diagonalUp="0" diagonalDown="0" outline="0">
        <left style="thin">
          <color indexed="64"/>
        </left>
        <right/>
        <top/>
        <bottom/>
      </border>
    </dxf>
    <dxf>
      <font>
        <b val="0"/>
        <i val="0"/>
        <strike val="0"/>
        <condense val="0"/>
        <extend val="0"/>
        <outline val="0"/>
        <shadow val="0"/>
        <u val="none"/>
        <vertAlign val="baseline"/>
        <sz val="9"/>
        <color rgb="FF00B050"/>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00B050"/>
        <name val="Arial"/>
        <family val="2"/>
        <scheme val="none"/>
      </font>
      <border diagonalUp="0" diagonalDown="0" outline="0">
        <left style="thin">
          <color indexed="64"/>
        </left>
        <right/>
        <top/>
        <bottom/>
      </border>
    </dxf>
    <dxf>
      <font>
        <strike val="0"/>
        <outline val="0"/>
        <shadow val="0"/>
        <u val="none"/>
        <vertAlign val="baseline"/>
        <sz val="9"/>
        <color rgb="FF00B050"/>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border diagonalUp="0" diagonalDown="0" outline="0">
        <left style="thin">
          <color indexed="64"/>
        </left>
        <right/>
        <top/>
        <bottom/>
      </border>
    </dxf>
    <dxf>
      <border diagonalUp="0" diagonalDown="0" outline="0">
        <left style="thin">
          <color indexed="64"/>
        </left>
        <right/>
        <top/>
        <bottom/>
      </border>
    </dxf>
    <dxf>
      <border diagonalUp="0" diagonalDown="0" outline="0">
        <left/>
        <right style="thin">
          <color indexed="64"/>
        </right>
        <top/>
        <bottom/>
      </border>
    </dxf>
    <dxf>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bottom/>
        <vertical/>
        <horizontal/>
      </border>
    </dxf>
    <dxf>
      <border diagonalUp="0" diagonalDown="0" outline="0">
        <left/>
        <right style="thin">
          <color indexed="64"/>
        </right>
        <top/>
        <bottom/>
      </border>
    </dxf>
    <dxf>
      <numFmt numFmtId="3"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top/>
        <bottom/>
      </border>
    </dxf>
    <dxf>
      <border outline="0">
        <bottom style="thin">
          <color indexed="64"/>
        </bottom>
      </border>
    </dxf>
    <dxf>
      <font>
        <b/>
        <i val="0"/>
        <strike val="0"/>
        <condense val="0"/>
        <extend val="0"/>
        <outline val="0"/>
        <shadow val="0"/>
        <u val="none"/>
        <vertAlign val="baseline"/>
        <sz val="9"/>
        <color auto="1"/>
        <name val="Arial"/>
        <family val="2"/>
        <scheme val="none"/>
      </font>
      <alignment horizontal="right" vertical="center" textRotation="0" wrapText="1" indent="0" justifyLastLine="0" shrinkToFit="0" readingOrder="0"/>
    </dxf>
    <dxf>
      <font>
        <b/>
        <i val="0"/>
        <strike val="0"/>
        <condense val="0"/>
        <extend val="0"/>
        <outline val="0"/>
        <shadow val="0"/>
        <u val="none"/>
        <vertAlign val="baseline"/>
        <sz val="9"/>
        <color auto="1"/>
        <name val="Arial"/>
        <family val="2"/>
        <scheme val="none"/>
      </font>
      <numFmt numFmtId="32" formatCode="_-&quot;$&quot;* #,##0_-;\-&quot;$&quot;* #,##0_-;_-&quot;$&quot;* &quot;-&quot;_-;_-@_-"/>
    </dxf>
    <dxf>
      <numFmt numFmtId="35" formatCode="_-* #,##0.00_-;\-* #,##0.00_-;_-* &quot;-&quot;??_-;_-@_-"/>
      <alignment horizontal="general" vertical="bottom" textRotation="0" wrapText="0" indent="0" justifyLastLine="0" shrinkToFit="0" readingOrder="0"/>
      <border diagonalUp="0" diagonalDown="0">
        <left/>
        <right/>
        <top style="thin">
          <color theme="4"/>
        </top>
        <bottom/>
        <vertical/>
        <horizontal/>
      </border>
    </dxf>
    <dxf>
      <numFmt numFmtId="0" formatCode="General"/>
      <border diagonalUp="0" diagonalDown="0">
        <left style="thin">
          <color indexed="64"/>
        </left>
        <right style="thin">
          <color indexed="64"/>
        </right>
        <vertical/>
      </border>
    </dxf>
    <dxf>
      <font>
        <b val="0"/>
        <i val="0"/>
        <strike val="0"/>
        <condense val="0"/>
        <extend val="0"/>
        <outline val="0"/>
        <shadow val="0"/>
        <u val="none"/>
        <vertAlign val="baseline"/>
        <sz val="9"/>
        <color rgb="FF339966"/>
        <name val="Arial"/>
        <family val="2"/>
        <scheme val="none"/>
      </font>
      <border diagonalUp="0" diagonalDown="0">
        <left/>
        <right style="thin">
          <color indexed="64"/>
        </right>
        <vertical/>
      </border>
    </dxf>
  </dxfs>
  <tableStyles count="1" defaultTableStyle="TableStyleMedium2" defaultPivotStyle="PivotStyleLight16">
    <tableStyle name="Invisible" pivot="0" table="0" count="0" xr9:uid="{3977AB75-AB14-4936-AC52-BBB2DA2D8AD3}"/>
  </tableStyles>
  <colors>
    <mruColors>
      <color rgb="FFFFFFCC"/>
      <color rgb="FFF78D1E"/>
      <color rgb="FF48B749"/>
      <color rgb="FF339966"/>
      <color rgb="FF002C7D"/>
      <color rgb="FF93B9FF"/>
      <color rgb="FFCCCCFF"/>
      <color rgb="FFFFCB05"/>
      <color rgb="FFCC1F26"/>
      <color rgb="FF8E4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932046590436367E-2"/>
          <c:y val="7.7865181992337149E-2"/>
          <c:w val="0.90013590681912725"/>
          <c:h val="0.63401061621966792"/>
        </c:manualLayout>
      </c:layout>
      <c:lineChart>
        <c:grouping val="standard"/>
        <c:varyColors val="0"/>
        <c:ser>
          <c:idx val="0"/>
          <c:order val="0"/>
          <c:tx>
            <c:strRef>
              <c:f>Examples!$B$35</c:f>
              <c:strCache>
                <c:ptCount val="1"/>
                <c:pt idx="0">
                  <c:v>Data 1</c:v>
                </c:pt>
              </c:strCache>
            </c:strRef>
          </c:tx>
          <c:spPr>
            <a:ln w="25400" cap="rnd" cmpd="sng" algn="ctr">
              <a:solidFill>
                <a:srgbClr val="0352A1"/>
              </a:solidFill>
              <a:prstDash val="solid"/>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Examples!$B$36:$B$43</c:f>
              <c:numCache>
                <c:formatCode>General</c:formatCode>
                <c:ptCount val="8"/>
                <c:pt idx="0">
                  <c:v>36.19</c:v>
                </c:pt>
                <c:pt idx="1">
                  <c:v>39.39</c:v>
                </c:pt>
                <c:pt idx="2">
                  <c:v>42.78</c:v>
                </c:pt>
                <c:pt idx="3">
                  <c:v>42.13</c:v>
                </c:pt>
                <c:pt idx="4">
                  <c:v>41.69</c:v>
                </c:pt>
                <c:pt idx="5">
                  <c:v>39.39</c:v>
                </c:pt>
                <c:pt idx="6">
                  <c:v>42.13</c:v>
                </c:pt>
                <c:pt idx="7">
                  <c:v>45</c:v>
                </c:pt>
              </c:numCache>
            </c:numRef>
          </c:val>
          <c:smooth val="0"/>
          <c:extLst>
            <c:ext xmlns:c16="http://schemas.microsoft.com/office/drawing/2014/chart" uri="{C3380CC4-5D6E-409C-BE32-E72D297353CC}">
              <c16:uniqueId val="{00000000-A5DE-4167-9689-743C987B5753}"/>
            </c:ext>
          </c:extLst>
        </c:ser>
        <c:ser>
          <c:idx val="1"/>
          <c:order val="1"/>
          <c:tx>
            <c:strRef>
              <c:f>Examples!$C$35</c:f>
              <c:strCache>
                <c:ptCount val="1"/>
                <c:pt idx="0">
                  <c:v>Data 2</c:v>
                </c:pt>
              </c:strCache>
            </c:strRef>
          </c:tx>
          <c:spPr>
            <a:ln w="25400" cap="rnd" cmpd="sng" algn="ctr">
              <a:solidFill>
                <a:srgbClr val="3373B3"/>
              </a:solidFill>
              <a:prstDash val="sysDash"/>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Examples!$C$36:$C$43</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smooth val="0"/>
          <c:extLst>
            <c:ext xmlns:c16="http://schemas.microsoft.com/office/drawing/2014/chart" uri="{C3380CC4-5D6E-409C-BE32-E72D297353CC}">
              <c16:uniqueId val="{00000001-A5DE-4167-9689-743C987B5753}"/>
            </c:ext>
          </c:extLst>
        </c:ser>
        <c:ser>
          <c:idx val="2"/>
          <c:order val="2"/>
          <c:tx>
            <c:strRef>
              <c:f>Examples!$D$35</c:f>
              <c:strCache>
                <c:ptCount val="1"/>
                <c:pt idx="0">
                  <c:v>Data 3</c:v>
                </c:pt>
              </c:strCache>
            </c:strRef>
          </c:tx>
          <c:spPr>
            <a:ln w="25400" cap="rnd" cmpd="sng" algn="ctr">
              <a:solidFill>
                <a:srgbClr val="66C5EA"/>
              </a:solidFill>
              <a:prstDash val="solid"/>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Examples!$D$36:$D$43</c:f>
              <c:numCache>
                <c:formatCode>General</c:formatCode>
                <c:ptCount val="8"/>
                <c:pt idx="0">
                  <c:v>21.56</c:v>
                </c:pt>
                <c:pt idx="1">
                  <c:v>21.6</c:v>
                </c:pt>
                <c:pt idx="2">
                  <c:v>18.350000000000001</c:v>
                </c:pt>
                <c:pt idx="3">
                  <c:v>21.6</c:v>
                </c:pt>
                <c:pt idx="4">
                  <c:v>23.98</c:v>
                </c:pt>
                <c:pt idx="5">
                  <c:v>21.6</c:v>
                </c:pt>
                <c:pt idx="6">
                  <c:v>21.6</c:v>
                </c:pt>
                <c:pt idx="7">
                  <c:v>26</c:v>
                </c:pt>
              </c:numCache>
            </c:numRef>
          </c:val>
          <c:smooth val="0"/>
          <c:extLst>
            <c:ext xmlns:c16="http://schemas.microsoft.com/office/drawing/2014/chart" uri="{C3380CC4-5D6E-409C-BE32-E72D297353CC}">
              <c16:uniqueId val="{00000002-A5DE-4167-9689-743C987B5753}"/>
            </c:ext>
          </c:extLst>
        </c:ser>
        <c:ser>
          <c:idx val="3"/>
          <c:order val="3"/>
          <c:tx>
            <c:strRef>
              <c:f>Examples!$E$35</c:f>
              <c:strCache>
                <c:ptCount val="1"/>
                <c:pt idx="0">
                  <c:v>Data 4</c:v>
                </c:pt>
              </c:strCache>
            </c:strRef>
          </c:tx>
          <c:spPr>
            <a:ln w="25400" cap="rnd" cmpd="sng" algn="ctr">
              <a:solidFill>
                <a:srgbClr val="009DDB"/>
              </a:solidFill>
              <a:prstDash val="solid"/>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Examples!$E$36:$E$43</c:f>
              <c:numCache>
                <c:formatCode>General</c:formatCode>
                <c:ptCount val="8"/>
                <c:pt idx="0">
                  <c:v>5.36</c:v>
                </c:pt>
                <c:pt idx="1">
                  <c:v>7.01</c:v>
                </c:pt>
                <c:pt idx="2">
                  <c:v>6.33</c:v>
                </c:pt>
                <c:pt idx="3">
                  <c:v>7.01</c:v>
                </c:pt>
                <c:pt idx="4">
                  <c:v>7</c:v>
                </c:pt>
                <c:pt idx="5">
                  <c:v>7.01</c:v>
                </c:pt>
                <c:pt idx="6">
                  <c:v>7.01</c:v>
                </c:pt>
                <c:pt idx="7">
                  <c:v>8</c:v>
                </c:pt>
              </c:numCache>
            </c:numRef>
          </c:val>
          <c:smooth val="0"/>
          <c:extLst>
            <c:ext xmlns:c16="http://schemas.microsoft.com/office/drawing/2014/chart" uri="{C3380CC4-5D6E-409C-BE32-E72D297353CC}">
              <c16:uniqueId val="{00000003-A5DE-4167-9689-743C987B5753}"/>
            </c:ext>
          </c:extLst>
        </c:ser>
        <c:ser>
          <c:idx val="4"/>
          <c:order val="4"/>
          <c:tx>
            <c:strRef>
              <c:f>Examples!$F$35</c:f>
              <c:strCache>
                <c:ptCount val="1"/>
                <c:pt idx="0">
                  <c:v>Data 5</c:v>
                </c:pt>
              </c:strCache>
            </c:strRef>
          </c:tx>
          <c:spPr>
            <a:ln w="25400" cap="rnd" cmpd="sng" algn="ctr">
              <a:solidFill>
                <a:srgbClr val="177DA6"/>
              </a:solidFill>
              <a:prstDash val="solid"/>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Examples!$F$36:$F$43</c:f>
              <c:numCache>
                <c:formatCode>General</c:formatCode>
                <c:ptCount val="8"/>
                <c:pt idx="0">
                  <c:v>3.01</c:v>
                </c:pt>
                <c:pt idx="1">
                  <c:v>3.36</c:v>
                </c:pt>
                <c:pt idx="2">
                  <c:v>2.63</c:v>
                </c:pt>
                <c:pt idx="3">
                  <c:v>2.72</c:v>
                </c:pt>
                <c:pt idx="4">
                  <c:v>2.57</c:v>
                </c:pt>
                <c:pt idx="5">
                  <c:v>3.36</c:v>
                </c:pt>
                <c:pt idx="6">
                  <c:v>2.72</c:v>
                </c:pt>
                <c:pt idx="7">
                  <c:v>2</c:v>
                </c:pt>
              </c:numCache>
            </c:numRef>
          </c:val>
          <c:smooth val="0"/>
          <c:extLst>
            <c:ext xmlns:c16="http://schemas.microsoft.com/office/drawing/2014/chart" uri="{C3380CC4-5D6E-409C-BE32-E72D297353CC}">
              <c16:uniqueId val="{00000004-A5DE-4167-9689-743C987B5753}"/>
            </c:ext>
          </c:extLst>
        </c:ser>
        <c:ser>
          <c:idx val="5"/>
          <c:order val="5"/>
          <c:tx>
            <c:strRef>
              <c:f>Examples!$G$35</c:f>
              <c:strCache>
                <c:ptCount val="1"/>
                <c:pt idx="0">
                  <c:v>Data 6</c:v>
                </c:pt>
              </c:strCache>
            </c:strRef>
          </c:tx>
          <c:spPr>
            <a:ln w="25400" cap="rnd" cmpd="sng" algn="ctr">
              <a:solidFill>
                <a:srgbClr val="5DA4C1"/>
              </a:solidFill>
              <a:prstDash val="solid"/>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Examples!$G$36:$G$43</c:f>
              <c:numCache>
                <c:formatCode>General</c:formatCode>
                <c:ptCount val="8"/>
                <c:pt idx="0">
                  <c:v>10</c:v>
                </c:pt>
                <c:pt idx="1">
                  <c:v>12</c:v>
                </c:pt>
                <c:pt idx="2">
                  <c:v>14</c:v>
                </c:pt>
                <c:pt idx="3">
                  <c:v>16</c:v>
                </c:pt>
                <c:pt idx="4">
                  <c:v>18</c:v>
                </c:pt>
                <c:pt idx="5">
                  <c:v>12</c:v>
                </c:pt>
                <c:pt idx="6">
                  <c:v>16</c:v>
                </c:pt>
                <c:pt idx="7">
                  <c:v>20</c:v>
                </c:pt>
              </c:numCache>
            </c:numRef>
          </c:val>
          <c:smooth val="0"/>
          <c:extLst>
            <c:ext xmlns:c16="http://schemas.microsoft.com/office/drawing/2014/chart" uri="{C3380CC4-5D6E-409C-BE32-E72D297353CC}">
              <c16:uniqueId val="{00000005-A5DE-4167-9689-743C987B5753}"/>
            </c:ext>
          </c:extLst>
        </c:ser>
        <c:ser>
          <c:idx val="6"/>
          <c:order val="6"/>
          <c:tx>
            <c:strRef>
              <c:f>Examples!$H$35</c:f>
              <c:strCache>
                <c:ptCount val="1"/>
                <c:pt idx="0">
                  <c:v>Data 7</c:v>
                </c:pt>
              </c:strCache>
            </c:strRef>
          </c:tx>
          <c:spPr>
            <a:ln w="25400" cap="rnd" cmpd="sng" algn="ctr">
              <a:solidFill>
                <a:srgbClr val="77869F"/>
              </a:solidFill>
              <a:prstDash val="lgDash"/>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Examples!$H$36:$H$43</c:f>
              <c:numCache>
                <c:formatCode>General</c:formatCode>
                <c:ptCount val="8"/>
                <c:pt idx="0">
                  <c:v>5.2</c:v>
                </c:pt>
                <c:pt idx="1">
                  <c:v>6.6</c:v>
                </c:pt>
                <c:pt idx="2">
                  <c:v>5.7</c:v>
                </c:pt>
                <c:pt idx="3">
                  <c:v>3</c:v>
                </c:pt>
                <c:pt idx="4">
                  <c:v>3.5</c:v>
                </c:pt>
                <c:pt idx="5">
                  <c:v>3.8</c:v>
                </c:pt>
                <c:pt idx="6">
                  <c:v>3.2</c:v>
                </c:pt>
                <c:pt idx="7">
                  <c:v>4</c:v>
                </c:pt>
              </c:numCache>
            </c:numRef>
          </c:val>
          <c:smooth val="0"/>
          <c:extLst>
            <c:ext xmlns:c16="http://schemas.microsoft.com/office/drawing/2014/chart" uri="{C3380CC4-5D6E-409C-BE32-E72D297353CC}">
              <c16:uniqueId val="{00000000-6ADB-4ED3-8566-60005565942E}"/>
            </c:ext>
          </c:extLst>
        </c:ser>
        <c:ser>
          <c:idx val="7"/>
          <c:order val="7"/>
          <c:tx>
            <c:strRef>
              <c:f>Examples!$I$35</c:f>
              <c:strCache>
                <c:ptCount val="1"/>
                <c:pt idx="0">
                  <c:v>Data 8</c:v>
                </c:pt>
              </c:strCache>
            </c:strRef>
          </c:tx>
          <c:spPr>
            <a:ln w="28575" cap="rnd" cmpd="sng" algn="ctr">
              <a:solidFill>
                <a:srgbClr val="99A4B7"/>
              </a:solidFill>
              <a:prstDash val="sysDot"/>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Examples!$I$36:$I$43</c:f>
              <c:numCache>
                <c:formatCode>General</c:formatCode>
                <c:ptCount val="8"/>
                <c:pt idx="0">
                  <c:v>13</c:v>
                </c:pt>
                <c:pt idx="1">
                  <c:v>15</c:v>
                </c:pt>
                <c:pt idx="2">
                  <c:v>16</c:v>
                </c:pt>
                <c:pt idx="3">
                  <c:v>17</c:v>
                </c:pt>
                <c:pt idx="4">
                  <c:v>19</c:v>
                </c:pt>
                <c:pt idx="5">
                  <c:v>13</c:v>
                </c:pt>
                <c:pt idx="6">
                  <c:v>18</c:v>
                </c:pt>
                <c:pt idx="7">
                  <c:v>22</c:v>
                </c:pt>
              </c:numCache>
            </c:numRef>
          </c:val>
          <c:smooth val="0"/>
          <c:extLst>
            <c:ext xmlns:c16="http://schemas.microsoft.com/office/drawing/2014/chart" uri="{C3380CC4-5D6E-409C-BE32-E72D297353CC}">
              <c16:uniqueId val="{00000001-6ADB-4ED3-8566-60005565942E}"/>
            </c:ext>
          </c:extLst>
        </c:ser>
        <c:dLbls>
          <c:showLegendKey val="0"/>
          <c:showVal val="0"/>
          <c:showCatName val="0"/>
          <c:showSerName val="0"/>
          <c:showPercent val="0"/>
          <c:showBubbleSize val="0"/>
        </c:dLbls>
        <c:smooth val="0"/>
        <c:axId val="509221768"/>
        <c:axId val="509211184"/>
      </c:lineChart>
      <c:catAx>
        <c:axId val="509221768"/>
        <c:scaling>
          <c:orientation val="minMax"/>
        </c:scaling>
        <c:delete val="0"/>
        <c:axPos val="b"/>
        <c:numFmt formatCode="General" sourceLinked="1"/>
        <c:majorTickMark val="out"/>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509211184"/>
        <c:crosses val="autoZero"/>
        <c:auto val="1"/>
        <c:lblAlgn val="ctr"/>
        <c:lblOffset val="100"/>
        <c:tickLblSkip val="1"/>
        <c:tickMarkSkip val="1"/>
        <c:noMultiLvlLbl val="0"/>
      </c:catAx>
      <c:valAx>
        <c:axId val="509211184"/>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General" sourceLinked="1"/>
        <c:majorTickMark val="out"/>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509221768"/>
        <c:crosses val="autoZero"/>
        <c:crossBetween val="midCat"/>
      </c:valAx>
      <c:spPr>
        <a:noFill/>
        <a:ln w="25400">
          <a:noFill/>
        </a:ln>
        <a:effectLst/>
      </c:spPr>
    </c:plotArea>
    <c:legend>
      <c:legendPos val="b"/>
      <c:layout>
        <c:manualLayout>
          <c:xMode val="edge"/>
          <c:yMode val="edge"/>
          <c:x val="2.3932179693131585E-2"/>
          <c:y val="0.84084929757343552"/>
          <c:w val="0.95879326899735273"/>
          <c:h val="0.12873882503192849"/>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rgbClr val="000000"/>
          </a:solidFill>
          <a:latin typeface="Raleway" panose="020B0503030101060003" pitchFamily="34" charset="0"/>
          <a:ea typeface="Myriad Pro"/>
          <a:cs typeface="Arial" pitchFamily="34" charset="0"/>
        </a:defRPr>
      </a:pPr>
      <a:endParaRPr lang="en-US"/>
    </a:p>
  </c:txPr>
  <c:printSettings>
    <c:headerFooter alignWithMargins="0">
      <c:oddHeader>&amp;A</c:oddHeader>
      <c:oddFooter>Page &amp;P</c:oddFooter>
    </c:headerFooter>
    <c:pageMargins b="0.98425196850393704" l="0.74803149606299213" r="0.74803149606299213" t="0.98425196850393704" header="0.51181102362204722" footer="0.51181102362204722"/>
    <c:pageSetup paperSize="9" orientation="landscape" horizontalDpi="-3"/>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89131944444444"/>
          <c:y val="3.8609514687100895E-2"/>
          <c:w val="0.55679843749999991"/>
          <c:h val="0.91935584291187744"/>
        </c:manualLayout>
      </c:layout>
      <c:ofPieChart>
        <c:ofPieType val="bar"/>
        <c:varyColors val="1"/>
        <c:ser>
          <c:idx val="0"/>
          <c:order val="0"/>
          <c:tx>
            <c:strRef>
              <c:f>Examples!$A$36</c:f>
              <c:strCache>
                <c:ptCount val="1"/>
                <c:pt idx="0">
                  <c:v>1975-76</c:v>
                </c:pt>
              </c:strCache>
            </c:strRef>
          </c:tx>
          <c:spPr>
            <a:ln>
              <a:solidFill>
                <a:schemeClr val="bg1"/>
              </a:solidFill>
            </a:ln>
          </c:spPr>
          <c:dPt>
            <c:idx val="0"/>
            <c:bubble3D val="0"/>
            <c:spPr>
              <a:solidFill>
                <a:schemeClr val="accent6"/>
              </a:solidFill>
              <a:ln>
                <a:solidFill>
                  <a:schemeClr val="bg1"/>
                </a:solidFill>
              </a:ln>
              <a:effectLst/>
            </c:spPr>
            <c:extLst>
              <c:ext xmlns:c16="http://schemas.microsoft.com/office/drawing/2014/chart" uri="{C3380CC4-5D6E-409C-BE32-E72D297353CC}">
                <c16:uniqueId val="{00000001-77A7-45A0-938D-284B6467E980}"/>
              </c:ext>
            </c:extLst>
          </c:dPt>
          <c:dPt>
            <c:idx val="1"/>
            <c:bubble3D val="0"/>
            <c:spPr>
              <a:solidFill>
                <a:schemeClr val="accent5"/>
              </a:solidFill>
              <a:ln>
                <a:solidFill>
                  <a:schemeClr val="bg1"/>
                </a:solidFill>
              </a:ln>
              <a:effectLst/>
            </c:spPr>
            <c:extLst>
              <c:ext xmlns:c16="http://schemas.microsoft.com/office/drawing/2014/chart" uri="{C3380CC4-5D6E-409C-BE32-E72D297353CC}">
                <c16:uniqueId val="{00000003-77A7-45A0-938D-284B6467E980}"/>
              </c:ext>
            </c:extLst>
          </c:dPt>
          <c:dPt>
            <c:idx val="2"/>
            <c:bubble3D val="0"/>
            <c:spPr>
              <a:solidFill>
                <a:srgbClr val="66C5EA"/>
              </a:solidFill>
              <a:ln>
                <a:solidFill>
                  <a:schemeClr val="bg1"/>
                </a:solidFill>
              </a:ln>
              <a:effectLst/>
            </c:spPr>
            <c:extLst>
              <c:ext xmlns:c16="http://schemas.microsoft.com/office/drawing/2014/chart" uri="{C3380CC4-5D6E-409C-BE32-E72D297353CC}">
                <c16:uniqueId val="{00000005-77A7-45A0-938D-284B6467E980}"/>
              </c:ext>
            </c:extLst>
          </c:dPt>
          <c:dPt>
            <c:idx val="3"/>
            <c:bubble3D val="0"/>
            <c:spPr>
              <a:solidFill>
                <a:schemeClr val="accent5"/>
              </a:solidFill>
              <a:ln>
                <a:solidFill>
                  <a:schemeClr val="bg1"/>
                </a:solidFill>
              </a:ln>
              <a:effectLst/>
            </c:spPr>
            <c:extLst>
              <c:ext xmlns:c16="http://schemas.microsoft.com/office/drawing/2014/chart" uri="{C3380CC4-5D6E-409C-BE32-E72D297353CC}">
                <c16:uniqueId val="{00000007-77A7-45A0-938D-284B6467E980}"/>
              </c:ext>
            </c:extLst>
          </c:dPt>
          <c:dPt>
            <c:idx val="4"/>
            <c:bubble3D val="0"/>
            <c:spPr>
              <a:solidFill>
                <a:srgbClr val="BAD8E4"/>
              </a:solidFill>
              <a:ln>
                <a:solidFill>
                  <a:schemeClr val="bg1"/>
                </a:solidFill>
              </a:ln>
              <a:effectLst/>
            </c:spPr>
            <c:extLst>
              <c:ext xmlns:c16="http://schemas.microsoft.com/office/drawing/2014/chart" uri="{C3380CC4-5D6E-409C-BE32-E72D297353CC}">
                <c16:uniqueId val="{00000009-77A7-45A0-938D-284B6467E980}"/>
              </c:ext>
            </c:extLst>
          </c:dPt>
          <c:dPt>
            <c:idx val="5"/>
            <c:bubble3D val="0"/>
            <c:spPr>
              <a:solidFill>
                <a:srgbClr val="8ABDD2"/>
              </a:solidFill>
              <a:ln>
                <a:solidFill>
                  <a:schemeClr val="bg1"/>
                </a:solidFill>
              </a:ln>
              <a:effectLst/>
            </c:spPr>
            <c:extLst>
              <c:ext xmlns:c16="http://schemas.microsoft.com/office/drawing/2014/chart" uri="{C3380CC4-5D6E-409C-BE32-E72D297353CC}">
                <c16:uniqueId val="{0000000B-77A7-45A0-938D-284B6467E980}"/>
              </c:ext>
            </c:extLst>
          </c:dPt>
          <c:dPt>
            <c:idx val="6"/>
            <c:bubble3D val="0"/>
            <c:spPr>
              <a:solidFill>
                <a:srgbClr val="5DA4C1"/>
              </a:solidFill>
              <a:ln>
                <a:solidFill>
                  <a:schemeClr val="bg1"/>
                </a:solidFill>
              </a:ln>
              <a:effectLst/>
            </c:spPr>
            <c:extLst>
              <c:ext xmlns:c16="http://schemas.microsoft.com/office/drawing/2014/chart" uri="{C3380CC4-5D6E-409C-BE32-E72D297353CC}">
                <c16:uniqueId val="{0000000D-77A7-45A0-938D-284B6467E980}"/>
              </c:ext>
            </c:extLst>
          </c:dPt>
          <c:dPt>
            <c:idx val="7"/>
            <c:bubble3D val="0"/>
            <c:spPr>
              <a:solidFill>
                <a:srgbClr val="5DA4C1"/>
              </a:solidFill>
              <a:ln>
                <a:solidFill>
                  <a:schemeClr val="accent4"/>
                </a:solidFill>
              </a:ln>
              <a:effectLst/>
            </c:spPr>
            <c:extLst>
              <c:ext xmlns:c16="http://schemas.microsoft.com/office/drawing/2014/chart" uri="{C3380CC4-5D6E-409C-BE32-E72D297353CC}">
                <c16:uniqueId val="{0000000F-77A7-45A0-938D-284B6467E980}"/>
              </c:ext>
            </c:extLst>
          </c:dPt>
          <c:dLbls>
            <c:dLbl>
              <c:idx val="0"/>
              <c:layout>
                <c:manualLayout>
                  <c:x val="7.5372381106498201E-2"/>
                  <c:y val="-1.1138084179359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7A7-45A0-938D-284B6467E980}"/>
                </c:ext>
              </c:extLst>
            </c:dLbl>
            <c:dLbl>
              <c:idx val="7"/>
              <c:tx>
                <c:rich>
                  <a:bodyPr/>
                  <a:lstStyle/>
                  <a:p>
                    <a:r>
                      <a:rPr lang="en-US" baseline="0">
                        <a:solidFill>
                          <a:sysClr val="windowText" lastClr="000000"/>
                        </a:solidFill>
                      </a:rPr>
                      <a:t>Other
</a:t>
                    </a:r>
                    <a:fld id="{F35C814D-E096-49C3-98DE-C86C2EF63930}" type="PERCENTAGE">
                      <a:rPr lang="en-US" baseline="0">
                        <a:solidFill>
                          <a:sysClr val="windowText" lastClr="000000"/>
                        </a:solidFill>
                      </a:rPr>
                      <a:pPr/>
                      <a:t>[PERCENTAGE]</a:t>
                    </a:fld>
                    <a:endParaRPr lang="en-US" baseline="0">
                      <a:solidFill>
                        <a:sysClr val="windowText" lastClr="000000"/>
                      </a:solidFill>
                    </a:endParaRPr>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77A7-45A0-938D-284B6467E980}"/>
                </c:ext>
              </c:extLst>
            </c:dLbl>
            <c:numFmt formatCode="0%" sourceLinked="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Raleway" panose="020B0503030101060003" pitchFamily="34" charset="0"/>
                    <a:ea typeface="Myriad Pro"/>
                    <a:cs typeface="Myriad Pro"/>
                  </a:defRPr>
                </a:pPr>
                <a:endParaRPr lang="en-US"/>
              </a:p>
            </c:txPr>
            <c:dLblPos val="outEnd"/>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Examples!$B$35:$H$35</c:f>
              <c:strCache>
                <c:ptCount val="7"/>
                <c:pt idx="0">
                  <c:v>Data 1</c:v>
                </c:pt>
                <c:pt idx="1">
                  <c:v>Data 2</c:v>
                </c:pt>
                <c:pt idx="2">
                  <c:v>Data 3</c:v>
                </c:pt>
                <c:pt idx="3">
                  <c:v>Data 4</c:v>
                </c:pt>
                <c:pt idx="4">
                  <c:v>Data 5</c:v>
                </c:pt>
                <c:pt idx="5">
                  <c:v>Data 6</c:v>
                </c:pt>
                <c:pt idx="6">
                  <c:v>Data 7</c:v>
                </c:pt>
              </c:strCache>
            </c:strRef>
          </c:cat>
          <c:val>
            <c:numRef>
              <c:f>Examples!$B$36:$H$36</c:f>
              <c:numCache>
                <c:formatCode>General</c:formatCode>
                <c:ptCount val="7"/>
                <c:pt idx="0">
                  <c:v>36.19</c:v>
                </c:pt>
                <c:pt idx="1">
                  <c:v>36.880000000000003</c:v>
                </c:pt>
                <c:pt idx="2">
                  <c:v>21.56</c:v>
                </c:pt>
                <c:pt idx="3">
                  <c:v>5.36</c:v>
                </c:pt>
                <c:pt idx="4">
                  <c:v>3.01</c:v>
                </c:pt>
                <c:pt idx="5">
                  <c:v>10</c:v>
                </c:pt>
                <c:pt idx="6">
                  <c:v>5.2</c:v>
                </c:pt>
              </c:numCache>
            </c:numRef>
          </c:val>
          <c:extLst>
            <c:ext xmlns:c16="http://schemas.microsoft.com/office/drawing/2014/chart" uri="{C3380CC4-5D6E-409C-BE32-E72D297353CC}">
              <c16:uniqueId val="{00000010-77A7-45A0-938D-284B6467E980}"/>
            </c:ext>
          </c:extLst>
        </c:ser>
        <c:dLbls>
          <c:showLegendKey val="0"/>
          <c:showVal val="0"/>
          <c:showCatName val="1"/>
          <c:showSerName val="0"/>
          <c:showPercent val="1"/>
          <c:showBubbleSize val="0"/>
          <c:showLeaderLines val="1"/>
        </c:dLbls>
        <c:gapWidth val="100"/>
        <c:splitType val="pos"/>
        <c:splitPos val="3"/>
        <c:secondPieSize val="70"/>
        <c:serLines>
          <c:spPr>
            <a:ln w="3175" cap="flat" cmpd="sng" algn="ctr">
              <a:solidFill>
                <a:srgbClr val="000000"/>
              </a:solidFill>
              <a:prstDash val="solid"/>
              <a:round/>
            </a:ln>
            <a:effectLst/>
          </c:spPr>
        </c:serLines>
      </c:ofPie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sz="900" b="0" i="0" u="none" strike="noStrike" baseline="0">
          <a:solidFill>
            <a:srgbClr val="000000"/>
          </a:solidFill>
          <a:latin typeface="Raleway" panose="020B0503030101060003" pitchFamily="34" charset="0"/>
          <a:ea typeface="Myriad Pro"/>
          <a:cs typeface="Myriad Pro"/>
        </a:defRPr>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240981624977272"/>
          <c:y val="3.0428478987278431E-2"/>
          <c:w val="0.85662801786288922"/>
          <c:h val="0.71246367609784866"/>
        </c:manualLayout>
      </c:layout>
      <c:barChart>
        <c:barDir val="bar"/>
        <c:grouping val="percentStacked"/>
        <c:varyColors val="0"/>
        <c:ser>
          <c:idx val="0"/>
          <c:order val="0"/>
          <c:tx>
            <c:strRef>
              <c:f>Examples!$B$35</c:f>
              <c:strCache>
                <c:ptCount val="1"/>
                <c:pt idx="0">
                  <c:v>Data 1</c:v>
                </c:pt>
              </c:strCache>
            </c:strRef>
          </c:tx>
          <c:spPr>
            <a:solidFill>
              <a:srgbClr val="99A4B7"/>
            </a:solidFill>
            <a:ln>
              <a:solidFill>
                <a:schemeClr val="bg1"/>
              </a:solidFill>
            </a:ln>
            <a:effectLst/>
          </c:spPr>
          <c:invertIfNegative val="0"/>
          <c:cat>
            <c:strRef>
              <c:f>Examples!$A$36:$A$38</c:f>
              <c:strCache>
                <c:ptCount val="3"/>
                <c:pt idx="0">
                  <c:v>1975-76</c:v>
                </c:pt>
                <c:pt idx="1">
                  <c:v>1983-84</c:v>
                </c:pt>
                <c:pt idx="2">
                  <c:v>1988-89</c:v>
                </c:pt>
              </c:strCache>
            </c:strRef>
          </c:cat>
          <c:val>
            <c:numRef>
              <c:f>Examples!$B$36:$B$38</c:f>
              <c:numCache>
                <c:formatCode>General</c:formatCode>
                <c:ptCount val="3"/>
                <c:pt idx="0">
                  <c:v>36.19</c:v>
                </c:pt>
                <c:pt idx="1">
                  <c:v>39.39</c:v>
                </c:pt>
                <c:pt idx="2">
                  <c:v>42.78</c:v>
                </c:pt>
              </c:numCache>
            </c:numRef>
          </c:val>
          <c:extLst>
            <c:ext xmlns:c16="http://schemas.microsoft.com/office/drawing/2014/chart" uri="{C3380CC4-5D6E-409C-BE32-E72D297353CC}">
              <c16:uniqueId val="{00000000-D3D8-4F19-A219-1BA2EEA19E76}"/>
            </c:ext>
          </c:extLst>
        </c:ser>
        <c:ser>
          <c:idx val="1"/>
          <c:order val="1"/>
          <c:tx>
            <c:strRef>
              <c:f>Examples!$C$35</c:f>
              <c:strCache>
                <c:ptCount val="1"/>
                <c:pt idx="0">
                  <c:v>Data 2</c:v>
                </c:pt>
              </c:strCache>
            </c:strRef>
          </c:tx>
          <c:spPr>
            <a:solidFill>
              <a:srgbClr val="77869F"/>
            </a:solidFill>
            <a:ln>
              <a:solidFill>
                <a:schemeClr val="bg1"/>
              </a:solidFill>
            </a:ln>
            <a:effectLst/>
          </c:spPr>
          <c:invertIfNegative val="0"/>
          <c:cat>
            <c:strRef>
              <c:f>Examples!$A$36:$A$38</c:f>
              <c:strCache>
                <c:ptCount val="3"/>
                <c:pt idx="0">
                  <c:v>1975-76</c:v>
                </c:pt>
                <c:pt idx="1">
                  <c:v>1983-84</c:v>
                </c:pt>
                <c:pt idx="2">
                  <c:v>1988-89</c:v>
                </c:pt>
              </c:strCache>
            </c:strRef>
          </c:cat>
          <c:val>
            <c:numRef>
              <c:f>Examples!$C$36:$C$38</c:f>
              <c:numCache>
                <c:formatCode>General</c:formatCode>
                <c:ptCount val="3"/>
                <c:pt idx="0">
                  <c:v>36.880000000000003</c:v>
                </c:pt>
                <c:pt idx="1">
                  <c:v>32.020000000000003</c:v>
                </c:pt>
                <c:pt idx="2">
                  <c:v>29.91</c:v>
                </c:pt>
              </c:numCache>
            </c:numRef>
          </c:val>
          <c:extLst>
            <c:ext xmlns:c16="http://schemas.microsoft.com/office/drawing/2014/chart" uri="{C3380CC4-5D6E-409C-BE32-E72D297353CC}">
              <c16:uniqueId val="{00000001-D3D8-4F19-A219-1BA2EEA19E76}"/>
            </c:ext>
          </c:extLst>
        </c:ser>
        <c:ser>
          <c:idx val="2"/>
          <c:order val="2"/>
          <c:tx>
            <c:strRef>
              <c:f>Examples!$D$35</c:f>
              <c:strCache>
                <c:ptCount val="1"/>
                <c:pt idx="0">
                  <c:v>Data 3</c:v>
                </c:pt>
              </c:strCache>
            </c:strRef>
          </c:tx>
          <c:spPr>
            <a:solidFill>
              <a:srgbClr val="5DA4C1"/>
            </a:solidFill>
            <a:ln>
              <a:solidFill>
                <a:schemeClr val="bg1"/>
              </a:solidFill>
            </a:ln>
            <a:effectLst/>
          </c:spPr>
          <c:invertIfNegative val="0"/>
          <c:cat>
            <c:strRef>
              <c:f>Examples!$A$36:$A$38</c:f>
              <c:strCache>
                <c:ptCount val="3"/>
                <c:pt idx="0">
                  <c:v>1975-76</c:v>
                </c:pt>
                <c:pt idx="1">
                  <c:v>1983-84</c:v>
                </c:pt>
                <c:pt idx="2">
                  <c:v>1988-89</c:v>
                </c:pt>
              </c:strCache>
            </c:strRef>
          </c:cat>
          <c:val>
            <c:numRef>
              <c:f>Examples!$D$36:$D$38</c:f>
              <c:numCache>
                <c:formatCode>General</c:formatCode>
                <c:ptCount val="3"/>
                <c:pt idx="0">
                  <c:v>21.56</c:v>
                </c:pt>
                <c:pt idx="1">
                  <c:v>21.6</c:v>
                </c:pt>
                <c:pt idx="2">
                  <c:v>18.350000000000001</c:v>
                </c:pt>
              </c:numCache>
            </c:numRef>
          </c:val>
          <c:extLst>
            <c:ext xmlns:c16="http://schemas.microsoft.com/office/drawing/2014/chart" uri="{C3380CC4-5D6E-409C-BE32-E72D297353CC}">
              <c16:uniqueId val="{00000002-D3D8-4F19-A219-1BA2EEA19E76}"/>
            </c:ext>
          </c:extLst>
        </c:ser>
        <c:ser>
          <c:idx val="3"/>
          <c:order val="3"/>
          <c:tx>
            <c:strRef>
              <c:f>Examples!$E$35</c:f>
              <c:strCache>
                <c:ptCount val="1"/>
                <c:pt idx="0">
                  <c:v>Data 4</c:v>
                </c:pt>
              </c:strCache>
            </c:strRef>
          </c:tx>
          <c:spPr>
            <a:solidFill>
              <a:srgbClr val="115F7E"/>
            </a:solidFill>
            <a:ln>
              <a:solidFill>
                <a:schemeClr val="bg1"/>
              </a:solidFill>
            </a:ln>
            <a:effectLst/>
          </c:spPr>
          <c:invertIfNegative val="0"/>
          <c:cat>
            <c:strRef>
              <c:f>Examples!$A$36:$A$38</c:f>
              <c:strCache>
                <c:ptCount val="3"/>
                <c:pt idx="0">
                  <c:v>1975-76</c:v>
                </c:pt>
                <c:pt idx="1">
                  <c:v>1983-84</c:v>
                </c:pt>
                <c:pt idx="2">
                  <c:v>1988-89</c:v>
                </c:pt>
              </c:strCache>
            </c:strRef>
          </c:cat>
          <c:val>
            <c:numRef>
              <c:f>Examples!$E$36:$E$38</c:f>
              <c:numCache>
                <c:formatCode>General</c:formatCode>
                <c:ptCount val="3"/>
                <c:pt idx="0">
                  <c:v>5.36</c:v>
                </c:pt>
                <c:pt idx="1">
                  <c:v>7.01</c:v>
                </c:pt>
                <c:pt idx="2">
                  <c:v>6.33</c:v>
                </c:pt>
              </c:numCache>
            </c:numRef>
          </c:val>
          <c:extLst>
            <c:ext xmlns:c16="http://schemas.microsoft.com/office/drawing/2014/chart" uri="{C3380CC4-5D6E-409C-BE32-E72D297353CC}">
              <c16:uniqueId val="{00000003-D3D8-4F19-A219-1BA2EEA19E76}"/>
            </c:ext>
          </c:extLst>
        </c:ser>
        <c:ser>
          <c:idx val="4"/>
          <c:order val="4"/>
          <c:tx>
            <c:strRef>
              <c:f>Examples!$F$35</c:f>
              <c:strCache>
                <c:ptCount val="1"/>
                <c:pt idx="0">
                  <c:v>Data 5</c:v>
                </c:pt>
              </c:strCache>
            </c:strRef>
          </c:tx>
          <c:spPr>
            <a:solidFill>
              <a:srgbClr val="009EDB"/>
            </a:solidFill>
            <a:ln>
              <a:solidFill>
                <a:schemeClr val="bg1"/>
              </a:solidFill>
            </a:ln>
            <a:effectLst/>
          </c:spPr>
          <c:invertIfNegative val="0"/>
          <c:cat>
            <c:strRef>
              <c:f>Examples!$A$36:$A$38</c:f>
              <c:strCache>
                <c:ptCount val="3"/>
                <c:pt idx="0">
                  <c:v>1975-76</c:v>
                </c:pt>
                <c:pt idx="1">
                  <c:v>1983-84</c:v>
                </c:pt>
                <c:pt idx="2">
                  <c:v>1988-89</c:v>
                </c:pt>
              </c:strCache>
            </c:strRef>
          </c:cat>
          <c:val>
            <c:numRef>
              <c:f>Examples!$F$36:$F$38</c:f>
              <c:numCache>
                <c:formatCode>General</c:formatCode>
                <c:ptCount val="3"/>
                <c:pt idx="0">
                  <c:v>3.01</c:v>
                </c:pt>
                <c:pt idx="1">
                  <c:v>3.36</c:v>
                </c:pt>
                <c:pt idx="2">
                  <c:v>2.63</c:v>
                </c:pt>
              </c:numCache>
            </c:numRef>
          </c:val>
          <c:extLst>
            <c:ext xmlns:c16="http://schemas.microsoft.com/office/drawing/2014/chart" uri="{C3380CC4-5D6E-409C-BE32-E72D297353CC}">
              <c16:uniqueId val="{00000004-D3D8-4F19-A219-1BA2EEA19E76}"/>
            </c:ext>
          </c:extLst>
        </c:ser>
        <c:ser>
          <c:idx val="5"/>
          <c:order val="5"/>
          <c:tx>
            <c:strRef>
              <c:f>Examples!$G$35</c:f>
              <c:strCache>
                <c:ptCount val="1"/>
                <c:pt idx="0">
                  <c:v>Data 6</c:v>
                </c:pt>
              </c:strCache>
            </c:strRef>
          </c:tx>
          <c:spPr>
            <a:solidFill>
              <a:srgbClr val="66C5EA"/>
            </a:solidFill>
            <a:ln>
              <a:solidFill>
                <a:schemeClr val="bg1"/>
              </a:solidFill>
            </a:ln>
            <a:effectLst/>
          </c:spPr>
          <c:invertIfNegative val="0"/>
          <c:cat>
            <c:strRef>
              <c:f>Examples!$A$36:$A$38</c:f>
              <c:strCache>
                <c:ptCount val="3"/>
                <c:pt idx="0">
                  <c:v>1975-76</c:v>
                </c:pt>
                <c:pt idx="1">
                  <c:v>1983-84</c:v>
                </c:pt>
                <c:pt idx="2">
                  <c:v>1988-89</c:v>
                </c:pt>
              </c:strCache>
            </c:strRef>
          </c:cat>
          <c:val>
            <c:numRef>
              <c:f>Examples!$G$36:$G$38</c:f>
              <c:numCache>
                <c:formatCode>General</c:formatCode>
                <c:ptCount val="3"/>
                <c:pt idx="0">
                  <c:v>10</c:v>
                </c:pt>
                <c:pt idx="1">
                  <c:v>12</c:v>
                </c:pt>
                <c:pt idx="2">
                  <c:v>14</c:v>
                </c:pt>
              </c:numCache>
            </c:numRef>
          </c:val>
          <c:extLst>
            <c:ext xmlns:c16="http://schemas.microsoft.com/office/drawing/2014/chart" uri="{C3380CC4-5D6E-409C-BE32-E72D297353CC}">
              <c16:uniqueId val="{00000005-D3D8-4F19-A219-1BA2EEA19E76}"/>
            </c:ext>
          </c:extLst>
        </c:ser>
        <c:ser>
          <c:idx val="6"/>
          <c:order val="6"/>
          <c:tx>
            <c:strRef>
              <c:f>Examples!$H$35</c:f>
              <c:strCache>
                <c:ptCount val="1"/>
                <c:pt idx="0">
                  <c:v>Data 7</c:v>
                </c:pt>
              </c:strCache>
            </c:strRef>
          </c:tx>
          <c:spPr>
            <a:solidFill>
              <a:srgbClr val="0352A1"/>
            </a:solidFill>
            <a:ln>
              <a:solidFill>
                <a:schemeClr val="bg1"/>
              </a:solidFill>
            </a:ln>
            <a:effectLst/>
          </c:spPr>
          <c:invertIfNegative val="0"/>
          <c:cat>
            <c:strRef>
              <c:f>Examples!$A$36:$A$38</c:f>
              <c:strCache>
                <c:ptCount val="3"/>
                <c:pt idx="0">
                  <c:v>1975-76</c:v>
                </c:pt>
                <c:pt idx="1">
                  <c:v>1983-84</c:v>
                </c:pt>
                <c:pt idx="2">
                  <c:v>1988-89</c:v>
                </c:pt>
              </c:strCache>
            </c:strRef>
          </c:cat>
          <c:val>
            <c:numRef>
              <c:f>Examples!$H$36:$H$38</c:f>
              <c:numCache>
                <c:formatCode>General</c:formatCode>
                <c:ptCount val="3"/>
                <c:pt idx="0">
                  <c:v>5.2</c:v>
                </c:pt>
                <c:pt idx="1">
                  <c:v>6.6</c:v>
                </c:pt>
                <c:pt idx="2">
                  <c:v>5.7</c:v>
                </c:pt>
              </c:numCache>
            </c:numRef>
          </c:val>
          <c:extLst>
            <c:ext xmlns:c16="http://schemas.microsoft.com/office/drawing/2014/chart" uri="{C3380CC4-5D6E-409C-BE32-E72D297353CC}">
              <c16:uniqueId val="{00000006-D3D8-4F19-A219-1BA2EEA19E76}"/>
            </c:ext>
          </c:extLst>
        </c:ser>
        <c:ser>
          <c:idx val="7"/>
          <c:order val="7"/>
          <c:tx>
            <c:strRef>
              <c:f>Examples!$I$35</c:f>
              <c:strCache>
                <c:ptCount val="1"/>
                <c:pt idx="0">
                  <c:v>Data 8</c:v>
                </c:pt>
              </c:strCache>
            </c:strRef>
          </c:tx>
          <c:spPr>
            <a:solidFill>
              <a:srgbClr val="3373B3"/>
            </a:solidFill>
            <a:ln>
              <a:solidFill>
                <a:sysClr val="window" lastClr="FFFFFF"/>
              </a:solidFill>
            </a:ln>
            <a:effectLst/>
          </c:spPr>
          <c:invertIfNegative val="0"/>
          <c:cat>
            <c:strRef>
              <c:f>Examples!$A$36:$A$38</c:f>
              <c:strCache>
                <c:ptCount val="3"/>
                <c:pt idx="0">
                  <c:v>1975-76</c:v>
                </c:pt>
                <c:pt idx="1">
                  <c:v>1983-84</c:v>
                </c:pt>
                <c:pt idx="2">
                  <c:v>1988-89</c:v>
                </c:pt>
              </c:strCache>
            </c:strRef>
          </c:cat>
          <c:val>
            <c:numRef>
              <c:f>Examples!$I$36:$I$38</c:f>
              <c:numCache>
                <c:formatCode>General</c:formatCode>
                <c:ptCount val="3"/>
                <c:pt idx="0">
                  <c:v>13</c:v>
                </c:pt>
                <c:pt idx="1">
                  <c:v>15</c:v>
                </c:pt>
                <c:pt idx="2">
                  <c:v>16</c:v>
                </c:pt>
              </c:numCache>
            </c:numRef>
          </c:val>
          <c:extLst>
            <c:ext xmlns:c16="http://schemas.microsoft.com/office/drawing/2014/chart" uri="{C3380CC4-5D6E-409C-BE32-E72D297353CC}">
              <c16:uniqueId val="{00000007-D3D8-4F19-A219-1BA2EEA19E76}"/>
            </c:ext>
          </c:extLst>
        </c:ser>
        <c:dLbls>
          <c:showLegendKey val="0"/>
          <c:showVal val="0"/>
          <c:showCatName val="0"/>
          <c:showSerName val="0"/>
          <c:showPercent val="0"/>
          <c:showBubbleSize val="0"/>
        </c:dLbls>
        <c:gapWidth val="150"/>
        <c:overlap val="100"/>
        <c:axId val="671094256"/>
        <c:axId val="671093864"/>
      </c:barChart>
      <c:catAx>
        <c:axId val="671094256"/>
        <c:scaling>
          <c:orientation val="minMax"/>
        </c:scaling>
        <c:delete val="0"/>
        <c:axPos val="l"/>
        <c:numFmt formatCode="General" sourceLinked="1"/>
        <c:majorTickMark val="none"/>
        <c:minorTickMark val="none"/>
        <c:tickLblPos val="nextTo"/>
        <c:spPr>
          <a:noFill/>
          <a:ln w="12700" cap="flat" cmpd="sng" algn="ctr">
            <a:solidFill>
              <a:srgbClr val="C6CDD7"/>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71093864"/>
        <c:crosses val="autoZero"/>
        <c:auto val="1"/>
        <c:lblAlgn val="ctr"/>
        <c:lblOffset val="100"/>
        <c:tickLblSkip val="1"/>
        <c:tickMarkSkip val="1"/>
        <c:noMultiLvlLbl val="0"/>
      </c:catAx>
      <c:valAx>
        <c:axId val="671093864"/>
        <c:scaling>
          <c:orientation val="minMax"/>
        </c:scaling>
        <c:delete val="0"/>
        <c:axPos val="b"/>
        <c:majorGridlines>
          <c:spPr>
            <a:ln w="6350" cap="flat" cmpd="sng" algn="ctr">
              <a:solidFill>
                <a:schemeClr val="bg2">
                  <a:lumMod val="20000"/>
                  <a:lumOff val="80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71094256"/>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paperSize="9" orientation="landscape" horizontalDpi="-3"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664253472222224"/>
          <c:y val="0.10737507982120051"/>
          <c:w val="0.36163333333333331"/>
          <c:h val="0.83134099616858237"/>
        </c:manualLayout>
      </c:layout>
      <c:doughnutChart>
        <c:varyColors val="1"/>
        <c:ser>
          <c:idx val="2"/>
          <c:order val="0"/>
          <c:tx>
            <c:strRef>
              <c:f>Examples!$A$36</c:f>
              <c:strCache>
                <c:ptCount val="1"/>
                <c:pt idx="0">
                  <c:v>1975-76</c:v>
                </c:pt>
              </c:strCache>
            </c:strRef>
          </c:tx>
          <c:spPr>
            <a:ln>
              <a:solidFill>
                <a:schemeClr val="bg1"/>
              </a:solidFill>
            </a:ln>
          </c:spPr>
          <c:dPt>
            <c:idx val="0"/>
            <c:bubble3D val="0"/>
            <c:spPr>
              <a:solidFill>
                <a:srgbClr val="0352A1"/>
              </a:solidFill>
              <a:ln>
                <a:solidFill>
                  <a:schemeClr val="bg1"/>
                </a:solidFill>
              </a:ln>
              <a:effectLst/>
            </c:spPr>
            <c:extLst>
              <c:ext xmlns:c16="http://schemas.microsoft.com/office/drawing/2014/chart" uri="{C3380CC4-5D6E-409C-BE32-E72D297353CC}">
                <c16:uniqueId val="{00000001-94C7-49F8-8048-F1AD0EF1CDDE}"/>
              </c:ext>
            </c:extLst>
          </c:dPt>
          <c:dPt>
            <c:idx val="1"/>
            <c:bubble3D val="0"/>
            <c:spPr>
              <a:solidFill>
                <a:srgbClr val="427EB9"/>
              </a:solidFill>
              <a:ln>
                <a:solidFill>
                  <a:schemeClr val="bg1"/>
                </a:solidFill>
              </a:ln>
              <a:effectLst/>
            </c:spPr>
            <c:extLst>
              <c:ext xmlns:c16="http://schemas.microsoft.com/office/drawing/2014/chart" uri="{C3380CC4-5D6E-409C-BE32-E72D297353CC}">
                <c16:uniqueId val="{00000003-94C7-49F8-8048-F1AD0EF1CDDE}"/>
              </c:ext>
            </c:extLst>
          </c:dPt>
          <c:dPt>
            <c:idx val="2"/>
            <c:bubble3D val="0"/>
            <c:spPr>
              <a:solidFill>
                <a:srgbClr val="66C5EA"/>
              </a:solidFill>
              <a:ln>
                <a:solidFill>
                  <a:schemeClr val="bg1"/>
                </a:solidFill>
              </a:ln>
              <a:effectLst/>
            </c:spPr>
            <c:extLst>
              <c:ext xmlns:c16="http://schemas.microsoft.com/office/drawing/2014/chart" uri="{C3380CC4-5D6E-409C-BE32-E72D297353CC}">
                <c16:uniqueId val="{00000005-94C7-49F8-8048-F1AD0EF1CDDE}"/>
              </c:ext>
            </c:extLst>
          </c:dPt>
          <c:dPt>
            <c:idx val="3"/>
            <c:bubble3D val="0"/>
            <c:spPr>
              <a:solidFill>
                <a:schemeClr val="accent5"/>
              </a:solidFill>
              <a:ln>
                <a:solidFill>
                  <a:schemeClr val="bg1"/>
                </a:solidFill>
              </a:ln>
              <a:effectLst/>
            </c:spPr>
            <c:extLst>
              <c:ext xmlns:c16="http://schemas.microsoft.com/office/drawing/2014/chart" uri="{C3380CC4-5D6E-409C-BE32-E72D297353CC}">
                <c16:uniqueId val="{00000007-94C7-49F8-8048-F1AD0EF1CDDE}"/>
              </c:ext>
            </c:extLst>
          </c:dPt>
          <c:dPt>
            <c:idx val="4"/>
            <c:bubble3D val="0"/>
            <c:spPr>
              <a:solidFill>
                <a:schemeClr val="accent6"/>
              </a:solidFill>
              <a:ln>
                <a:solidFill>
                  <a:schemeClr val="bg1"/>
                </a:solidFill>
              </a:ln>
              <a:effectLst/>
            </c:spPr>
            <c:extLst>
              <c:ext xmlns:c16="http://schemas.microsoft.com/office/drawing/2014/chart" uri="{C3380CC4-5D6E-409C-BE32-E72D297353CC}">
                <c16:uniqueId val="{00000009-94C7-49F8-8048-F1AD0EF1CDDE}"/>
              </c:ext>
            </c:extLst>
          </c:dPt>
          <c:dPt>
            <c:idx val="5"/>
            <c:bubble3D val="0"/>
            <c:spPr>
              <a:solidFill>
                <a:srgbClr val="5DA4C1"/>
              </a:solidFill>
              <a:ln>
                <a:solidFill>
                  <a:schemeClr val="bg1"/>
                </a:solidFill>
              </a:ln>
              <a:effectLst/>
            </c:spPr>
            <c:extLst>
              <c:ext xmlns:c16="http://schemas.microsoft.com/office/drawing/2014/chart" uri="{C3380CC4-5D6E-409C-BE32-E72D297353CC}">
                <c16:uniqueId val="{0000000B-94C7-49F8-8048-F1AD0EF1CDDE}"/>
              </c:ext>
            </c:extLst>
          </c:dPt>
          <c:dPt>
            <c:idx val="6"/>
            <c:bubble3D val="0"/>
            <c:spPr>
              <a:solidFill>
                <a:srgbClr val="8B869F"/>
              </a:solidFill>
              <a:ln>
                <a:solidFill>
                  <a:schemeClr val="bg1"/>
                </a:solidFill>
              </a:ln>
              <a:effectLst/>
            </c:spPr>
            <c:extLst>
              <c:ext xmlns:c16="http://schemas.microsoft.com/office/drawing/2014/chart" uri="{C3380CC4-5D6E-409C-BE32-E72D297353CC}">
                <c16:uniqueId val="{0000000D-94C7-49F8-8048-F1AD0EF1CDDE}"/>
              </c:ext>
            </c:extLst>
          </c:dPt>
          <c:dPt>
            <c:idx val="7"/>
            <c:bubble3D val="0"/>
            <c:spPr>
              <a:solidFill>
                <a:srgbClr val="99A4B7"/>
              </a:solidFill>
              <a:ln>
                <a:solidFill>
                  <a:schemeClr val="bg1"/>
                </a:solidFill>
              </a:ln>
              <a:effectLst/>
            </c:spPr>
            <c:extLst>
              <c:ext xmlns:c16="http://schemas.microsoft.com/office/drawing/2014/chart" uri="{C3380CC4-5D6E-409C-BE32-E72D297353CC}">
                <c16:uniqueId val="{0000000F-94C7-49F8-8048-F1AD0EF1CDDE}"/>
              </c:ext>
            </c:extLst>
          </c:dPt>
          <c:dLbls>
            <c:dLbl>
              <c:idx val="4"/>
              <c:layout>
                <c:manualLayout>
                  <c:x val="-2.5341173000995487E-3"/>
                  <c:y val="-5.40237483293049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4C7-49F8-8048-F1AD0EF1CDDE}"/>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Raleway" panose="020B0503030101060003" pitchFamily="34" charset="0"/>
                    <a:ea typeface="Myriad Pro"/>
                    <a:cs typeface="Myriad Pro"/>
                  </a:defRPr>
                </a:pPr>
                <a:endParaRPr lang="en-US"/>
              </a:p>
            </c:txPr>
            <c:showLegendKey val="0"/>
            <c:showVal val="1"/>
            <c:showCatName val="0"/>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Examples!$B$36:$I$36</c:f>
              <c:numCache>
                <c:formatCode>General</c:formatCode>
                <c:ptCount val="8"/>
                <c:pt idx="0">
                  <c:v>36.19</c:v>
                </c:pt>
                <c:pt idx="1">
                  <c:v>36.880000000000003</c:v>
                </c:pt>
                <c:pt idx="2">
                  <c:v>21.56</c:v>
                </c:pt>
                <c:pt idx="3">
                  <c:v>5.36</c:v>
                </c:pt>
                <c:pt idx="4">
                  <c:v>3.01</c:v>
                </c:pt>
                <c:pt idx="5">
                  <c:v>10</c:v>
                </c:pt>
                <c:pt idx="6">
                  <c:v>5.2</c:v>
                </c:pt>
                <c:pt idx="7">
                  <c:v>13</c:v>
                </c:pt>
              </c:numCache>
            </c:numRef>
          </c:val>
          <c:extLst>
            <c:ext xmlns:c16="http://schemas.microsoft.com/office/drawing/2014/chart" uri="{C3380CC4-5D6E-409C-BE32-E72D297353CC}">
              <c16:uniqueId val="{00000010-94C7-49F8-8048-F1AD0EF1CDDE}"/>
            </c:ext>
          </c:extLst>
        </c:ser>
        <c:dLbls>
          <c:showLegendKey val="0"/>
          <c:showVal val="1"/>
          <c:showCatName val="0"/>
          <c:showSerName val="0"/>
          <c:showPercent val="0"/>
          <c:showBubbleSize val="0"/>
          <c:showLeaderLines val="1"/>
        </c:dLbls>
        <c:firstSliceAng val="0"/>
        <c:holeSize val="7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sz="900" b="0" i="0" u="none" strike="noStrike" baseline="0">
          <a:solidFill>
            <a:schemeClr val="bg1"/>
          </a:solidFill>
          <a:latin typeface="Raleway" panose="020B0503030101060003" pitchFamily="34" charset="0"/>
          <a:ea typeface="Myriad Pro"/>
          <a:cs typeface="Myriad Pro"/>
        </a:defRPr>
      </a:pPr>
      <a:endParaRPr lang="en-US"/>
    </a:p>
  </c:txPr>
  <c:printSettings>
    <c:headerFooter alignWithMargins="0"/>
    <c:pageMargins b="1" l="0.75" r="0.75" t="1" header="0.5" footer="0.5"/>
    <c:pageSetup paperSize="9" orientation="portrait" horizontalDpi="-3"/>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4457780226019"/>
          <c:y val="5.4769194088260899E-2"/>
          <c:w val="0.82542694497153701"/>
          <c:h val="0.73764258555133078"/>
        </c:manualLayout>
      </c:layout>
      <c:areaChart>
        <c:grouping val="percentStacked"/>
        <c:varyColors val="0"/>
        <c:ser>
          <c:idx val="0"/>
          <c:order val="0"/>
          <c:tx>
            <c:strRef>
              <c:f>Examples!$B$35</c:f>
              <c:strCache>
                <c:ptCount val="1"/>
                <c:pt idx="0">
                  <c:v>Data 1</c:v>
                </c:pt>
              </c:strCache>
            </c:strRef>
          </c:tx>
          <c:spPr>
            <a:solidFill>
              <a:srgbClr val="99A4B7"/>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Examples!$B$36:$B$43</c:f>
              <c:numCache>
                <c:formatCode>General</c:formatCode>
                <c:ptCount val="8"/>
                <c:pt idx="0">
                  <c:v>36.19</c:v>
                </c:pt>
                <c:pt idx="1">
                  <c:v>39.39</c:v>
                </c:pt>
                <c:pt idx="2">
                  <c:v>42.78</c:v>
                </c:pt>
                <c:pt idx="3">
                  <c:v>42.13</c:v>
                </c:pt>
                <c:pt idx="4">
                  <c:v>41.69</c:v>
                </c:pt>
                <c:pt idx="5">
                  <c:v>39.39</c:v>
                </c:pt>
                <c:pt idx="6">
                  <c:v>42.13</c:v>
                </c:pt>
                <c:pt idx="7">
                  <c:v>45</c:v>
                </c:pt>
              </c:numCache>
            </c:numRef>
          </c:val>
          <c:extLst>
            <c:ext xmlns:c16="http://schemas.microsoft.com/office/drawing/2014/chart" uri="{C3380CC4-5D6E-409C-BE32-E72D297353CC}">
              <c16:uniqueId val="{00000000-7B92-4065-AC29-829B7F809D24}"/>
            </c:ext>
          </c:extLst>
        </c:ser>
        <c:ser>
          <c:idx val="1"/>
          <c:order val="1"/>
          <c:tx>
            <c:strRef>
              <c:f>Examples!$C$35</c:f>
              <c:strCache>
                <c:ptCount val="1"/>
                <c:pt idx="0">
                  <c:v>Data 2</c:v>
                </c:pt>
              </c:strCache>
            </c:strRef>
          </c:tx>
          <c:spPr>
            <a:solidFill>
              <a:srgbClr val="77869F"/>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Examples!$C$36:$C$43</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extLst>
            <c:ext xmlns:c16="http://schemas.microsoft.com/office/drawing/2014/chart" uri="{C3380CC4-5D6E-409C-BE32-E72D297353CC}">
              <c16:uniqueId val="{00000001-7B92-4065-AC29-829B7F809D24}"/>
            </c:ext>
          </c:extLst>
        </c:ser>
        <c:ser>
          <c:idx val="2"/>
          <c:order val="2"/>
          <c:tx>
            <c:strRef>
              <c:f>Examples!$D$35</c:f>
              <c:strCache>
                <c:ptCount val="1"/>
                <c:pt idx="0">
                  <c:v>Data 3</c:v>
                </c:pt>
              </c:strCache>
            </c:strRef>
          </c:tx>
          <c:spPr>
            <a:solidFill>
              <a:srgbClr val="5DA4C1"/>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Examples!$D$36:$D$43</c:f>
              <c:numCache>
                <c:formatCode>General</c:formatCode>
                <c:ptCount val="8"/>
                <c:pt idx="0">
                  <c:v>21.56</c:v>
                </c:pt>
                <c:pt idx="1">
                  <c:v>21.6</c:v>
                </c:pt>
                <c:pt idx="2">
                  <c:v>18.350000000000001</c:v>
                </c:pt>
                <c:pt idx="3">
                  <c:v>21.6</c:v>
                </c:pt>
                <c:pt idx="4">
                  <c:v>23.98</c:v>
                </c:pt>
                <c:pt idx="5">
                  <c:v>21.6</c:v>
                </c:pt>
                <c:pt idx="6">
                  <c:v>21.6</c:v>
                </c:pt>
                <c:pt idx="7">
                  <c:v>26</c:v>
                </c:pt>
              </c:numCache>
            </c:numRef>
          </c:val>
          <c:extLst>
            <c:ext xmlns:c16="http://schemas.microsoft.com/office/drawing/2014/chart" uri="{C3380CC4-5D6E-409C-BE32-E72D297353CC}">
              <c16:uniqueId val="{00000002-7B92-4065-AC29-829B7F809D24}"/>
            </c:ext>
          </c:extLst>
        </c:ser>
        <c:ser>
          <c:idx val="3"/>
          <c:order val="3"/>
          <c:tx>
            <c:strRef>
              <c:f>Examples!$E$35</c:f>
              <c:strCache>
                <c:ptCount val="1"/>
                <c:pt idx="0">
                  <c:v>Data 4</c:v>
                </c:pt>
              </c:strCache>
            </c:strRef>
          </c:tx>
          <c:spPr>
            <a:solidFill>
              <a:schemeClr val="accent6"/>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Examples!$E$36:$E$43</c:f>
              <c:numCache>
                <c:formatCode>General</c:formatCode>
                <c:ptCount val="8"/>
                <c:pt idx="0">
                  <c:v>5.36</c:v>
                </c:pt>
                <c:pt idx="1">
                  <c:v>7.01</c:v>
                </c:pt>
                <c:pt idx="2">
                  <c:v>6.33</c:v>
                </c:pt>
                <c:pt idx="3">
                  <c:v>7.01</c:v>
                </c:pt>
                <c:pt idx="4">
                  <c:v>7</c:v>
                </c:pt>
                <c:pt idx="5">
                  <c:v>7.01</c:v>
                </c:pt>
                <c:pt idx="6">
                  <c:v>7.01</c:v>
                </c:pt>
                <c:pt idx="7">
                  <c:v>8</c:v>
                </c:pt>
              </c:numCache>
            </c:numRef>
          </c:val>
          <c:extLst>
            <c:ext xmlns:c16="http://schemas.microsoft.com/office/drawing/2014/chart" uri="{C3380CC4-5D6E-409C-BE32-E72D297353CC}">
              <c16:uniqueId val="{00000003-7B92-4065-AC29-829B7F809D24}"/>
            </c:ext>
          </c:extLst>
        </c:ser>
        <c:ser>
          <c:idx val="4"/>
          <c:order val="4"/>
          <c:tx>
            <c:strRef>
              <c:f>Examples!$F$35</c:f>
              <c:strCache>
                <c:ptCount val="1"/>
                <c:pt idx="0">
                  <c:v>Data 5</c:v>
                </c:pt>
              </c:strCache>
            </c:strRef>
          </c:tx>
          <c:spPr>
            <a:solidFill>
              <a:schemeClr val="accent5"/>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Examples!$F$36:$F$43</c:f>
              <c:numCache>
                <c:formatCode>General</c:formatCode>
                <c:ptCount val="8"/>
                <c:pt idx="0">
                  <c:v>3.01</c:v>
                </c:pt>
                <c:pt idx="1">
                  <c:v>3.36</c:v>
                </c:pt>
                <c:pt idx="2">
                  <c:v>2.63</c:v>
                </c:pt>
                <c:pt idx="3">
                  <c:v>2.72</c:v>
                </c:pt>
                <c:pt idx="4">
                  <c:v>2.57</c:v>
                </c:pt>
                <c:pt idx="5">
                  <c:v>3.36</c:v>
                </c:pt>
                <c:pt idx="6">
                  <c:v>2.72</c:v>
                </c:pt>
                <c:pt idx="7">
                  <c:v>2</c:v>
                </c:pt>
              </c:numCache>
            </c:numRef>
          </c:val>
          <c:extLst>
            <c:ext xmlns:c16="http://schemas.microsoft.com/office/drawing/2014/chart" uri="{C3380CC4-5D6E-409C-BE32-E72D297353CC}">
              <c16:uniqueId val="{00000004-7B92-4065-AC29-829B7F809D24}"/>
            </c:ext>
          </c:extLst>
        </c:ser>
        <c:ser>
          <c:idx val="5"/>
          <c:order val="5"/>
          <c:tx>
            <c:strRef>
              <c:f>Examples!$G$35</c:f>
              <c:strCache>
                <c:ptCount val="1"/>
                <c:pt idx="0">
                  <c:v>Data 6</c:v>
                </c:pt>
              </c:strCache>
            </c:strRef>
          </c:tx>
          <c:spPr>
            <a:solidFill>
              <a:srgbClr val="66C5EA"/>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Examples!$G$36:$G$43</c:f>
              <c:numCache>
                <c:formatCode>General</c:formatCode>
                <c:ptCount val="8"/>
                <c:pt idx="0">
                  <c:v>10</c:v>
                </c:pt>
                <c:pt idx="1">
                  <c:v>12</c:v>
                </c:pt>
                <c:pt idx="2">
                  <c:v>14</c:v>
                </c:pt>
                <c:pt idx="3">
                  <c:v>16</c:v>
                </c:pt>
                <c:pt idx="4">
                  <c:v>18</c:v>
                </c:pt>
                <c:pt idx="5">
                  <c:v>12</c:v>
                </c:pt>
                <c:pt idx="6">
                  <c:v>16</c:v>
                </c:pt>
                <c:pt idx="7">
                  <c:v>20</c:v>
                </c:pt>
              </c:numCache>
            </c:numRef>
          </c:val>
          <c:extLst>
            <c:ext xmlns:c16="http://schemas.microsoft.com/office/drawing/2014/chart" uri="{C3380CC4-5D6E-409C-BE32-E72D297353CC}">
              <c16:uniqueId val="{00000005-7B92-4065-AC29-829B7F809D24}"/>
            </c:ext>
          </c:extLst>
        </c:ser>
        <c:ser>
          <c:idx val="6"/>
          <c:order val="6"/>
          <c:tx>
            <c:strRef>
              <c:f>Examples!$H$35</c:f>
              <c:strCache>
                <c:ptCount val="1"/>
                <c:pt idx="0">
                  <c:v>Data 7</c:v>
                </c:pt>
              </c:strCache>
            </c:strRef>
          </c:tx>
          <c:spPr>
            <a:solidFill>
              <a:srgbClr val="0352A1"/>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Examples!$H$36:$H$43</c:f>
              <c:numCache>
                <c:formatCode>General</c:formatCode>
                <c:ptCount val="8"/>
                <c:pt idx="0">
                  <c:v>5.2</c:v>
                </c:pt>
                <c:pt idx="1">
                  <c:v>6.6</c:v>
                </c:pt>
                <c:pt idx="2">
                  <c:v>5.7</c:v>
                </c:pt>
                <c:pt idx="3">
                  <c:v>3</c:v>
                </c:pt>
                <c:pt idx="4">
                  <c:v>3.5</c:v>
                </c:pt>
                <c:pt idx="5">
                  <c:v>3.8</c:v>
                </c:pt>
                <c:pt idx="6">
                  <c:v>3.2</c:v>
                </c:pt>
                <c:pt idx="7">
                  <c:v>4</c:v>
                </c:pt>
              </c:numCache>
            </c:numRef>
          </c:val>
          <c:extLst>
            <c:ext xmlns:c16="http://schemas.microsoft.com/office/drawing/2014/chart" uri="{C3380CC4-5D6E-409C-BE32-E72D297353CC}">
              <c16:uniqueId val="{00000006-7B92-4065-AC29-829B7F809D24}"/>
            </c:ext>
          </c:extLst>
        </c:ser>
        <c:ser>
          <c:idx val="7"/>
          <c:order val="7"/>
          <c:tx>
            <c:strRef>
              <c:f>Examples!$I$35</c:f>
              <c:strCache>
                <c:ptCount val="1"/>
                <c:pt idx="0">
                  <c:v>Data 8</c:v>
                </c:pt>
              </c:strCache>
            </c:strRef>
          </c:tx>
          <c:spPr>
            <a:solidFill>
              <a:srgbClr val="3373B3"/>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Examples!$I$36:$I$43</c:f>
              <c:numCache>
                <c:formatCode>General</c:formatCode>
                <c:ptCount val="8"/>
                <c:pt idx="0">
                  <c:v>13</c:v>
                </c:pt>
                <c:pt idx="1">
                  <c:v>15</c:v>
                </c:pt>
                <c:pt idx="2">
                  <c:v>16</c:v>
                </c:pt>
                <c:pt idx="3">
                  <c:v>17</c:v>
                </c:pt>
                <c:pt idx="4">
                  <c:v>19</c:v>
                </c:pt>
                <c:pt idx="5">
                  <c:v>13</c:v>
                </c:pt>
                <c:pt idx="6">
                  <c:v>18</c:v>
                </c:pt>
                <c:pt idx="7">
                  <c:v>22</c:v>
                </c:pt>
              </c:numCache>
            </c:numRef>
          </c:val>
          <c:extLst>
            <c:ext xmlns:c16="http://schemas.microsoft.com/office/drawing/2014/chart" uri="{C3380CC4-5D6E-409C-BE32-E72D297353CC}">
              <c16:uniqueId val="{00000007-7B92-4065-AC29-829B7F809D24}"/>
            </c:ext>
          </c:extLst>
        </c:ser>
        <c:dLbls>
          <c:showLegendKey val="0"/>
          <c:showVal val="0"/>
          <c:showCatName val="0"/>
          <c:showSerName val="0"/>
          <c:showPercent val="0"/>
          <c:showBubbleSize val="0"/>
        </c:dLbls>
        <c:axId val="671085240"/>
        <c:axId val="671088768"/>
      </c:areaChart>
      <c:catAx>
        <c:axId val="671085240"/>
        <c:scaling>
          <c:orientation val="minMax"/>
        </c:scaling>
        <c:delete val="0"/>
        <c:axPos val="b"/>
        <c:numFmt formatCode="General" sourceLinked="1"/>
        <c:majorTickMark val="out"/>
        <c:minorTickMark val="none"/>
        <c:tickLblPos val="nextTo"/>
        <c:spPr>
          <a:noFill/>
          <a:ln w="12700" cap="flat" cmpd="sng" algn="ctr">
            <a:solidFill>
              <a:schemeClr val="bg2">
                <a:lumMod val="20000"/>
                <a:lumOff val="80000"/>
              </a:scheme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Myriad Pro"/>
              </a:defRPr>
            </a:pPr>
            <a:endParaRPr lang="en-US"/>
          </a:p>
        </c:txPr>
        <c:crossAx val="671088768"/>
        <c:crosses val="autoZero"/>
        <c:auto val="1"/>
        <c:lblAlgn val="ctr"/>
        <c:lblOffset val="100"/>
        <c:tickLblSkip val="1"/>
        <c:tickMarkSkip val="1"/>
        <c:noMultiLvlLbl val="0"/>
      </c:catAx>
      <c:valAx>
        <c:axId val="671088768"/>
        <c:scaling>
          <c:orientation val="minMax"/>
        </c:scaling>
        <c:delete val="0"/>
        <c:axPos val="l"/>
        <c:majorGridlines>
          <c:spPr>
            <a:ln w="3175" cap="flat" cmpd="sng" algn="ctr">
              <a:solidFill>
                <a:srgbClr val="000000"/>
              </a:solidFill>
              <a:prstDash val="solid"/>
              <a:round/>
            </a:ln>
            <a:effectLst/>
          </c:spPr>
        </c:majorGridlines>
        <c:numFmt formatCode="0%" sourceLinked="1"/>
        <c:majorTickMark val="out"/>
        <c:minorTickMark val="none"/>
        <c:tickLblPos val="nextTo"/>
        <c:spPr>
          <a:noFill/>
          <a:ln w="12700" cap="flat" cmpd="sng" algn="ctr">
            <a:solidFill>
              <a:schemeClr val="bg2">
                <a:lumMod val="20000"/>
                <a:lumOff val="80000"/>
              </a:scheme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Myriad Pro"/>
              </a:defRPr>
            </a:pPr>
            <a:endParaRPr lang="en-US"/>
          </a:p>
        </c:txPr>
        <c:crossAx val="671085240"/>
        <c:crosses val="autoZero"/>
        <c:crossBetween val="midCat"/>
      </c:valAx>
      <c:spPr>
        <a:solidFill>
          <a:srgbClr val="FFFFFF"/>
        </a:solidFill>
        <a:ln w="3175">
          <a:noFill/>
          <a:prstDash val="solid"/>
        </a:ln>
        <a:effectLst/>
      </c:spPr>
    </c:plotArea>
    <c:legend>
      <c:legendPos val="b"/>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Raleway" panose="020B0503030101060003" pitchFamily="34" charset="0"/>
              <a:ea typeface="Myriad Pro"/>
              <a:cs typeface="Myriad Pro"/>
            </a:defRPr>
          </a:pPr>
          <a:endParaRPr lang="en-US"/>
        </a:p>
      </c:txPr>
    </c:legend>
    <c:plotVisOnly val="1"/>
    <c:dispBlanksAs val="zero"/>
    <c:showDLblsOverMax val="0"/>
  </c:chart>
  <c:spPr>
    <a:noFill/>
    <a:ln w="9525" cap="flat" cmpd="sng" algn="ctr">
      <a:noFill/>
      <a:prstDash val="solid"/>
      <a:round/>
    </a:ln>
    <a:effectLst/>
  </c:spPr>
  <c:txPr>
    <a:bodyPr/>
    <a:lstStyle/>
    <a:p>
      <a:pPr>
        <a:defRPr sz="900" b="0" i="0" u="none" strike="noStrike" baseline="0">
          <a:solidFill>
            <a:srgbClr val="000000"/>
          </a:solidFill>
          <a:latin typeface="Raleway" panose="020B0503030101060003" pitchFamily="34" charset="0"/>
          <a:ea typeface="Myriad Pro"/>
          <a:cs typeface="Myriad Pro"/>
        </a:defRPr>
      </a:pPr>
      <a:endParaRPr lang="en-US"/>
    </a:p>
  </c:txPr>
  <c:printSettings>
    <c:headerFooter alignWithMargins="0"/>
    <c:pageMargins b="1" l="0.75" r="0.75" t="1" header="0.5" footer="0.5"/>
    <c:pageSetup paperSize="9" orientation="landscape" horizontalDpi="-3"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06035578705488E-2"/>
          <c:y val="6.7307981985161358E-2"/>
          <c:w val="0.89397748137027266"/>
          <c:h val="0.75216655152046552"/>
        </c:manualLayout>
      </c:layout>
      <c:areaChart>
        <c:grouping val="stacked"/>
        <c:varyColors val="0"/>
        <c:ser>
          <c:idx val="0"/>
          <c:order val="0"/>
          <c:tx>
            <c:strRef>
              <c:f>Examples!$B$35</c:f>
              <c:strCache>
                <c:ptCount val="1"/>
                <c:pt idx="0">
                  <c:v>Data 1</c:v>
                </c:pt>
              </c:strCache>
            </c:strRef>
          </c:tx>
          <c:spPr>
            <a:solidFill>
              <a:srgbClr val="99A4B7"/>
            </a:solidFill>
            <a:ln>
              <a:solidFill>
                <a:srgbClr val="8B869F"/>
              </a:solid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Examples!$B$36:$B$43</c:f>
              <c:numCache>
                <c:formatCode>General</c:formatCode>
                <c:ptCount val="8"/>
                <c:pt idx="0">
                  <c:v>36.19</c:v>
                </c:pt>
                <c:pt idx="1">
                  <c:v>39.39</c:v>
                </c:pt>
                <c:pt idx="2">
                  <c:v>42.78</c:v>
                </c:pt>
                <c:pt idx="3">
                  <c:v>42.13</c:v>
                </c:pt>
                <c:pt idx="4">
                  <c:v>41.69</c:v>
                </c:pt>
                <c:pt idx="5">
                  <c:v>39.39</c:v>
                </c:pt>
                <c:pt idx="6">
                  <c:v>42.13</c:v>
                </c:pt>
                <c:pt idx="7">
                  <c:v>45</c:v>
                </c:pt>
              </c:numCache>
            </c:numRef>
          </c:val>
          <c:extLst>
            <c:ext xmlns:c16="http://schemas.microsoft.com/office/drawing/2014/chart" uri="{C3380CC4-5D6E-409C-BE32-E72D297353CC}">
              <c16:uniqueId val="{00000000-29DD-4BEA-A64C-BD771B1640A0}"/>
            </c:ext>
          </c:extLst>
        </c:ser>
        <c:ser>
          <c:idx val="1"/>
          <c:order val="1"/>
          <c:tx>
            <c:strRef>
              <c:f>Examples!$C$35</c:f>
              <c:strCache>
                <c:ptCount val="1"/>
                <c:pt idx="0">
                  <c:v>Data 2</c:v>
                </c:pt>
              </c:strCache>
            </c:strRef>
          </c:tx>
          <c:spPr>
            <a:solidFill>
              <a:srgbClr val="8B869F"/>
            </a:solidFill>
            <a:ln>
              <a:solidFill>
                <a:srgbClr val="8B869F"/>
              </a:solid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Examples!$C$36:$C$43</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extLst>
            <c:ext xmlns:c16="http://schemas.microsoft.com/office/drawing/2014/chart" uri="{C3380CC4-5D6E-409C-BE32-E72D297353CC}">
              <c16:uniqueId val="{00000001-29DD-4BEA-A64C-BD771B1640A0}"/>
            </c:ext>
          </c:extLst>
        </c:ser>
        <c:ser>
          <c:idx val="2"/>
          <c:order val="2"/>
          <c:tx>
            <c:strRef>
              <c:f>Examples!$D$35</c:f>
              <c:strCache>
                <c:ptCount val="1"/>
                <c:pt idx="0">
                  <c:v>Data 3</c:v>
                </c:pt>
              </c:strCache>
            </c:strRef>
          </c:tx>
          <c:spPr>
            <a:solidFill>
              <a:srgbClr val="5DA4C1"/>
            </a:solidFill>
            <a:ln>
              <a:solidFill>
                <a:srgbClr val="8B869F"/>
              </a:solid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Examples!$D$36:$D$43</c:f>
              <c:numCache>
                <c:formatCode>General</c:formatCode>
                <c:ptCount val="8"/>
                <c:pt idx="0">
                  <c:v>21.56</c:v>
                </c:pt>
                <c:pt idx="1">
                  <c:v>21.6</c:v>
                </c:pt>
                <c:pt idx="2">
                  <c:v>18.350000000000001</c:v>
                </c:pt>
                <c:pt idx="3">
                  <c:v>21.6</c:v>
                </c:pt>
                <c:pt idx="4">
                  <c:v>23.98</c:v>
                </c:pt>
                <c:pt idx="5">
                  <c:v>21.6</c:v>
                </c:pt>
                <c:pt idx="6">
                  <c:v>21.6</c:v>
                </c:pt>
                <c:pt idx="7">
                  <c:v>26</c:v>
                </c:pt>
              </c:numCache>
            </c:numRef>
          </c:val>
          <c:extLst>
            <c:ext xmlns:c16="http://schemas.microsoft.com/office/drawing/2014/chart" uri="{C3380CC4-5D6E-409C-BE32-E72D297353CC}">
              <c16:uniqueId val="{00000002-29DD-4BEA-A64C-BD771B1640A0}"/>
            </c:ext>
          </c:extLst>
        </c:ser>
        <c:ser>
          <c:idx val="3"/>
          <c:order val="3"/>
          <c:tx>
            <c:strRef>
              <c:f>Examples!$E$35</c:f>
              <c:strCache>
                <c:ptCount val="1"/>
                <c:pt idx="0">
                  <c:v>Data 4</c:v>
                </c:pt>
              </c:strCache>
            </c:strRef>
          </c:tx>
          <c:spPr>
            <a:solidFill>
              <a:srgbClr val="115F7E"/>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Examples!$E$36:$E$43</c:f>
              <c:numCache>
                <c:formatCode>General</c:formatCode>
                <c:ptCount val="8"/>
                <c:pt idx="0">
                  <c:v>5.36</c:v>
                </c:pt>
                <c:pt idx="1">
                  <c:v>7.01</c:v>
                </c:pt>
                <c:pt idx="2">
                  <c:v>6.33</c:v>
                </c:pt>
                <c:pt idx="3">
                  <c:v>7.01</c:v>
                </c:pt>
                <c:pt idx="4">
                  <c:v>7</c:v>
                </c:pt>
                <c:pt idx="5">
                  <c:v>7.01</c:v>
                </c:pt>
                <c:pt idx="6">
                  <c:v>7.01</c:v>
                </c:pt>
                <c:pt idx="7">
                  <c:v>8</c:v>
                </c:pt>
              </c:numCache>
            </c:numRef>
          </c:val>
          <c:extLst>
            <c:ext xmlns:c16="http://schemas.microsoft.com/office/drawing/2014/chart" uri="{C3380CC4-5D6E-409C-BE32-E72D297353CC}">
              <c16:uniqueId val="{00000003-29DD-4BEA-A64C-BD771B1640A0}"/>
            </c:ext>
          </c:extLst>
        </c:ser>
        <c:ser>
          <c:idx val="4"/>
          <c:order val="4"/>
          <c:tx>
            <c:strRef>
              <c:f>Examples!$F$35</c:f>
              <c:strCache>
                <c:ptCount val="1"/>
                <c:pt idx="0">
                  <c:v>Data 5</c:v>
                </c:pt>
              </c:strCache>
            </c:strRef>
          </c:tx>
          <c:spPr>
            <a:solidFill>
              <a:srgbClr val="009DDB"/>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Examples!$F$36:$F$43</c:f>
              <c:numCache>
                <c:formatCode>General</c:formatCode>
                <c:ptCount val="8"/>
                <c:pt idx="0">
                  <c:v>3.01</c:v>
                </c:pt>
                <c:pt idx="1">
                  <c:v>3.36</c:v>
                </c:pt>
                <c:pt idx="2">
                  <c:v>2.63</c:v>
                </c:pt>
                <c:pt idx="3">
                  <c:v>2.72</c:v>
                </c:pt>
                <c:pt idx="4">
                  <c:v>2.57</c:v>
                </c:pt>
                <c:pt idx="5">
                  <c:v>3.36</c:v>
                </c:pt>
                <c:pt idx="6">
                  <c:v>2.72</c:v>
                </c:pt>
                <c:pt idx="7">
                  <c:v>2</c:v>
                </c:pt>
              </c:numCache>
            </c:numRef>
          </c:val>
          <c:extLst>
            <c:ext xmlns:c16="http://schemas.microsoft.com/office/drawing/2014/chart" uri="{C3380CC4-5D6E-409C-BE32-E72D297353CC}">
              <c16:uniqueId val="{00000004-29DD-4BEA-A64C-BD771B1640A0}"/>
            </c:ext>
          </c:extLst>
        </c:ser>
        <c:ser>
          <c:idx val="5"/>
          <c:order val="5"/>
          <c:tx>
            <c:strRef>
              <c:f>Examples!$G$35</c:f>
              <c:strCache>
                <c:ptCount val="1"/>
                <c:pt idx="0">
                  <c:v>Data 6</c:v>
                </c:pt>
              </c:strCache>
            </c:strRef>
          </c:tx>
          <c:spPr>
            <a:solidFill>
              <a:srgbClr val="66C5EA"/>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Examples!$G$36:$G$43</c:f>
              <c:numCache>
                <c:formatCode>General</c:formatCode>
                <c:ptCount val="8"/>
                <c:pt idx="0">
                  <c:v>10</c:v>
                </c:pt>
                <c:pt idx="1">
                  <c:v>12</c:v>
                </c:pt>
                <c:pt idx="2">
                  <c:v>14</c:v>
                </c:pt>
                <c:pt idx="3">
                  <c:v>16</c:v>
                </c:pt>
                <c:pt idx="4">
                  <c:v>18</c:v>
                </c:pt>
                <c:pt idx="5">
                  <c:v>12</c:v>
                </c:pt>
                <c:pt idx="6">
                  <c:v>16</c:v>
                </c:pt>
                <c:pt idx="7">
                  <c:v>20</c:v>
                </c:pt>
              </c:numCache>
            </c:numRef>
          </c:val>
          <c:extLst>
            <c:ext xmlns:c16="http://schemas.microsoft.com/office/drawing/2014/chart" uri="{C3380CC4-5D6E-409C-BE32-E72D297353CC}">
              <c16:uniqueId val="{00000005-29DD-4BEA-A64C-BD771B1640A0}"/>
            </c:ext>
          </c:extLst>
        </c:ser>
        <c:ser>
          <c:idx val="6"/>
          <c:order val="6"/>
          <c:tx>
            <c:strRef>
              <c:f>Examples!$H$35</c:f>
              <c:strCache>
                <c:ptCount val="1"/>
                <c:pt idx="0">
                  <c:v>Data 7</c:v>
                </c:pt>
              </c:strCache>
            </c:strRef>
          </c:tx>
          <c:spPr>
            <a:solidFill>
              <a:srgbClr val="0352A1"/>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Examples!$H$36:$H$43</c:f>
              <c:numCache>
                <c:formatCode>General</c:formatCode>
                <c:ptCount val="8"/>
                <c:pt idx="0">
                  <c:v>5.2</c:v>
                </c:pt>
                <c:pt idx="1">
                  <c:v>6.6</c:v>
                </c:pt>
                <c:pt idx="2">
                  <c:v>5.7</c:v>
                </c:pt>
                <c:pt idx="3">
                  <c:v>3</c:v>
                </c:pt>
                <c:pt idx="4">
                  <c:v>3.5</c:v>
                </c:pt>
                <c:pt idx="5">
                  <c:v>3.8</c:v>
                </c:pt>
                <c:pt idx="6">
                  <c:v>3.2</c:v>
                </c:pt>
                <c:pt idx="7">
                  <c:v>4</c:v>
                </c:pt>
              </c:numCache>
            </c:numRef>
          </c:val>
          <c:extLst>
            <c:ext xmlns:c16="http://schemas.microsoft.com/office/drawing/2014/chart" uri="{C3380CC4-5D6E-409C-BE32-E72D297353CC}">
              <c16:uniqueId val="{00000006-29DD-4BEA-A64C-BD771B1640A0}"/>
            </c:ext>
          </c:extLst>
        </c:ser>
        <c:ser>
          <c:idx val="7"/>
          <c:order val="7"/>
          <c:tx>
            <c:strRef>
              <c:f>Examples!$I$35</c:f>
              <c:strCache>
                <c:ptCount val="1"/>
                <c:pt idx="0">
                  <c:v>Data 8</c:v>
                </c:pt>
              </c:strCache>
            </c:strRef>
          </c:tx>
          <c:spPr>
            <a:solidFill>
              <a:srgbClr val="3373B3"/>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Examples!$I$36:$I$43</c:f>
              <c:numCache>
                <c:formatCode>General</c:formatCode>
                <c:ptCount val="8"/>
                <c:pt idx="0">
                  <c:v>13</c:v>
                </c:pt>
                <c:pt idx="1">
                  <c:v>15</c:v>
                </c:pt>
                <c:pt idx="2">
                  <c:v>16</c:v>
                </c:pt>
                <c:pt idx="3">
                  <c:v>17</c:v>
                </c:pt>
                <c:pt idx="4">
                  <c:v>19</c:v>
                </c:pt>
                <c:pt idx="5">
                  <c:v>13</c:v>
                </c:pt>
                <c:pt idx="6">
                  <c:v>18</c:v>
                </c:pt>
                <c:pt idx="7">
                  <c:v>22</c:v>
                </c:pt>
              </c:numCache>
            </c:numRef>
          </c:val>
          <c:extLst>
            <c:ext xmlns:c16="http://schemas.microsoft.com/office/drawing/2014/chart" uri="{C3380CC4-5D6E-409C-BE32-E72D297353CC}">
              <c16:uniqueId val="{00000007-29DD-4BEA-A64C-BD771B1640A0}"/>
            </c:ext>
          </c:extLst>
        </c:ser>
        <c:dLbls>
          <c:showLegendKey val="0"/>
          <c:showVal val="0"/>
          <c:showCatName val="0"/>
          <c:showSerName val="0"/>
          <c:showPercent val="0"/>
          <c:showBubbleSize val="0"/>
        </c:dLbls>
        <c:axId val="671089944"/>
        <c:axId val="671085632"/>
      </c:areaChart>
      <c:catAx>
        <c:axId val="671089944"/>
        <c:scaling>
          <c:orientation val="minMax"/>
        </c:scaling>
        <c:delete val="0"/>
        <c:axPos val="b"/>
        <c:numFmt formatCode="General" sourceLinked="1"/>
        <c:majorTickMark val="out"/>
        <c:minorTickMark val="none"/>
        <c:tickLblPos val="nextTo"/>
        <c:spPr>
          <a:noFill/>
          <a:ln w="12700" cap="flat" cmpd="sng" algn="ctr">
            <a:solidFill>
              <a:schemeClr val="bg2">
                <a:lumMod val="20000"/>
                <a:lumOff val="80000"/>
              </a:scheme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671085632"/>
        <c:crosses val="autoZero"/>
        <c:auto val="1"/>
        <c:lblAlgn val="ctr"/>
        <c:lblOffset val="100"/>
        <c:tickLblSkip val="1"/>
        <c:tickMarkSkip val="1"/>
        <c:noMultiLvlLbl val="0"/>
      </c:catAx>
      <c:valAx>
        <c:axId val="671085632"/>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General" sourceLinked="1"/>
        <c:majorTickMark val="out"/>
        <c:minorTickMark val="none"/>
        <c:tickLblPos val="nextTo"/>
        <c:spPr>
          <a:noFill/>
          <a:ln w="12700" cap="flat" cmpd="sng" algn="ctr">
            <a:solidFill>
              <a:schemeClr val="bg2">
                <a:lumMod val="20000"/>
                <a:lumOff val="80000"/>
              </a:scheme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671089944"/>
        <c:crosses val="autoZero"/>
        <c:crossBetween val="midCat"/>
      </c:valAx>
      <c:spPr>
        <a:noFill/>
        <a:ln w="6350">
          <a:solidFill>
            <a:schemeClr val="bg2">
              <a:lumMod val="20000"/>
              <a:lumOff val="80000"/>
            </a:schemeClr>
          </a:solidFill>
          <a:prstDash val="solid"/>
        </a:ln>
        <a:effectLst/>
      </c:spPr>
    </c:plotArea>
    <c:legend>
      <c:legendPos val="b"/>
      <c:layout>
        <c:manualLayout>
          <c:xMode val="edge"/>
          <c:yMode val="edge"/>
          <c:x val="0.1331555196543045"/>
          <c:y val="0.91150502873563233"/>
          <c:w val="0.76474911361022324"/>
          <c:h val="8.3426325031928483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legend>
    <c:plotVisOnly val="1"/>
    <c:dispBlanksAs val="zero"/>
    <c:showDLblsOverMax val="0"/>
  </c:chart>
  <c:spPr>
    <a:noFill/>
    <a:ln w="9525" cap="flat" cmpd="sng" algn="ctr">
      <a:noFill/>
      <a:prstDash val="solid"/>
      <a:round/>
    </a:ln>
    <a:effectLst/>
  </c:spPr>
  <c:txPr>
    <a:bodyPr/>
    <a:lstStyle/>
    <a:p>
      <a:pPr>
        <a:defRPr sz="900" b="0" i="0" u="none" strike="noStrike" baseline="0">
          <a:solidFill>
            <a:srgbClr val="000000"/>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paperSize="9" orientation="landscape" horizontalDpi="-3"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590533680582334E-2"/>
          <c:y val="4.1268203825159673E-2"/>
          <c:w val="0.87831480312524091"/>
          <c:h val="0.76462565357380363"/>
        </c:manualLayout>
      </c:layout>
      <c:barChart>
        <c:barDir val="bar"/>
        <c:grouping val="stacked"/>
        <c:varyColors val="0"/>
        <c:ser>
          <c:idx val="0"/>
          <c:order val="0"/>
          <c:tx>
            <c:strRef>
              <c:f>Examples!$B$35</c:f>
              <c:strCache>
                <c:ptCount val="1"/>
                <c:pt idx="0">
                  <c:v>Data 1</c:v>
                </c:pt>
              </c:strCache>
            </c:strRef>
          </c:tx>
          <c:spPr>
            <a:solidFill>
              <a:srgbClr val="99A4B7"/>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Examples!$B$36:$B$43</c:f>
              <c:numCache>
                <c:formatCode>General</c:formatCode>
                <c:ptCount val="8"/>
                <c:pt idx="0">
                  <c:v>36.19</c:v>
                </c:pt>
                <c:pt idx="1">
                  <c:v>39.39</c:v>
                </c:pt>
                <c:pt idx="2">
                  <c:v>42.78</c:v>
                </c:pt>
                <c:pt idx="3">
                  <c:v>42.13</c:v>
                </c:pt>
                <c:pt idx="4">
                  <c:v>41.69</c:v>
                </c:pt>
                <c:pt idx="5">
                  <c:v>39.39</c:v>
                </c:pt>
                <c:pt idx="6">
                  <c:v>42.13</c:v>
                </c:pt>
                <c:pt idx="7">
                  <c:v>45</c:v>
                </c:pt>
              </c:numCache>
            </c:numRef>
          </c:val>
          <c:extLst>
            <c:ext xmlns:c16="http://schemas.microsoft.com/office/drawing/2014/chart" uri="{C3380CC4-5D6E-409C-BE32-E72D297353CC}">
              <c16:uniqueId val="{00000000-9268-41EE-BF1F-F77DAFBBC574}"/>
            </c:ext>
          </c:extLst>
        </c:ser>
        <c:ser>
          <c:idx val="1"/>
          <c:order val="1"/>
          <c:tx>
            <c:strRef>
              <c:f>Examples!$C$35</c:f>
              <c:strCache>
                <c:ptCount val="1"/>
                <c:pt idx="0">
                  <c:v>Data 2</c:v>
                </c:pt>
              </c:strCache>
            </c:strRef>
          </c:tx>
          <c:spPr>
            <a:solidFill>
              <a:srgbClr val="77869F"/>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Examples!$C$36:$C$43</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extLst>
            <c:ext xmlns:c16="http://schemas.microsoft.com/office/drawing/2014/chart" uri="{C3380CC4-5D6E-409C-BE32-E72D297353CC}">
              <c16:uniqueId val="{00000001-9268-41EE-BF1F-F77DAFBBC574}"/>
            </c:ext>
          </c:extLst>
        </c:ser>
        <c:ser>
          <c:idx val="2"/>
          <c:order val="2"/>
          <c:tx>
            <c:strRef>
              <c:f>Examples!$D$35</c:f>
              <c:strCache>
                <c:ptCount val="1"/>
                <c:pt idx="0">
                  <c:v>Data 3</c:v>
                </c:pt>
              </c:strCache>
            </c:strRef>
          </c:tx>
          <c:spPr>
            <a:solidFill>
              <a:srgbClr val="5DA4C1"/>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Examples!$D$36:$D$43</c:f>
              <c:numCache>
                <c:formatCode>General</c:formatCode>
                <c:ptCount val="8"/>
                <c:pt idx="0">
                  <c:v>21.56</c:v>
                </c:pt>
                <c:pt idx="1">
                  <c:v>21.6</c:v>
                </c:pt>
                <c:pt idx="2">
                  <c:v>18.350000000000001</c:v>
                </c:pt>
                <c:pt idx="3">
                  <c:v>21.6</c:v>
                </c:pt>
                <c:pt idx="4">
                  <c:v>23.98</c:v>
                </c:pt>
                <c:pt idx="5">
                  <c:v>21.6</c:v>
                </c:pt>
                <c:pt idx="6">
                  <c:v>21.6</c:v>
                </c:pt>
                <c:pt idx="7">
                  <c:v>26</c:v>
                </c:pt>
              </c:numCache>
            </c:numRef>
          </c:val>
          <c:extLst>
            <c:ext xmlns:c16="http://schemas.microsoft.com/office/drawing/2014/chart" uri="{C3380CC4-5D6E-409C-BE32-E72D297353CC}">
              <c16:uniqueId val="{00000002-9268-41EE-BF1F-F77DAFBBC574}"/>
            </c:ext>
          </c:extLst>
        </c:ser>
        <c:ser>
          <c:idx val="3"/>
          <c:order val="3"/>
          <c:tx>
            <c:strRef>
              <c:f>Examples!$E$35</c:f>
              <c:strCache>
                <c:ptCount val="1"/>
                <c:pt idx="0">
                  <c:v>Data 4</c:v>
                </c:pt>
              </c:strCache>
            </c:strRef>
          </c:tx>
          <c:spPr>
            <a:solidFill>
              <a:schemeClr val="accent6"/>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Examples!$E$36:$E$43</c:f>
              <c:numCache>
                <c:formatCode>General</c:formatCode>
                <c:ptCount val="8"/>
                <c:pt idx="0">
                  <c:v>5.36</c:v>
                </c:pt>
                <c:pt idx="1">
                  <c:v>7.01</c:v>
                </c:pt>
                <c:pt idx="2">
                  <c:v>6.33</c:v>
                </c:pt>
                <c:pt idx="3">
                  <c:v>7.01</c:v>
                </c:pt>
                <c:pt idx="4">
                  <c:v>7</c:v>
                </c:pt>
                <c:pt idx="5">
                  <c:v>7.01</c:v>
                </c:pt>
                <c:pt idx="6">
                  <c:v>7.01</c:v>
                </c:pt>
                <c:pt idx="7">
                  <c:v>8</c:v>
                </c:pt>
              </c:numCache>
            </c:numRef>
          </c:val>
          <c:extLst>
            <c:ext xmlns:c16="http://schemas.microsoft.com/office/drawing/2014/chart" uri="{C3380CC4-5D6E-409C-BE32-E72D297353CC}">
              <c16:uniqueId val="{00000003-9268-41EE-BF1F-F77DAFBBC574}"/>
            </c:ext>
          </c:extLst>
        </c:ser>
        <c:ser>
          <c:idx val="4"/>
          <c:order val="4"/>
          <c:tx>
            <c:strRef>
              <c:f>Examples!$F$35</c:f>
              <c:strCache>
                <c:ptCount val="1"/>
                <c:pt idx="0">
                  <c:v>Data 5</c:v>
                </c:pt>
              </c:strCache>
            </c:strRef>
          </c:tx>
          <c:spPr>
            <a:solidFill>
              <a:srgbClr val="009EDB"/>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Examples!$F$36:$F$43</c:f>
              <c:numCache>
                <c:formatCode>General</c:formatCode>
                <c:ptCount val="8"/>
                <c:pt idx="0">
                  <c:v>3.01</c:v>
                </c:pt>
                <c:pt idx="1">
                  <c:v>3.36</c:v>
                </c:pt>
                <c:pt idx="2">
                  <c:v>2.63</c:v>
                </c:pt>
                <c:pt idx="3">
                  <c:v>2.72</c:v>
                </c:pt>
                <c:pt idx="4">
                  <c:v>2.57</c:v>
                </c:pt>
                <c:pt idx="5">
                  <c:v>3.36</c:v>
                </c:pt>
                <c:pt idx="6">
                  <c:v>2.72</c:v>
                </c:pt>
                <c:pt idx="7">
                  <c:v>2</c:v>
                </c:pt>
              </c:numCache>
            </c:numRef>
          </c:val>
          <c:extLst>
            <c:ext xmlns:c16="http://schemas.microsoft.com/office/drawing/2014/chart" uri="{C3380CC4-5D6E-409C-BE32-E72D297353CC}">
              <c16:uniqueId val="{00000004-9268-41EE-BF1F-F77DAFBBC574}"/>
            </c:ext>
          </c:extLst>
        </c:ser>
        <c:ser>
          <c:idx val="5"/>
          <c:order val="5"/>
          <c:tx>
            <c:strRef>
              <c:f>Examples!$G$35</c:f>
              <c:strCache>
                <c:ptCount val="1"/>
                <c:pt idx="0">
                  <c:v>Data 6</c:v>
                </c:pt>
              </c:strCache>
            </c:strRef>
          </c:tx>
          <c:spPr>
            <a:solidFill>
              <a:srgbClr val="66C5EA"/>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Examples!$G$36:$G$43</c:f>
              <c:numCache>
                <c:formatCode>General</c:formatCode>
                <c:ptCount val="8"/>
                <c:pt idx="0">
                  <c:v>10</c:v>
                </c:pt>
                <c:pt idx="1">
                  <c:v>12</c:v>
                </c:pt>
                <c:pt idx="2">
                  <c:v>14</c:v>
                </c:pt>
                <c:pt idx="3">
                  <c:v>16</c:v>
                </c:pt>
                <c:pt idx="4">
                  <c:v>18</c:v>
                </c:pt>
                <c:pt idx="5">
                  <c:v>12</c:v>
                </c:pt>
                <c:pt idx="6">
                  <c:v>16</c:v>
                </c:pt>
                <c:pt idx="7">
                  <c:v>20</c:v>
                </c:pt>
              </c:numCache>
            </c:numRef>
          </c:val>
          <c:extLst>
            <c:ext xmlns:c16="http://schemas.microsoft.com/office/drawing/2014/chart" uri="{C3380CC4-5D6E-409C-BE32-E72D297353CC}">
              <c16:uniqueId val="{00000005-9268-41EE-BF1F-F77DAFBBC574}"/>
            </c:ext>
          </c:extLst>
        </c:ser>
        <c:ser>
          <c:idx val="6"/>
          <c:order val="6"/>
          <c:tx>
            <c:strRef>
              <c:f>Examples!$H$35</c:f>
              <c:strCache>
                <c:ptCount val="1"/>
                <c:pt idx="0">
                  <c:v>Data 7</c:v>
                </c:pt>
              </c:strCache>
            </c:strRef>
          </c:tx>
          <c:spPr>
            <a:solidFill>
              <a:srgbClr val="0352A1"/>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Examples!$H$36:$H$43</c:f>
              <c:numCache>
                <c:formatCode>General</c:formatCode>
                <c:ptCount val="8"/>
                <c:pt idx="0">
                  <c:v>5.2</c:v>
                </c:pt>
                <c:pt idx="1">
                  <c:v>6.6</c:v>
                </c:pt>
                <c:pt idx="2">
                  <c:v>5.7</c:v>
                </c:pt>
                <c:pt idx="3">
                  <c:v>3</c:v>
                </c:pt>
                <c:pt idx="4">
                  <c:v>3.5</c:v>
                </c:pt>
                <c:pt idx="5">
                  <c:v>3.8</c:v>
                </c:pt>
                <c:pt idx="6">
                  <c:v>3.2</c:v>
                </c:pt>
                <c:pt idx="7">
                  <c:v>4</c:v>
                </c:pt>
              </c:numCache>
            </c:numRef>
          </c:val>
          <c:extLst>
            <c:ext xmlns:c16="http://schemas.microsoft.com/office/drawing/2014/chart" uri="{C3380CC4-5D6E-409C-BE32-E72D297353CC}">
              <c16:uniqueId val="{00000006-9268-41EE-BF1F-F77DAFBBC574}"/>
            </c:ext>
          </c:extLst>
        </c:ser>
        <c:ser>
          <c:idx val="7"/>
          <c:order val="7"/>
          <c:tx>
            <c:strRef>
              <c:f>Examples!$I$35</c:f>
              <c:strCache>
                <c:ptCount val="1"/>
                <c:pt idx="0">
                  <c:v>Data 8</c:v>
                </c:pt>
              </c:strCache>
            </c:strRef>
          </c:tx>
          <c:spPr>
            <a:solidFill>
              <a:srgbClr val="3373B3"/>
            </a:solidFill>
            <a:ln w="9525">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Examples!$I$36:$I$43</c:f>
              <c:numCache>
                <c:formatCode>General</c:formatCode>
                <c:ptCount val="8"/>
                <c:pt idx="0">
                  <c:v>13</c:v>
                </c:pt>
                <c:pt idx="1">
                  <c:v>15</c:v>
                </c:pt>
                <c:pt idx="2">
                  <c:v>16</c:v>
                </c:pt>
                <c:pt idx="3">
                  <c:v>17</c:v>
                </c:pt>
                <c:pt idx="4">
                  <c:v>19</c:v>
                </c:pt>
                <c:pt idx="5">
                  <c:v>13</c:v>
                </c:pt>
                <c:pt idx="6">
                  <c:v>18</c:v>
                </c:pt>
                <c:pt idx="7">
                  <c:v>22</c:v>
                </c:pt>
              </c:numCache>
            </c:numRef>
          </c:val>
          <c:extLst>
            <c:ext xmlns:c16="http://schemas.microsoft.com/office/drawing/2014/chart" uri="{C3380CC4-5D6E-409C-BE32-E72D297353CC}">
              <c16:uniqueId val="{00000007-9268-41EE-BF1F-F77DAFBBC574}"/>
            </c:ext>
          </c:extLst>
        </c:ser>
        <c:dLbls>
          <c:showLegendKey val="0"/>
          <c:showVal val="0"/>
          <c:showCatName val="0"/>
          <c:showSerName val="0"/>
          <c:showPercent val="0"/>
          <c:showBubbleSize val="0"/>
        </c:dLbls>
        <c:gapWidth val="150"/>
        <c:overlap val="100"/>
        <c:axId val="671087592"/>
        <c:axId val="671104056"/>
      </c:barChart>
      <c:catAx>
        <c:axId val="671087592"/>
        <c:scaling>
          <c:orientation val="minMax"/>
        </c:scaling>
        <c:delete val="0"/>
        <c:axPos val="l"/>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71104056"/>
        <c:crosses val="autoZero"/>
        <c:auto val="1"/>
        <c:lblAlgn val="ctr"/>
        <c:lblOffset val="100"/>
        <c:tickLblSkip val="1"/>
        <c:tickMarkSkip val="1"/>
        <c:noMultiLvlLbl val="0"/>
      </c:catAx>
      <c:valAx>
        <c:axId val="671104056"/>
        <c:scaling>
          <c:orientation val="minMax"/>
        </c:scaling>
        <c:delete val="0"/>
        <c:axPos val="b"/>
        <c:majorGridlines>
          <c:spPr>
            <a:ln w="6350" cap="flat" cmpd="sng" algn="ctr">
              <a:solidFill>
                <a:schemeClr val="bg2">
                  <a:lumMod val="20000"/>
                  <a:lumOff val="80000"/>
                </a:schemeClr>
              </a:solidFill>
              <a:prstDash val="solid"/>
              <a:round/>
            </a:ln>
            <a:effectLst/>
          </c:spPr>
        </c:majorGridlines>
        <c:numFmt formatCode="General"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7108759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1449140158855933E-2"/>
          <c:y val="7.7865354600398076E-2"/>
          <c:w val="0.90120640979105648"/>
          <c:h val="0.69990297219855535"/>
        </c:manualLayout>
      </c:layout>
      <c:lineChart>
        <c:grouping val="standard"/>
        <c:varyColors val="0"/>
        <c:ser>
          <c:idx val="0"/>
          <c:order val="0"/>
          <c:tx>
            <c:strRef>
              <c:f>Examples!$L$35</c:f>
              <c:strCache>
                <c:ptCount val="1"/>
                <c:pt idx="0">
                  <c:v>Data 1</c:v>
                </c:pt>
              </c:strCache>
            </c:strRef>
          </c:tx>
          <c:spPr>
            <a:ln w="25400" cap="rnd" cmpd="sng" algn="ctr">
              <a:solidFill>
                <a:srgbClr val="0352A1"/>
              </a:solidFill>
              <a:prstDash val="solid"/>
              <a:round/>
            </a:ln>
            <a:effectLst/>
          </c:spPr>
          <c:marker>
            <c:symbol val="none"/>
          </c:marker>
          <c:cat>
            <c:strRef>
              <c:f>Examples!$K$36:$K$43</c:f>
              <c:strCache>
                <c:ptCount val="8"/>
                <c:pt idx="0">
                  <c:v>1975-76</c:v>
                </c:pt>
                <c:pt idx="1">
                  <c:v>1983-84</c:v>
                </c:pt>
                <c:pt idx="2">
                  <c:v>1988-89</c:v>
                </c:pt>
                <c:pt idx="3">
                  <c:v>1993-94</c:v>
                </c:pt>
                <c:pt idx="4">
                  <c:v>1996-97</c:v>
                </c:pt>
                <c:pt idx="5">
                  <c:v>1997-98</c:v>
                </c:pt>
                <c:pt idx="6">
                  <c:v>1998-99</c:v>
                </c:pt>
                <c:pt idx="7">
                  <c:v>1999-00</c:v>
                </c:pt>
              </c:strCache>
            </c:strRef>
          </c:cat>
          <c:val>
            <c:numRef>
              <c:f>Examples!$L$36:$L$43</c:f>
              <c:numCache>
                <c:formatCode>General</c:formatCode>
                <c:ptCount val="8"/>
                <c:pt idx="0">
                  <c:v>33.19</c:v>
                </c:pt>
                <c:pt idx="1">
                  <c:v>39.39</c:v>
                </c:pt>
                <c:pt idx="2">
                  <c:v>42.78</c:v>
                </c:pt>
                <c:pt idx="3">
                  <c:v>42.13</c:v>
                </c:pt>
                <c:pt idx="4">
                  <c:v>41.69</c:v>
                </c:pt>
                <c:pt idx="5">
                  <c:v>39.39</c:v>
                </c:pt>
                <c:pt idx="6">
                  <c:v>42.13</c:v>
                </c:pt>
                <c:pt idx="7">
                  <c:v>45</c:v>
                </c:pt>
              </c:numCache>
            </c:numRef>
          </c:val>
          <c:smooth val="0"/>
          <c:extLst>
            <c:ext xmlns:c16="http://schemas.microsoft.com/office/drawing/2014/chart" uri="{C3380CC4-5D6E-409C-BE32-E72D297353CC}">
              <c16:uniqueId val="{00000000-A5DE-4167-9689-743C987B5753}"/>
            </c:ext>
          </c:extLst>
        </c:ser>
        <c:ser>
          <c:idx val="1"/>
          <c:order val="1"/>
          <c:tx>
            <c:strRef>
              <c:f>Examples!$M$35</c:f>
              <c:strCache>
                <c:ptCount val="1"/>
                <c:pt idx="0">
                  <c:v>Data 2</c:v>
                </c:pt>
              </c:strCache>
            </c:strRef>
          </c:tx>
          <c:spPr>
            <a:ln w="25400" cap="rnd" cmpd="sng" algn="ctr">
              <a:solidFill>
                <a:srgbClr val="3373B3"/>
              </a:solidFill>
              <a:prstDash val="sysDash"/>
              <a:round/>
            </a:ln>
            <a:effectLst/>
          </c:spPr>
          <c:marker>
            <c:symbol val="none"/>
          </c:marker>
          <c:cat>
            <c:strRef>
              <c:f>Examples!$K$36:$K$43</c:f>
              <c:strCache>
                <c:ptCount val="8"/>
                <c:pt idx="0">
                  <c:v>1975-76</c:v>
                </c:pt>
                <c:pt idx="1">
                  <c:v>1983-84</c:v>
                </c:pt>
                <c:pt idx="2">
                  <c:v>1988-89</c:v>
                </c:pt>
                <c:pt idx="3">
                  <c:v>1993-94</c:v>
                </c:pt>
                <c:pt idx="4">
                  <c:v>1996-97</c:v>
                </c:pt>
                <c:pt idx="5">
                  <c:v>1997-98</c:v>
                </c:pt>
                <c:pt idx="6">
                  <c:v>1998-99</c:v>
                </c:pt>
                <c:pt idx="7">
                  <c:v>1999-00</c:v>
                </c:pt>
              </c:strCache>
            </c:strRef>
          </c:cat>
          <c:val>
            <c:numRef>
              <c:f>Examples!$M$36:$M$43</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smooth val="0"/>
          <c:extLst>
            <c:ext xmlns:c16="http://schemas.microsoft.com/office/drawing/2014/chart" uri="{C3380CC4-5D6E-409C-BE32-E72D297353CC}">
              <c16:uniqueId val="{00000001-A5DE-4167-9689-743C987B5753}"/>
            </c:ext>
          </c:extLst>
        </c:ser>
        <c:ser>
          <c:idx val="2"/>
          <c:order val="2"/>
          <c:tx>
            <c:strRef>
              <c:f>Examples!$N$35</c:f>
              <c:strCache>
                <c:ptCount val="1"/>
                <c:pt idx="0">
                  <c:v>Data 3</c:v>
                </c:pt>
              </c:strCache>
            </c:strRef>
          </c:tx>
          <c:spPr>
            <a:ln w="25400" cap="rnd" cmpd="sng" algn="ctr">
              <a:solidFill>
                <a:srgbClr val="520F9A"/>
              </a:solidFill>
              <a:prstDash val="solid"/>
              <a:round/>
            </a:ln>
            <a:effectLst/>
          </c:spPr>
          <c:marker>
            <c:symbol val="none"/>
          </c:marker>
          <c:cat>
            <c:strRef>
              <c:f>Examples!$K$36:$K$43</c:f>
              <c:strCache>
                <c:ptCount val="8"/>
                <c:pt idx="0">
                  <c:v>1975-76</c:v>
                </c:pt>
                <c:pt idx="1">
                  <c:v>1983-84</c:v>
                </c:pt>
                <c:pt idx="2">
                  <c:v>1988-89</c:v>
                </c:pt>
                <c:pt idx="3">
                  <c:v>1993-94</c:v>
                </c:pt>
                <c:pt idx="4">
                  <c:v>1996-97</c:v>
                </c:pt>
                <c:pt idx="5">
                  <c:v>1997-98</c:v>
                </c:pt>
                <c:pt idx="6">
                  <c:v>1998-99</c:v>
                </c:pt>
                <c:pt idx="7">
                  <c:v>1999-00</c:v>
                </c:pt>
              </c:strCache>
            </c:strRef>
          </c:cat>
          <c:val>
            <c:numRef>
              <c:f>Examples!$N$36:$N$43</c:f>
              <c:numCache>
                <c:formatCode>General</c:formatCode>
                <c:ptCount val="8"/>
                <c:pt idx="0">
                  <c:v>21.56</c:v>
                </c:pt>
                <c:pt idx="1">
                  <c:v>21.6</c:v>
                </c:pt>
                <c:pt idx="2">
                  <c:v>18.350000000000001</c:v>
                </c:pt>
                <c:pt idx="3">
                  <c:v>21.6</c:v>
                </c:pt>
                <c:pt idx="4">
                  <c:v>23.98</c:v>
                </c:pt>
                <c:pt idx="5">
                  <c:v>21.6</c:v>
                </c:pt>
                <c:pt idx="6">
                  <c:v>21.6</c:v>
                </c:pt>
                <c:pt idx="7">
                  <c:v>26</c:v>
                </c:pt>
              </c:numCache>
            </c:numRef>
          </c:val>
          <c:smooth val="0"/>
          <c:extLst>
            <c:ext xmlns:c16="http://schemas.microsoft.com/office/drawing/2014/chart" uri="{C3380CC4-5D6E-409C-BE32-E72D297353CC}">
              <c16:uniqueId val="{00000002-A5DE-4167-9689-743C987B5753}"/>
            </c:ext>
          </c:extLst>
        </c:ser>
        <c:ser>
          <c:idx val="3"/>
          <c:order val="3"/>
          <c:tx>
            <c:strRef>
              <c:f>Examples!$O$35</c:f>
              <c:strCache>
                <c:ptCount val="1"/>
                <c:pt idx="0">
                  <c:v>Data 4</c:v>
                </c:pt>
              </c:strCache>
            </c:strRef>
          </c:tx>
          <c:spPr>
            <a:ln w="25400" cap="rnd" cmpd="sng" algn="ctr">
              <a:solidFill>
                <a:srgbClr val="009DDB"/>
              </a:solidFill>
              <a:prstDash val="solid"/>
              <a:round/>
            </a:ln>
            <a:effectLst/>
          </c:spPr>
          <c:marker>
            <c:symbol val="none"/>
          </c:marker>
          <c:cat>
            <c:strRef>
              <c:f>Examples!$K$36:$K$43</c:f>
              <c:strCache>
                <c:ptCount val="8"/>
                <c:pt idx="0">
                  <c:v>1975-76</c:v>
                </c:pt>
                <c:pt idx="1">
                  <c:v>1983-84</c:v>
                </c:pt>
                <c:pt idx="2">
                  <c:v>1988-89</c:v>
                </c:pt>
                <c:pt idx="3">
                  <c:v>1993-94</c:v>
                </c:pt>
                <c:pt idx="4">
                  <c:v>1996-97</c:v>
                </c:pt>
                <c:pt idx="5">
                  <c:v>1997-98</c:v>
                </c:pt>
                <c:pt idx="6">
                  <c:v>1998-99</c:v>
                </c:pt>
                <c:pt idx="7">
                  <c:v>1999-00</c:v>
                </c:pt>
              </c:strCache>
            </c:strRef>
          </c:cat>
          <c:val>
            <c:numRef>
              <c:f>Examples!$O$36:$O$43</c:f>
              <c:numCache>
                <c:formatCode>General</c:formatCode>
                <c:ptCount val="8"/>
                <c:pt idx="0">
                  <c:v>5.36</c:v>
                </c:pt>
                <c:pt idx="1">
                  <c:v>7.01</c:v>
                </c:pt>
                <c:pt idx="2">
                  <c:v>6.33</c:v>
                </c:pt>
                <c:pt idx="3">
                  <c:v>7.01</c:v>
                </c:pt>
                <c:pt idx="4">
                  <c:v>7</c:v>
                </c:pt>
                <c:pt idx="5">
                  <c:v>7.01</c:v>
                </c:pt>
                <c:pt idx="6">
                  <c:v>7.01</c:v>
                </c:pt>
                <c:pt idx="7">
                  <c:v>8</c:v>
                </c:pt>
              </c:numCache>
            </c:numRef>
          </c:val>
          <c:smooth val="0"/>
          <c:extLst>
            <c:ext xmlns:c16="http://schemas.microsoft.com/office/drawing/2014/chart" uri="{C3380CC4-5D6E-409C-BE32-E72D297353CC}">
              <c16:uniqueId val="{00000003-A5DE-4167-9689-743C987B5753}"/>
            </c:ext>
          </c:extLst>
        </c:ser>
        <c:ser>
          <c:idx val="4"/>
          <c:order val="4"/>
          <c:tx>
            <c:strRef>
              <c:f>Examples!$P$35</c:f>
              <c:strCache>
                <c:ptCount val="1"/>
                <c:pt idx="0">
                  <c:v>Data 5</c:v>
                </c:pt>
              </c:strCache>
            </c:strRef>
          </c:tx>
          <c:spPr>
            <a:ln w="25400" cap="rnd" cmpd="sng" algn="ctr">
              <a:solidFill>
                <a:srgbClr val="115F7E"/>
              </a:solidFill>
              <a:prstDash val="solid"/>
              <a:round/>
            </a:ln>
            <a:effectLst/>
          </c:spPr>
          <c:marker>
            <c:symbol val="none"/>
          </c:marker>
          <c:cat>
            <c:strRef>
              <c:f>Examples!$K$36:$K$43</c:f>
              <c:strCache>
                <c:ptCount val="8"/>
                <c:pt idx="0">
                  <c:v>1975-76</c:v>
                </c:pt>
                <c:pt idx="1">
                  <c:v>1983-84</c:v>
                </c:pt>
                <c:pt idx="2">
                  <c:v>1988-89</c:v>
                </c:pt>
                <c:pt idx="3">
                  <c:v>1993-94</c:v>
                </c:pt>
                <c:pt idx="4">
                  <c:v>1996-97</c:v>
                </c:pt>
                <c:pt idx="5">
                  <c:v>1997-98</c:v>
                </c:pt>
                <c:pt idx="6">
                  <c:v>1998-99</c:v>
                </c:pt>
                <c:pt idx="7">
                  <c:v>1999-00</c:v>
                </c:pt>
              </c:strCache>
            </c:strRef>
          </c:cat>
          <c:val>
            <c:numRef>
              <c:f>Examples!$P$36:$P$43</c:f>
              <c:numCache>
                <c:formatCode>General</c:formatCode>
                <c:ptCount val="8"/>
                <c:pt idx="0">
                  <c:v>3.01</c:v>
                </c:pt>
                <c:pt idx="1">
                  <c:v>3.36</c:v>
                </c:pt>
                <c:pt idx="2">
                  <c:v>2.63</c:v>
                </c:pt>
                <c:pt idx="3">
                  <c:v>2.72</c:v>
                </c:pt>
                <c:pt idx="4">
                  <c:v>2.57</c:v>
                </c:pt>
                <c:pt idx="5">
                  <c:v>3.36</c:v>
                </c:pt>
                <c:pt idx="6">
                  <c:v>2.72</c:v>
                </c:pt>
                <c:pt idx="7">
                  <c:v>2</c:v>
                </c:pt>
              </c:numCache>
            </c:numRef>
          </c:val>
          <c:smooth val="0"/>
          <c:extLst>
            <c:ext xmlns:c16="http://schemas.microsoft.com/office/drawing/2014/chart" uri="{C3380CC4-5D6E-409C-BE32-E72D297353CC}">
              <c16:uniqueId val="{00000004-A5DE-4167-9689-743C987B5753}"/>
            </c:ext>
          </c:extLst>
        </c:ser>
        <c:ser>
          <c:idx val="5"/>
          <c:order val="5"/>
          <c:tx>
            <c:strRef>
              <c:f>Examples!$Q$35</c:f>
              <c:strCache>
                <c:ptCount val="1"/>
                <c:pt idx="0">
                  <c:v>Data 6</c:v>
                </c:pt>
              </c:strCache>
            </c:strRef>
          </c:tx>
          <c:spPr>
            <a:ln w="25400" cap="rnd" cmpd="sng" algn="ctr">
              <a:solidFill>
                <a:srgbClr val="5DA4C1"/>
              </a:solidFill>
              <a:prstDash val="sysDot"/>
              <a:round/>
            </a:ln>
            <a:effectLst/>
          </c:spPr>
          <c:marker>
            <c:symbol val="none"/>
          </c:marker>
          <c:cat>
            <c:strRef>
              <c:f>Examples!$K$36:$K$43</c:f>
              <c:strCache>
                <c:ptCount val="8"/>
                <c:pt idx="0">
                  <c:v>1975-76</c:v>
                </c:pt>
                <c:pt idx="1">
                  <c:v>1983-84</c:v>
                </c:pt>
                <c:pt idx="2">
                  <c:v>1988-89</c:v>
                </c:pt>
                <c:pt idx="3">
                  <c:v>1993-94</c:v>
                </c:pt>
                <c:pt idx="4">
                  <c:v>1996-97</c:v>
                </c:pt>
                <c:pt idx="5">
                  <c:v>1997-98</c:v>
                </c:pt>
                <c:pt idx="6">
                  <c:v>1998-99</c:v>
                </c:pt>
                <c:pt idx="7">
                  <c:v>1999-00</c:v>
                </c:pt>
              </c:strCache>
            </c:strRef>
          </c:cat>
          <c:val>
            <c:numRef>
              <c:f>Examples!$Q$36:$Q$43</c:f>
              <c:numCache>
                <c:formatCode>General</c:formatCode>
                <c:ptCount val="8"/>
                <c:pt idx="0">
                  <c:v>10</c:v>
                </c:pt>
                <c:pt idx="1">
                  <c:v>12</c:v>
                </c:pt>
                <c:pt idx="2">
                  <c:v>14</c:v>
                </c:pt>
                <c:pt idx="3">
                  <c:v>16</c:v>
                </c:pt>
                <c:pt idx="4">
                  <c:v>18</c:v>
                </c:pt>
                <c:pt idx="5">
                  <c:v>12</c:v>
                </c:pt>
                <c:pt idx="6">
                  <c:v>16</c:v>
                </c:pt>
                <c:pt idx="7">
                  <c:v>20</c:v>
                </c:pt>
              </c:numCache>
            </c:numRef>
          </c:val>
          <c:smooth val="0"/>
          <c:extLst>
            <c:ext xmlns:c16="http://schemas.microsoft.com/office/drawing/2014/chart" uri="{C3380CC4-5D6E-409C-BE32-E72D297353CC}">
              <c16:uniqueId val="{00000005-A5DE-4167-9689-743C987B5753}"/>
            </c:ext>
          </c:extLst>
        </c:ser>
        <c:dLbls>
          <c:showLegendKey val="0"/>
          <c:showVal val="0"/>
          <c:showCatName val="0"/>
          <c:showSerName val="0"/>
          <c:showPercent val="0"/>
          <c:showBubbleSize val="0"/>
        </c:dLbls>
        <c:smooth val="0"/>
        <c:axId val="671124440"/>
        <c:axId val="671125616"/>
      </c:lineChart>
      <c:catAx>
        <c:axId val="671124440"/>
        <c:scaling>
          <c:orientation val="minMax"/>
        </c:scaling>
        <c:delete val="0"/>
        <c:axPos val="b"/>
        <c:numFmt formatCode="General" sourceLinked="1"/>
        <c:majorTickMark val="out"/>
        <c:minorTickMark val="none"/>
        <c:tickLblPos val="nextTo"/>
        <c:spPr>
          <a:noFill/>
          <a:ln w="12700" cap="flat" cmpd="sng" algn="ctr">
            <a:solidFill>
              <a:schemeClr val="bg2">
                <a:lumMod val="20000"/>
                <a:lumOff val="80000"/>
              </a:scheme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671125616"/>
        <c:crosses val="autoZero"/>
        <c:auto val="1"/>
        <c:lblAlgn val="ctr"/>
        <c:lblOffset val="100"/>
        <c:tickLblSkip val="1"/>
        <c:tickMarkSkip val="1"/>
        <c:noMultiLvlLbl val="0"/>
      </c:catAx>
      <c:valAx>
        <c:axId val="671125616"/>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General" sourceLinked="1"/>
        <c:majorTickMark val="out"/>
        <c:minorTickMark val="none"/>
        <c:tickLblPos val="nextTo"/>
        <c:spPr>
          <a:noFill/>
          <a:ln w="12700" cap="flat" cmpd="sng" algn="ctr">
            <a:solidFill>
              <a:schemeClr val="bg2">
                <a:lumMod val="20000"/>
                <a:lumOff val="80000"/>
              </a:scheme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671124440"/>
        <c:crosses val="autoZero"/>
        <c:crossBetween val="midCat"/>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rgbClr val="000000"/>
          </a:solidFill>
          <a:latin typeface="Raleway" panose="020B0503030101060003" pitchFamily="34" charset="0"/>
          <a:ea typeface="Myriad Pro"/>
          <a:cs typeface="Arial" pitchFamily="34" charset="0"/>
        </a:defRPr>
      </a:pPr>
      <a:endParaRPr lang="en-US"/>
    </a:p>
  </c:txPr>
  <c:printSettings>
    <c:headerFooter alignWithMargins="0">
      <c:oddHeader>&amp;A</c:oddHeader>
      <c:oddFooter>Page &amp;P</c:oddFooter>
    </c:headerFooter>
    <c:pageMargins b="0.98425196850393704" l="0.74803149606299213" r="0.74803149606299213" t="0.98425196850393704" header="0.51181102362204722" footer="0.51181102362204722"/>
    <c:pageSetup paperSize="9" orientation="landscape" horizontalDpi="-3"/>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337392349972381"/>
          <c:y val="0.16025709996466989"/>
          <c:w val="0.42891641963317667"/>
          <c:h val="0.71154152384313429"/>
        </c:manualLayout>
      </c:layout>
      <c:ofPieChart>
        <c:ofPieType val="bar"/>
        <c:varyColors val="1"/>
        <c:ser>
          <c:idx val="0"/>
          <c:order val="0"/>
          <c:tx>
            <c:strRef>
              <c:f>Examples!$A$36</c:f>
              <c:strCache>
                <c:ptCount val="1"/>
                <c:pt idx="0">
                  <c:v>1975-76</c:v>
                </c:pt>
              </c:strCache>
            </c:strRef>
          </c:tx>
          <c:dPt>
            <c:idx val="0"/>
            <c:bubble3D val="0"/>
            <c:spPr>
              <a:solidFill>
                <a:srgbClr val="0352A1"/>
              </a:solidFill>
              <a:ln>
                <a:noFill/>
              </a:ln>
              <a:effectLst/>
            </c:spPr>
            <c:extLst>
              <c:ext xmlns:c16="http://schemas.microsoft.com/office/drawing/2014/chart" uri="{C3380CC4-5D6E-409C-BE32-E72D297353CC}">
                <c16:uniqueId val="{00000001-314D-4FF1-83E5-0D5C3E47A88E}"/>
              </c:ext>
            </c:extLst>
          </c:dPt>
          <c:dPt>
            <c:idx val="1"/>
            <c:bubble3D val="0"/>
            <c:spPr>
              <a:solidFill>
                <a:srgbClr val="66C5EA"/>
              </a:solidFill>
              <a:ln>
                <a:noFill/>
              </a:ln>
              <a:effectLst/>
            </c:spPr>
            <c:extLst>
              <c:ext xmlns:c16="http://schemas.microsoft.com/office/drawing/2014/chart" uri="{C3380CC4-5D6E-409C-BE32-E72D297353CC}">
                <c16:uniqueId val="{00000003-314D-4FF1-83E5-0D5C3E47A88E}"/>
              </c:ext>
            </c:extLst>
          </c:dPt>
          <c:dPt>
            <c:idx val="2"/>
            <c:bubble3D val="0"/>
            <c:spPr>
              <a:solidFill>
                <a:schemeClr val="accent5"/>
              </a:solidFill>
              <a:ln>
                <a:noFill/>
              </a:ln>
              <a:effectLst/>
            </c:spPr>
            <c:extLst>
              <c:ext xmlns:c16="http://schemas.microsoft.com/office/drawing/2014/chart" uri="{C3380CC4-5D6E-409C-BE32-E72D297353CC}">
                <c16:uniqueId val="{00000005-314D-4FF1-83E5-0D5C3E47A88E}"/>
              </c:ext>
            </c:extLst>
          </c:dPt>
          <c:dPt>
            <c:idx val="3"/>
            <c:bubble3D val="0"/>
            <c:spPr>
              <a:solidFill>
                <a:srgbClr val="177DA6"/>
              </a:solidFill>
              <a:ln>
                <a:noFill/>
              </a:ln>
              <a:effectLst/>
            </c:spPr>
            <c:extLst>
              <c:ext xmlns:c16="http://schemas.microsoft.com/office/drawing/2014/chart" uri="{C3380CC4-5D6E-409C-BE32-E72D297353CC}">
                <c16:uniqueId val="{00000007-314D-4FF1-83E5-0D5C3E47A88E}"/>
              </c:ext>
            </c:extLst>
          </c:dPt>
          <c:dPt>
            <c:idx val="4"/>
            <c:bubble3D val="0"/>
            <c:spPr>
              <a:solidFill>
                <a:srgbClr val="D1FFF0"/>
              </a:solidFill>
              <a:ln>
                <a:noFill/>
              </a:ln>
              <a:effectLst/>
            </c:spPr>
            <c:extLst>
              <c:ext xmlns:c16="http://schemas.microsoft.com/office/drawing/2014/chart" uri="{C3380CC4-5D6E-409C-BE32-E72D297353CC}">
                <c16:uniqueId val="{00000009-314D-4FF1-83E5-0D5C3E47A88E}"/>
              </c:ext>
            </c:extLst>
          </c:dPt>
          <c:dPt>
            <c:idx val="5"/>
            <c:bubble3D val="0"/>
            <c:spPr>
              <a:solidFill>
                <a:srgbClr val="00A46D"/>
              </a:solidFill>
              <a:ln>
                <a:noFill/>
              </a:ln>
              <a:effectLst/>
            </c:spPr>
            <c:extLst>
              <c:ext xmlns:c16="http://schemas.microsoft.com/office/drawing/2014/chart" uri="{C3380CC4-5D6E-409C-BE32-E72D297353CC}">
                <c16:uniqueId val="{0000000B-314D-4FF1-83E5-0D5C3E47A88E}"/>
              </c:ext>
            </c:extLst>
          </c:dPt>
          <c:dPt>
            <c:idx val="6"/>
            <c:bubble3D val="0"/>
            <c:spPr>
              <a:solidFill>
                <a:srgbClr val="006C49"/>
              </a:solidFill>
              <a:ln>
                <a:noFill/>
              </a:ln>
              <a:effectLst/>
            </c:spPr>
            <c:extLst>
              <c:ext xmlns:c16="http://schemas.microsoft.com/office/drawing/2014/chart" uri="{C3380CC4-5D6E-409C-BE32-E72D297353CC}">
                <c16:uniqueId val="{0000000D-314D-4FF1-83E5-0D5C3E47A88E}"/>
              </c:ext>
            </c:extLst>
          </c:dPt>
          <c:dPt>
            <c:idx val="7"/>
            <c:bubble3D val="0"/>
            <c:spPr>
              <a:solidFill>
                <a:srgbClr val="006C49"/>
              </a:solidFill>
              <a:ln>
                <a:noFill/>
              </a:ln>
              <a:effectLst/>
            </c:spPr>
            <c:extLst>
              <c:ext xmlns:c16="http://schemas.microsoft.com/office/drawing/2014/chart" uri="{C3380CC4-5D6E-409C-BE32-E72D297353CC}">
                <c16:uniqueId val="{0000000F-314D-4FF1-83E5-0D5C3E47A88E}"/>
              </c:ext>
            </c:extLst>
          </c:dPt>
          <c:dLbls>
            <c:dLbl>
              <c:idx val="0"/>
              <c:numFmt formatCode="0%" sourceLinked="0"/>
              <c:spPr>
                <a:noFill/>
                <a:ln w="25400">
                  <a:noFill/>
                </a:ln>
                <a:effectLst/>
              </c:spPr>
              <c:txPr>
                <a:bodyPr rot="0" spcFirstLastPara="1" vertOverflow="ellipsis" vert="horz" wrap="square" anchor="ctr" anchorCtr="1"/>
                <a:lstStyle/>
                <a:p>
                  <a:pPr>
                    <a:defRPr sz="900" b="0" i="0" u="none" strike="noStrike" kern="1200" baseline="0">
                      <a:solidFill>
                        <a:schemeClr val="bg1"/>
                      </a:solidFill>
                      <a:latin typeface="Arial" pitchFamily="34" charset="0"/>
                      <a:ea typeface="Myriad Pro"/>
                      <a:cs typeface="Arial"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01-314D-4FF1-83E5-0D5C3E47A88E}"/>
                </c:ext>
              </c:extLst>
            </c:dLbl>
            <c:dLbl>
              <c:idx val="1"/>
              <c:numFmt formatCode="0%" sourceLinked="0"/>
              <c:spPr>
                <a:noFill/>
                <a:ln w="25400">
                  <a:noFill/>
                </a:ln>
                <a:effectLst/>
              </c:spPr>
              <c:txPr>
                <a:bodyPr rot="0" spcFirstLastPara="1" vertOverflow="ellipsis" vert="horz" wrap="square" anchor="ctr" anchorCtr="1"/>
                <a:lstStyle/>
                <a:p>
                  <a:pPr>
                    <a:defRPr sz="900" b="0" i="0" u="none" strike="noStrike" kern="1200" baseline="0">
                      <a:solidFill>
                        <a:schemeClr val="bg1"/>
                      </a:solidFill>
                      <a:latin typeface="Arial" pitchFamily="34" charset="0"/>
                      <a:ea typeface="Myriad Pro"/>
                      <a:cs typeface="Arial"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03-314D-4FF1-83E5-0D5C3E47A88E}"/>
                </c:ext>
              </c:extLst>
            </c:dLbl>
            <c:dLbl>
              <c:idx val="2"/>
              <c:numFmt formatCode="0%" sourceLinked="0"/>
              <c:spPr>
                <a:noFill/>
                <a:ln w="25400">
                  <a:noFill/>
                </a:ln>
                <a:effectLst/>
              </c:spPr>
              <c:txPr>
                <a:bodyPr rot="0" spcFirstLastPara="1" vertOverflow="ellipsis" vert="horz" wrap="square" anchor="ctr" anchorCtr="1"/>
                <a:lstStyle/>
                <a:p>
                  <a:pPr>
                    <a:defRPr sz="900" b="0" i="0" u="none" strike="noStrike" kern="1200" baseline="0">
                      <a:solidFill>
                        <a:schemeClr val="bg1"/>
                      </a:solidFill>
                      <a:latin typeface="Arial" pitchFamily="34" charset="0"/>
                      <a:ea typeface="Myriad Pro"/>
                      <a:cs typeface="Arial"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05-314D-4FF1-83E5-0D5C3E47A88E}"/>
                </c:ext>
              </c:extLst>
            </c:dLbl>
            <c:dLbl>
              <c:idx val="7"/>
              <c:numFmt formatCode="0%" sourceLinked="0"/>
              <c:spPr>
                <a:noFill/>
                <a:ln w="25400">
                  <a:noFill/>
                </a:ln>
                <a:effectLst/>
              </c:spPr>
              <c:txPr>
                <a:bodyPr rot="0" spcFirstLastPara="1" vertOverflow="ellipsis" vert="horz" wrap="square" anchor="ctr" anchorCtr="1"/>
                <a:lstStyle/>
                <a:p>
                  <a:pPr>
                    <a:defRPr sz="900" b="0" i="0" u="none" strike="noStrike" kern="1200" baseline="0">
                      <a:solidFill>
                        <a:schemeClr val="bg1"/>
                      </a:solidFill>
                      <a:latin typeface="Arial" pitchFamily="34" charset="0"/>
                      <a:ea typeface="Myriad Pro"/>
                      <a:cs typeface="Arial"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0F-314D-4FF1-83E5-0D5C3E47A88E}"/>
                </c:ext>
              </c:extLst>
            </c:dLbl>
            <c:numFmt formatCode="0%" sourceLinked="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pitchFamily="34" charset="0"/>
                    <a:ea typeface="Myriad Pro"/>
                    <a:cs typeface="Arial"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Examples!$B$35:$H$35</c:f>
              <c:strCache>
                <c:ptCount val="7"/>
                <c:pt idx="0">
                  <c:v>Data 1</c:v>
                </c:pt>
                <c:pt idx="1">
                  <c:v>Data 2</c:v>
                </c:pt>
                <c:pt idx="2">
                  <c:v>Data 3</c:v>
                </c:pt>
                <c:pt idx="3">
                  <c:v>Data 4</c:v>
                </c:pt>
                <c:pt idx="4">
                  <c:v>Data 5</c:v>
                </c:pt>
                <c:pt idx="5">
                  <c:v>Data 6</c:v>
                </c:pt>
                <c:pt idx="6">
                  <c:v>Data 7</c:v>
                </c:pt>
              </c:strCache>
            </c:strRef>
          </c:cat>
          <c:val>
            <c:numRef>
              <c:f>Examples!$B$36:$H$36</c:f>
              <c:numCache>
                <c:formatCode>General</c:formatCode>
                <c:ptCount val="7"/>
                <c:pt idx="0">
                  <c:v>36.19</c:v>
                </c:pt>
                <c:pt idx="1">
                  <c:v>36.880000000000003</c:v>
                </c:pt>
                <c:pt idx="2">
                  <c:v>21.56</c:v>
                </c:pt>
                <c:pt idx="3">
                  <c:v>5.36</c:v>
                </c:pt>
                <c:pt idx="4">
                  <c:v>3.01</c:v>
                </c:pt>
                <c:pt idx="5">
                  <c:v>10</c:v>
                </c:pt>
                <c:pt idx="6">
                  <c:v>5.2</c:v>
                </c:pt>
              </c:numCache>
            </c:numRef>
          </c:val>
          <c:extLst>
            <c:ext xmlns:c16="http://schemas.microsoft.com/office/drawing/2014/chart" uri="{C3380CC4-5D6E-409C-BE32-E72D297353CC}">
              <c16:uniqueId val="{00000010-314D-4FF1-83E5-0D5C3E47A88E}"/>
            </c:ext>
          </c:extLst>
        </c:ser>
        <c:dLbls>
          <c:showLegendKey val="0"/>
          <c:showVal val="0"/>
          <c:showCatName val="1"/>
          <c:showSerName val="0"/>
          <c:showPercent val="1"/>
          <c:showBubbleSize val="0"/>
          <c:showLeaderLines val="1"/>
        </c:dLbls>
        <c:gapWidth val="100"/>
        <c:splitType val="pos"/>
        <c:splitPos val="3"/>
        <c:secondPieSize val="70"/>
        <c:serLines>
          <c:spPr>
            <a:ln w="3175" cap="flat" cmpd="sng" algn="ctr">
              <a:solidFill>
                <a:srgbClr val="000000"/>
              </a:solidFill>
              <a:prstDash val="solid"/>
              <a:round/>
            </a:ln>
            <a:effectLst/>
          </c:spPr>
        </c:serLines>
      </c:ofPie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sz="900" b="0" i="0" u="none" strike="noStrike" baseline="0">
          <a:solidFill>
            <a:srgbClr val="000000"/>
          </a:solidFill>
          <a:latin typeface="Myriad Pro"/>
          <a:ea typeface="Myriad Pro"/>
          <a:cs typeface="Myriad Pro"/>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421784559343046E-2"/>
          <c:y val="7.987260942800993E-2"/>
          <c:w val="0.93132694487765588"/>
          <c:h val="0.67906765614718934"/>
        </c:manualLayout>
      </c:layout>
      <c:barChart>
        <c:barDir val="col"/>
        <c:grouping val="clustered"/>
        <c:varyColors val="0"/>
        <c:ser>
          <c:idx val="0"/>
          <c:order val="0"/>
          <c:tx>
            <c:strRef>
              <c:f>Examples!$A$36</c:f>
              <c:strCache>
                <c:ptCount val="1"/>
                <c:pt idx="0">
                  <c:v>1975-76</c:v>
                </c:pt>
              </c:strCache>
            </c:strRef>
          </c:tx>
          <c:spPr>
            <a:solidFill>
              <a:srgbClr val="5DA4C1"/>
            </a:solidFill>
            <a:ln w="9525">
              <a:solidFill>
                <a:schemeClr val="bg1"/>
              </a:solidFill>
            </a:ln>
            <a:effectLst/>
          </c:spPr>
          <c:invertIfNegative val="0"/>
          <c:cat>
            <c:strRef>
              <c:f>Examples!$B$35:$D$35</c:f>
              <c:strCache>
                <c:ptCount val="3"/>
                <c:pt idx="0">
                  <c:v>Data 1</c:v>
                </c:pt>
                <c:pt idx="1">
                  <c:v>Data 2</c:v>
                </c:pt>
                <c:pt idx="2">
                  <c:v>Data 3</c:v>
                </c:pt>
              </c:strCache>
            </c:strRef>
          </c:cat>
          <c:val>
            <c:numRef>
              <c:f>Examples!$B$36:$D$36</c:f>
              <c:numCache>
                <c:formatCode>General</c:formatCode>
                <c:ptCount val="3"/>
                <c:pt idx="0">
                  <c:v>36.19</c:v>
                </c:pt>
                <c:pt idx="1">
                  <c:v>36.880000000000003</c:v>
                </c:pt>
                <c:pt idx="2">
                  <c:v>21.56</c:v>
                </c:pt>
              </c:numCache>
            </c:numRef>
          </c:val>
          <c:extLst>
            <c:ext xmlns:c16="http://schemas.microsoft.com/office/drawing/2014/chart" uri="{C3380CC4-5D6E-409C-BE32-E72D297353CC}">
              <c16:uniqueId val="{00000000-3558-4AC7-90CB-BB3DD48DCFFB}"/>
            </c:ext>
          </c:extLst>
        </c:ser>
        <c:ser>
          <c:idx val="1"/>
          <c:order val="1"/>
          <c:tx>
            <c:strRef>
              <c:f>Examples!$A$37</c:f>
              <c:strCache>
                <c:ptCount val="1"/>
                <c:pt idx="0">
                  <c:v>1983-84</c:v>
                </c:pt>
              </c:strCache>
            </c:strRef>
          </c:tx>
          <c:spPr>
            <a:solidFill>
              <a:schemeClr val="accent6"/>
            </a:solidFill>
            <a:ln w="9525">
              <a:solidFill>
                <a:schemeClr val="bg1"/>
              </a:solidFill>
            </a:ln>
            <a:effectLst/>
          </c:spPr>
          <c:invertIfNegative val="0"/>
          <c:cat>
            <c:strRef>
              <c:f>Examples!$B$35:$D$35</c:f>
              <c:strCache>
                <c:ptCount val="3"/>
                <c:pt idx="0">
                  <c:v>Data 1</c:v>
                </c:pt>
                <c:pt idx="1">
                  <c:v>Data 2</c:v>
                </c:pt>
                <c:pt idx="2">
                  <c:v>Data 3</c:v>
                </c:pt>
              </c:strCache>
            </c:strRef>
          </c:cat>
          <c:val>
            <c:numRef>
              <c:f>Examples!$B$37:$D$37</c:f>
              <c:numCache>
                <c:formatCode>General</c:formatCode>
                <c:ptCount val="3"/>
                <c:pt idx="0">
                  <c:v>39.39</c:v>
                </c:pt>
                <c:pt idx="1">
                  <c:v>32.020000000000003</c:v>
                </c:pt>
                <c:pt idx="2">
                  <c:v>21.6</c:v>
                </c:pt>
              </c:numCache>
            </c:numRef>
          </c:val>
          <c:extLst>
            <c:ext xmlns:c16="http://schemas.microsoft.com/office/drawing/2014/chart" uri="{C3380CC4-5D6E-409C-BE32-E72D297353CC}">
              <c16:uniqueId val="{00000001-3558-4AC7-90CB-BB3DD48DCFFB}"/>
            </c:ext>
          </c:extLst>
        </c:ser>
        <c:ser>
          <c:idx val="2"/>
          <c:order val="2"/>
          <c:tx>
            <c:strRef>
              <c:f>Examples!$A$38</c:f>
              <c:strCache>
                <c:ptCount val="1"/>
                <c:pt idx="0">
                  <c:v>1988-89</c:v>
                </c:pt>
              </c:strCache>
            </c:strRef>
          </c:tx>
          <c:spPr>
            <a:solidFill>
              <a:schemeClr val="accent5"/>
            </a:solidFill>
            <a:ln w="9525">
              <a:solidFill>
                <a:schemeClr val="bg1"/>
              </a:solidFill>
            </a:ln>
            <a:effectLst/>
          </c:spPr>
          <c:invertIfNegative val="0"/>
          <c:cat>
            <c:strRef>
              <c:f>Examples!$B$35:$D$35</c:f>
              <c:strCache>
                <c:ptCount val="3"/>
                <c:pt idx="0">
                  <c:v>Data 1</c:v>
                </c:pt>
                <c:pt idx="1">
                  <c:v>Data 2</c:v>
                </c:pt>
                <c:pt idx="2">
                  <c:v>Data 3</c:v>
                </c:pt>
              </c:strCache>
            </c:strRef>
          </c:cat>
          <c:val>
            <c:numRef>
              <c:f>Examples!$B$38:$D$38</c:f>
              <c:numCache>
                <c:formatCode>General</c:formatCode>
                <c:ptCount val="3"/>
                <c:pt idx="0">
                  <c:v>42.78</c:v>
                </c:pt>
                <c:pt idx="1">
                  <c:v>29.91</c:v>
                </c:pt>
                <c:pt idx="2">
                  <c:v>18.350000000000001</c:v>
                </c:pt>
              </c:numCache>
            </c:numRef>
          </c:val>
          <c:extLst>
            <c:ext xmlns:c16="http://schemas.microsoft.com/office/drawing/2014/chart" uri="{C3380CC4-5D6E-409C-BE32-E72D297353CC}">
              <c16:uniqueId val="{00000002-3558-4AC7-90CB-BB3DD48DCFFB}"/>
            </c:ext>
          </c:extLst>
        </c:ser>
        <c:ser>
          <c:idx val="3"/>
          <c:order val="3"/>
          <c:tx>
            <c:strRef>
              <c:f>Examples!$A$39</c:f>
              <c:strCache>
                <c:ptCount val="1"/>
                <c:pt idx="0">
                  <c:v>1993-94</c:v>
                </c:pt>
              </c:strCache>
            </c:strRef>
          </c:tx>
          <c:spPr>
            <a:solidFill>
              <a:srgbClr val="66C5EA"/>
            </a:solidFill>
            <a:ln>
              <a:solidFill>
                <a:schemeClr val="bg1"/>
              </a:solidFill>
            </a:ln>
            <a:effectLst/>
          </c:spPr>
          <c:invertIfNegative val="0"/>
          <c:cat>
            <c:strRef>
              <c:f>Examples!$B$35:$D$35</c:f>
              <c:strCache>
                <c:ptCount val="3"/>
                <c:pt idx="0">
                  <c:v>Data 1</c:v>
                </c:pt>
                <c:pt idx="1">
                  <c:v>Data 2</c:v>
                </c:pt>
                <c:pt idx="2">
                  <c:v>Data 3</c:v>
                </c:pt>
              </c:strCache>
            </c:strRef>
          </c:cat>
          <c:val>
            <c:numRef>
              <c:f>Examples!$B$39:$D$39</c:f>
              <c:numCache>
                <c:formatCode>General</c:formatCode>
                <c:ptCount val="3"/>
                <c:pt idx="0">
                  <c:v>42.13</c:v>
                </c:pt>
                <c:pt idx="1">
                  <c:v>26.53</c:v>
                </c:pt>
                <c:pt idx="2">
                  <c:v>21.6</c:v>
                </c:pt>
              </c:numCache>
            </c:numRef>
          </c:val>
          <c:extLst>
            <c:ext xmlns:c16="http://schemas.microsoft.com/office/drawing/2014/chart" uri="{C3380CC4-5D6E-409C-BE32-E72D297353CC}">
              <c16:uniqueId val="{00000003-3558-4AC7-90CB-BB3DD48DCFFB}"/>
            </c:ext>
          </c:extLst>
        </c:ser>
        <c:ser>
          <c:idx val="4"/>
          <c:order val="4"/>
          <c:tx>
            <c:strRef>
              <c:f>Examples!$A$40</c:f>
              <c:strCache>
                <c:ptCount val="1"/>
                <c:pt idx="0">
                  <c:v>1996-97</c:v>
                </c:pt>
              </c:strCache>
            </c:strRef>
          </c:tx>
          <c:spPr>
            <a:solidFill>
              <a:srgbClr val="0352A1"/>
            </a:solidFill>
            <a:ln>
              <a:solidFill>
                <a:schemeClr val="bg1"/>
              </a:solidFill>
            </a:ln>
            <a:effectLst/>
          </c:spPr>
          <c:invertIfNegative val="0"/>
          <c:cat>
            <c:strRef>
              <c:f>Examples!$B$35:$D$35</c:f>
              <c:strCache>
                <c:ptCount val="3"/>
                <c:pt idx="0">
                  <c:v>Data 1</c:v>
                </c:pt>
                <c:pt idx="1">
                  <c:v>Data 2</c:v>
                </c:pt>
                <c:pt idx="2">
                  <c:v>Data 3</c:v>
                </c:pt>
              </c:strCache>
            </c:strRef>
          </c:cat>
          <c:val>
            <c:numRef>
              <c:f>Examples!$B$40:$D$40</c:f>
              <c:numCache>
                <c:formatCode>General</c:formatCode>
                <c:ptCount val="3"/>
                <c:pt idx="0">
                  <c:v>41.69</c:v>
                </c:pt>
                <c:pt idx="1">
                  <c:v>24.76</c:v>
                </c:pt>
                <c:pt idx="2">
                  <c:v>23.98</c:v>
                </c:pt>
              </c:numCache>
            </c:numRef>
          </c:val>
          <c:extLst>
            <c:ext xmlns:c16="http://schemas.microsoft.com/office/drawing/2014/chart" uri="{C3380CC4-5D6E-409C-BE32-E72D297353CC}">
              <c16:uniqueId val="{00000004-3558-4AC7-90CB-BB3DD48DCFFB}"/>
            </c:ext>
          </c:extLst>
        </c:ser>
        <c:dLbls>
          <c:showLegendKey val="0"/>
          <c:showVal val="0"/>
          <c:showCatName val="0"/>
          <c:showSerName val="0"/>
          <c:showPercent val="0"/>
          <c:showBubbleSize val="0"/>
        </c:dLbls>
        <c:gapWidth val="150"/>
        <c:axId val="662859112"/>
        <c:axId val="662828144"/>
      </c:barChart>
      <c:catAx>
        <c:axId val="662859112"/>
        <c:scaling>
          <c:orientation val="minMax"/>
        </c:scaling>
        <c:delete val="0"/>
        <c:axPos val="b"/>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62828144"/>
        <c:crosses val="autoZero"/>
        <c:auto val="1"/>
        <c:lblAlgn val="ctr"/>
        <c:lblOffset val="100"/>
        <c:tickLblSkip val="1"/>
        <c:tickMarkSkip val="1"/>
        <c:noMultiLvlLbl val="0"/>
      </c:catAx>
      <c:valAx>
        <c:axId val="662828144"/>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62859112"/>
        <c:crosses val="autoZero"/>
        <c:crossBetween val="between"/>
      </c:valAx>
      <c:spPr>
        <a:noFill/>
        <a:ln w="25400">
          <a:noFill/>
        </a:ln>
        <a:effectLst/>
      </c:spPr>
    </c:plotArea>
    <c:legend>
      <c:legendPos val="b"/>
      <c:layout>
        <c:manualLayout>
          <c:xMode val="edge"/>
          <c:yMode val="edge"/>
          <c:x val="8.4658526065817929E-3"/>
          <c:y val="0.87755852641399212"/>
          <c:w val="0.97804529931266793"/>
          <c:h val="0.11997817050752549"/>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98861480075907E-2"/>
          <c:y val="6.0836501901140684E-2"/>
          <c:w val="0.91285951671683474"/>
          <c:h val="0.68295269983258788"/>
        </c:manualLayout>
      </c:layout>
      <c:barChart>
        <c:barDir val="col"/>
        <c:grouping val="stacked"/>
        <c:varyColors val="0"/>
        <c:ser>
          <c:idx val="0"/>
          <c:order val="0"/>
          <c:tx>
            <c:strRef>
              <c:f>Examples!$B$35</c:f>
              <c:strCache>
                <c:ptCount val="1"/>
                <c:pt idx="0">
                  <c:v>Data 1</c:v>
                </c:pt>
              </c:strCache>
            </c:strRef>
          </c:tx>
          <c:spPr>
            <a:solidFill>
              <a:srgbClr val="5DA4C1"/>
            </a:solidFill>
            <a:ln w="12700">
              <a:solidFill>
                <a:schemeClr val="bg1"/>
              </a:solidFill>
            </a:ln>
            <a:effectLst/>
          </c:spPr>
          <c:invertIfNegative val="0"/>
          <c:cat>
            <c:strRef>
              <c:f>Examples!$A$36:$A$38</c:f>
              <c:strCache>
                <c:ptCount val="3"/>
                <c:pt idx="0">
                  <c:v>1975-76</c:v>
                </c:pt>
                <c:pt idx="1">
                  <c:v>1983-84</c:v>
                </c:pt>
                <c:pt idx="2">
                  <c:v>1988-89</c:v>
                </c:pt>
              </c:strCache>
            </c:strRef>
          </c:cat>
          <c:val>
            <c:numRef>
              <c:f>Examples!$B$36:$B$38</c:f>
              <c:numCache>
                <c:formatCode>General</c:formatCode>
                <c:ptCount val="3"/>
                <c:pt idx="0">
                  <c:v>36.19</c:v>
                </c:pt>
                <c:pt idx="1">
                  <c:v>39.39</c:v>
                </c:pt>
                <c:pt idx="2">
                  <c:v>42.78</c:v>
                </c:pt>
              </c:numCache>
            </c:numRef>
          </c:val>
          <c:extLst>
            <c:ext xmlns:c16="http://schemas.microsoft.com/office/drawing/2014/chart" uri="{C3380CC4-5D6E-409C-BE32-E72D297353CC}">
              <c16:uniqueId val="{00000000-FDC1-49B5-B902-0884651ACB29}"/>
            </c:ext>
          </c:extLst>
        </c:ser>
        <c:ser>
          <c:idx val="1"/>
          <c:order val="1"/>
          <c:tx>
            <c:strRef>
              <c:f>Examples!$C$35</c:f>
              <c:strCache>
                <c:ptCount val="1"/>
                <c:pt idx="0">
                  <c:v>Data 2</c:v>
                </c:pt>
              </c:strCache>
            </c:strRef>
          </c:tx>
          <c:spPr>
            <a:solidFill>
              <a:schemeClr val="accent6"/>
            </a:solidFill>
            <a:ln w="12700">
              <a:solidFill>
                <a:schemeClr val="bg1"/>
              </a:solidFill>
            </a:ln>
            <a:effectLst/>
          </c:spPr>
          <c:invertIfNegative val="0"/>
          <c:cat>
            <c:strRef>
              <c:f>Examples!$A$36:$A$38</c:f>
              <c:strCache>
                <c:ptCount val="3"/>
                <c:pt idx="0">
                  <c:v>1975-76</c:v>
                </c:pt>
                <c:pt idx="1">
                  <c:v>1983-84</c:v>
                </c:pt>
                <c:pt idx="2">
                  <c:v>1988-89</c:v>
                </c:pt>
              </c:strCache>
            </c:strRef>
          </c:cat>
          <c:val>
            <c:numRef>
              <c:f>Examples!$C$36:$C$38</c:f>
              <c:numCache>
                <c:formatCode>General</c:formatCode>
                <c:ptCount val="3"/>
                <c:pt idx="0">
                  <c:v>36.880000000000003</c:v>
                </c:pt>
                <c:pt idx="1">
                  <c:v>32.020000000000003</c:v>
                </c:pt>
                <c:pt idx="2">
                  <c:v>29.91</c:v>
                </c:pt>
              </c:numCache>
            </c:numRef>
          </c:val>
          <c:extLst>
            <c:ext xmlns:c16="http://schemas.microsoft.com/office/drawing/2014/chart" uri="{C3380CC4-5D6E-409C-BE32-E72D297353CC}">
              <c16:uniqueId val="{00000001-FDC1-49B5-B902-0884651ACB29}"/>
            </c:ext>
          </c:extLst>
        </c:ser>
        <c:ser>
          <c:idx val="2"/>
          <c:order val="2"/>
          <c:tx>
            <c:strRef>
              <c:f>Examples!$D$35</c:f>
              <c:strCache>
                <c:ptCount val="1"/>
                <c:pt idx="0">
                  <c:v>Data 3</c:v>
                </c:pt>
              </c:strCache>
            </c:strRef>
          </c:tx>
          <c:spPr>
            <a:solidFill>
              <a:schemeClr val="accent5"/>
            </a:solidFill>
            <a:ln w="12700">
              <a:solidFill>
                <a:schemeClr val="bg1"/>
              </a:solidFill>
            </a:ln>
            <a:effectLst/>
          </c:spPr>
          <c:invertIfNegative val="0"/>
          <c:cat>
            <c:strRef>
              <c:f>Examples!$A$36:$A$38</c:f>
              <c:strCache>
                <c:ptCount val="3"/>
                <c:pt idx="0">
                  <c:v>1975-76</c:v>
                </c:pt>
                <c:pt idx="1">
                  <c:v>1983-84</c:v>
                </c:pt>
                <c:pt idx="2">
                  <c:v>1988-89</c:v>
                </c:pt>
              </c:strCache>
            </c:strRef>
          </c:cat>
          <c:val>
            <c:numRef>
              <c:f>Examples!$D$36:$D$38</c:f>
              <c:numCache>
                <c:formatCode>General</c:formatCode>
                <c:ptCount val="3"/>
                <c:pt idx="0">
                  <c:v>21.56</c:v>
                </c:pt>
                <c:pt idx="1">
                  <c:v>21.6</c:v>
                </c:pt>
                <c:pt idx="2">
                  <c:v>18.350000000000001</c:v>
                </c:pt>
              </c:numCache>
            </c:numRef>
          </c:val>
          <c:extLst>
            <c:ext xmlns:c16="http://schemas.microsoft.com/office/drawing/2014/chart" uri="{C3380CC4-5D6E-409C-BE32-E72D297353CC}">
              <c16:uniqueId val="{00000002-FDC1-49B5-B902-0884651ACB29}"/>
            </c:ext>
          </c:extLst>
        </c:ser>
        <c:ser>
          <c:idx val="3"/>
          <c:order val="3"/>
          <c:tx>
            <c:strRef>
              <c:f>Examples!$E$35</c:f>
              <c:strCache>
                <c:ptCount val="1"/>
                <c:pt idx="0">
                  <c:v>Data 4</c:v>
                </c:pt>
              </c:strCache>
            </c:strRef>
          </c:tx>
          <c:spPr>
            <a:solidFill>
              <a:srgbClr val="66C5EA"/>
            </a:solidFill>
            <a:ln w="12700">
              <a:solidFill>
                <a:schemeClr val="bg1"/>
              </a:solidFill>
            </a:ln>
            <a:effectLst/>
          </c:spPr>
          <c:invertIfNegative val="0"/>
          <c:cat>
            <c:strRef>
              <c:f>Examples!$A$36:$A$38</c:f>
              <c:strCache>
                <c:ptCount val="3"/>
                <c:pt idx="0">
                  <c:v>1975-76</c:v>
                </c:pt>
                <c:pt idx="1">
                  <c:v>1983-84</c:v>
                </c:pt>
                <c:pt idx="2">
                  <c:v>1988-89</c:v>
                </c:pt>
              </c:strCache>
            </c:strRef>
          </c:cat>
          <c:val>
            <c:numRef>
              <c:f>Examples!$E$36:$E$38</c:f>
              <c:numCache>
                <c:formatCode>General</c:formatCode>
                <c:ptCount val="3"/>
                <c:pt idx="0">
                  <c:v>5.36</c:v>
                </c:pt>
                <c:pt idx="1">
                  <c:v>7.01</c:v>
                </c:pt>
                <c:pt idx="2">
                  <c:v>6.33</c:v>
                </c:pt>
              </c:numCache>
            </c:numRef>
          </c:val>
          <c:extLst>
            <c:ext xmlns:c16="http://schemas.microsoft.com/office/drawing/2014/chart" uri="{C3380CC4-5D6E-409C-BE32-E72D297353CC}">
              <c16:uniqueId val="{00000003-FDC1-49B5-B902-0884651ACB29}"/>
            </c:ext>
          </c:extLst>
        </c:ser>
        <c:ser>
          <c:idx val="4"/>
          <c:order val="4"/>
          <c:tx>
            <c:strRef>
              <c:f>Examples!$F$35</c:f>
              <c:strCache>
                <c:ptCount val="1"/>
                <c:pt idx="0">
                  <c:v>Data 5</c:v>
                </c:pt>
              </c:strCache>
            </c:strRef>
          </c:tx>
          <c:spPr>
            <a:solidFill>
              <a:srgbClr val="0352A1"/>
            </a:solidFill>
            <a:ln w="12700">
              <a:solidFill>
                <a:schemeClr val="bg1"/>
              </a:solidFill>
            </a:ln>
            <a:effectLst/>
          </c:spPr>
          <c:invertIfNegative val="0"/>
          <c:cat>
            <c:strRef>
              <c:f>Examples!$A$36:$A$38</c:f>
              <c:strCache>
                <c:ptCount val="3"/>
                <c:pt idx="0">
                  <c:v>1975-76</c:v>
                </c:pt>
                <c:pt idx="1">
                  <c:v>1983-84</c:v>
                </c:pt>
                <c:pt idx="2">
                  <c:v>1988-89</c:v>
                </c:pt>
              </c:strCache>
            </c:strRef>
          </c:cat>
          <c:val>
            <c:numRef>
              <c:f>Examples!$F$36:$F$38</c:f>
              <c:numCache>
                <c:formatCode>General</c:formatCode>
                <c:ptCount val="3"/>
                <c:pt idx="0">
                  <c:v>3.01</c:v>
                </c:pt>
                <c:pt idx="1">
                  <c:v>3.36</c:v>
                </c:pt>
                <c:pt idx="2">
                  <c:v>2.63</c:v>
                </c:pt>
              </c:numCache>
            </c:numRef>
          </c:val>
          <c:extLst>
            <c:ext xmlns:c16="http://schemas.microsoft.com/office/drawing/2014/chart" uri="{C3380CC4-5D6E-409C-BE32-E72D297353CC}">
              <c16:uniqueId val="{00000004-FDC1-49B5-B902-0884651ACB29}"/>
            </c:ext>
          </c:extLst>
        </c:ser>
        <c:dLbls>
          <c:showLegendKey val="0"/>
          <c:showVal val="0"/>
          <c:showCatName val="0"/>
          <c:showSerName val="0"/>
          <c:showPercent val="0"/>
          <c:showBubbleSize val="0"/>
        </c:dLbls>
        <c:gapWidth val="150"/>
        <c:overlap val="100"/>
        <c:axId val="662839512"/>
        <c:axId val="662835592"/>
      </c:barChart>
      <c:catAx>
        <c:axId val="662839512"/>
        <c:scaling>
          <c:orientation val="minMax"/>
        </c:scaling>
        <c:delete val="0"/>
        <c:axPos val="b"/>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62835592"/>
        <c:crosses val="autoZero"/>
        <c:auto val="1"/>
        <c:lblAlgn val="ctr"/>
        <c:lblOffset val="100"/>
        <c:tickLblSkip val="1"/>
        <c:tickMarkSkip val="1"/>
        <c:noMultiLvlLbl val="0"/>
      </c:catAx>
      <c:valAx>
        <c:axId val="662835592"/>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6283951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98861480075907E-2"/>
          <c:y val="6.0836501901140684E-2"/>
          <c:w val="0.91285951671683474"/>
          <c:h val="0.74776763158512527"/>
        </c:manualLayout>
      </c:layout>
      <c:barChart>
        <c:barDir val="col"/>
        <c:grouping val="stacked"/>
        <c:varyColors val="0"/>
        <c:ser>
          <c:idx val="0"/>
          <c:order val="0"/>
          <c:tx>
            <c:strRef>
              <c:f>Examples!$B$35</c:f>
              <c:strCache>
                <c:ptCount val="1"/>
                <c:pt idx="0">
                  <c:v>Data 1</c:v>
                </c:pt>
              </c:strCache>
            </c:strRef>
          </c:tx>
          <c:spPr>
            <a:solidFill>
              <a:srgbClr val="99A4B7"/>
            </a:solidFill>
            <a:ln>
              <a:solidFill>
                <a:schemeClr val="bg1"/>
              </a:solidFill>
            </a:ln>
            <a:effectLst/>
          </c:spPr>
          <c:invertIfNegative val="0"/>
          <c:cat>
            <c:strRef>
              <c:f>Examples!$A$36:$A$38</c:f>
              <c:strCache>
                <c:ptCount val="3"/>
                <c:pt idx="0">
                  <c:v>1975-76</c:v>
                </c:pt>
                <c:pt idx="1">
                  <c:v>1983-84</c:v>
                </c:pt>
                <c:pt idx="2">
                  <c:v>1988-89</c:v>
                </c:pt>
              </c:strCache>
            </c:strRef>
          </c:cat>
          <c:val>
            <c:numRef>
              <c:f>Examples!$B$36:$B$38</c:f>
              <c:numCache>
                <c:formatCode>General</c:formatCode>
                <c:ptCount val="3"/>
                <c:pt idx="0">
                  <c:v>36.19</c:v>
                </c:pt>
                <c:pt idx="1">
                  <c:v>39.39</c:v>
                </c:pt>
                <c:pt idx="2">
                  <c:v>42.78</c:v>
                </c:pt>
              </c:numCache>
            </c:numRef>
          </c:val>
          <c:extLst>
            <c:ext xmlns:c16="http://schemas.microsoft.com/office/drawing/2014/chart" uri="{C3380CC4-5D6E-409C-BE32-E72D297353CC}">
              <c16:uniqueId val="{00000000-FDC1-49B5-B902-0884651ACB29}"/>
            </c:ext>
          </c:extLst>
        </c:ser>
        <c:ser>
          <c:idx val="1"/>
          <c:order val="1"/>
          <c:tx>
            <c:strRef>
              <c:f>Examples!$C$35</c:f>
              <c:strCache>
                <c:ptCount val="1"/>
                <c:pt idx="0">
                  <c:v>Data 2</c:v>
                </c:pt>
              </c:strCache>
            </c:strRef>
          </c:tx>
          <c:spPr>
            <a:solidFill>
              <a:srgbClr val="77869F"/>
            </a:solidFill>
            <a:ln>
              <a:solidFill>
                <a:schemeClr val="bg1"/>
              </a:solidFill>
            </a:ln>
            <a:effectLst/>
          </c:spPr>
          <c:invertIfNegative val="0"/>
          <c:cat>
            <c:strRef>
              <c:f>Examples!$A$36:$A$38</c:f>
              <c:strCache>
                <c:ptCount val="3"/>
                <c:pt idx="0">
                  <c:v>1975-76</c:v>
                </c:pt>
                <c:pt idx="1">
                  <c:v>1983-84</c:v>
                </c:pt>
                <c:pt idx="2">
                  <c:v>1988-89</c:v>
                </c:pt>
              </c:strCache>
            </c:strRef>
          </c:cat>
          <c:val>
            <c:numRef>
              <c:f>Examples!$C$36:$C$38</c:f>
              <c:numCache>
                <c:formatCode>General</c:formatCode>
                <c:ptCount val="3"/>
                <c:pt idx="0">
                  <c:v>36.880000000000003</c:v>
                </c:pt>
                <c:pt idx="1">
                  <c:v>32.020000000000003</c:v>
                </c:pt>
                <c:pt idx="2">
                  <c:v>29.91</c:v>
                </c:pt>
              </c:numCache>
            </c:numRef>
          </c:val>
          <c:extLst>
            <c:ext xmlns:c16="http://schemas.microsoft.com/office/drawing/2014/chart" uri="{C3380CC4-5D6E-409C-BE32-E72D297353CC}">
              <c16:uniqueId val="{00000001-FDC1-49B5-B902-0884651ACB29}"/>
            </c:ext>
          </c:extLst>
        </c:ser>
        <c:ser>
          <c:idx val="2"/>
          <c:order val="2"/>
          <c:tx>
            <c:strRef>
              <c:f>Examples!$D$35</c:f>
              <c:strCache>
                <c:ptCount val="1"/>
                <c:pt idx="0">
                  <c:v>Data 3</c:v>
                </c:pt>
              </c:strCache>
            </c:strRef>
          </c:tx>
          <c:spPr>
            <a:solidFill>
              <a:srgbClr val="5DA4C1"/>
            </a:solidFill>
            <a:ln>
              <a:solidFill>
                <a:schemeClr val="bg1"/>
              </a:solidFill>
            </a:ln>
            <a:effectLst/>
          </c:spPr>
          <c:invertIfNegative val="0"/>
          <c:cat>
            <c:strRef>
              <c:f>Examples!$A$36:$A$38</c:f>
              <c:strCache>
                <c:ptCount val="3"/>
                <c:pt idx="0">
                  <c:v>1975-76</c:v>
                </c:pt>
                <c:pt idx="1">
                  <c:v>1983-84</c:v>
                </c:pt>
                <c:pt idx="2">
                  <c:v>1988-89</c:v>
                </c:pt>
              </c:strCache>
            </c:strRef>
          </c:cat>
          <c:val>
            <c:numRef>
              <c:f>Examples!$D$36:$D$38</c:f>
              <c:numCache>
                <c:formatCode>General</c:formatCode>
                <c:ptCount val="3"/>
                <c:pt idx="0">
                  <c:v>21.56</c:v>
                </c:pt>
                <c:pt idx="1">
                  <c:v>21.6</c:v>
                </c:pt>
                <c:pt idx="2">
                  <c:v>18.350000000000001</c:v>
                </c:pt>
              </c:numCache>
            </c:numRef>
          </c:val>
          <c:extLst>
            <c:ext xmlns:c16="http://schemas.microsoft.com/office/drawing/2014/chart" uri="{C3380CC4-5D6E-409C-BE32-E72D297353CC}">
              <c16:uniqueId val="{00000002-FDC1-49B5-B902-0884651ACB29}"/>
            </c:ext>
          </c:extLst>
        </c:ser>
        <c:ser>
          <c:idx val="3"/>
          <c:order val="3"/>
          <c:tx>
            <c:strRef>
              <c:f>Examples!$E$35</c:f>
              <c:strCache>
                <c:ptCount val="1"/>
                <c:pt idx="0">
                  <c:v>Data 4</c:v>
                </c:pt>
              </c:strCache>
            </c:strRef>
          </c:tx>
          <c:spPr>
            <a:solidFill>
              <a:schemeClr val="accent6"/>
            </a:solidFill>
            <a:ln>
              <a:solidFill>
                <a:schemeClr val="bg1"/>
              </a:solidFill>
            </a:ln>
            <a:effectLst/>
          </c:spPr>
          <c:invertIfNegative val="0"/>
          <c:cat>
            <c:strRef>
              <c:f>Examples!$A$36:$A$38</c:f>
              <c:strCache>
                <c:ptCount val="3"/>
                <c:pt idx="0">
                  <c:v>1975-76</c:v>
                </c:pt>
                <c:pt idx="1">
                  <c:v>1983-84</c:v>
                </c:pt>
                <c:pt idx="2">
                  <c:v>1988-89</c:v>
                </c:pt>
              </c:strCache>
            </c:strRef>
          </c:cat>
          <c:val>
            <c:numRef>
              <c:f>Examples!$E$36:$E$38</c:f>
              <c:numCache>
                <c:formatCode>General</c:formatCode>
                <c:ptCount val="3"/>
                <c:pt idx="0">
                  <c:v>5.36</c:v>
                </c:pt>
                <c:pt idx="1">
                  <c:v>7.01</c:v>
                </c:pt>
                <c:pt idx="2">
                  <c:v>6.33</c:v>
                </c:pt>
              </c:numCache>
            </c:numRef>
          </c:val>
          <c:extLst>
            <c:ext xmlns:c16="http://schemas.microsoft.com/office/drawing/2014/chart" uri="{C3380CC4-5D6E-409C-BE32-E72D297353CC}">
              <c16:uniqueId val="{00000003-FDC1-49B5-B902-0884651ACB29}"/>
            </c:ext>
          </c:extLst>
        </c:ser>
        <c:ser>
          <c:idx val="4"/>
          <c:order val="4"/>
          <c:tx>
            <c:strRef>
              <c:f>Examples!$F$35</c:f>
              <c:strCache>
                <c:ptCount val="1"/>
                <c:pt idx="0">
                  <c:v>Data 5</c:v>
                </c:pt>
              </c:strCache>
            </c:strRef>
          </c:tx>
          <c:spPr>
            <a:solidFill>
              <a:srgbClr val="009EDB"/>
            </a:solidFill>
            <a:ln>
              <a:solidFill>
                <a:schemeClr val="bg1"/>
              </a:solidFill>
            </a:ln>
            <a:effectLst/>
          </c:spPr>
          <c:invertIfNegative val="0"/>
          <c:cat>
            <c:strRef>
              <c:f>Examples!$A$36:$A$38</c:f>
              <c:strCache>
                <c:ptCount val="3"/>
                <c:pt idx="0">
                  <c:v>1975-76</c:v>
                </c:pt>
                <c:pt idx="1">
                  <c:v>1983-84</c:v>
                </c:pt>
                <c:pt idx="2">
                  <c:v>1988-89</c:v>
                </c:pt>
              </c:strCache>
            </c:strRef>
          </c:cat>
          <c:val>
            <c:numRef>
              <c:f>Examples!$F$36:$F$38</c:f>
              <c:numCache>
                <c:formatCode>General</c:formatCode>
                <c:ptCount val="3"/>
                <c:pt idx="0">
                  <c:v>3.01</c:v>
                </c:pt>
                <c:pt idx="1">
                  <c:v>3.36</c:v>
                </c:pt>
                <c:pt idx="2">
                  <c:v>2.63</c:v>
                </c:pt>
              </c:numCache>
            </c:numRef>
          </c:val>
          <c:extLst>
            <c:ext xmlns:c16="http://schemas.microsoft.com/office/drawing/2014/chart" uri="{C3380CC4-5D6E-409C-BE32-E72D297353CC}">
              <c16:uniqueId val="{00000004-FDC1-49B5-B902-0884651ACB29}"/>
            </c:ext>
          </c:extLst>
        </c:ser>
        <c:ser>
          <c:idx val="5"/>
          <c:order val="5"/>
          <c:tx>
            <c:strRef>
              <c:f>Examples!$G$35</c:f>
              <c:strCache>
                <c:ptCount val="1"/>
                <c:pt idx="0">
                  <c:v>Data 6</c:v>
                </c:pt>
              </c:strCache>
            </c:strRef>
          </c:tx>
          <c:spPr>
            <a:solidFill>
              <a:srgbClr val="66C5EA"/>
            </a:solidFill>
            <a:ln>
              <a:solidFill>
                <a:schemeClr val="bg1"/>
              </a:solidFill>
            </a:ln>
            <a:effectLst/>
          </c:spPr>
          <c:invertIfNegative val="0"/>
          <c:cat>
            <c:strRef>
              <c:f>Examples!$A$36:$A$38</c:f>
              <c:strCache>
                <c:ptCount val="3"/>
                <c:pt idx="0">
                  <c:v>1975-76</c:v>
                </c:pt>
                <c:pt idx="1">
                  <c:v>1983-84</c:v>
                </c:pt>
                <c:pt idx="2">
                  <c:v>1988-89</c:v>
                </c:pt>
              </c:strCache>
            </c:strRef>
          </c:cat>
          <c:val>
            <c:numRef>
              <c:f>Examples!$G$36:$G$38</c:f>
              <c:numCache>
                <c:formatCode>General</c:formatCode>
                <c:ptCount val="3"/>
                <c:pt idx="0">
                  <c:v>10</c:v>
                </c:pt>
                <c:pt idx="1">
                  <c:v>12</c:v>
                </c:pt>
                <c:pt idx="2">
                  <c:v>14</c:v>
                </c:pt>
              </c:numCache>
            </c:numRef>
          </c:val>
          <c:extLst>
            <c:ext xmlns:c16="http://schemas.microsoft.com/office/drawing/2014/chart" uri="{C3380CC4-5D6E-409C-BE32-E72D297353CC}">
              <c16:uniqueId val="{00000005-FDC1-49B5-B902-0884651ACB29}"/>
            </c:ext>
          </c:extLst>
        </c:ser>
        <c:ser>
          <c:idx val="6"/>
          <c:order val="6"/>
          <c:tx>
            <c:strRef>
              <c:f>Examples!$H$35</c:f>
              <c:strCache>
                <c:ptCount val="1"/>
                <c:pt idx="0">
                  <c:v>Data 7</c:v>
                </c:pt>
              </c:strCache>
            </c:strRef>
          </c:tx>
          <c:spPr>
            <a:solidFill>
              <a:srgbClr val="0352A1"/>
            </a:solidFill>
            <a:ln>
              <a:solidFill>
                <a:schemeClr val="bg1"/>
              </a:solidFill>
            </a:ln>
            <a:effectLst/>
          </c:spPr>
          <c:invertIfNegative val="0"/>
          <c:cat>
            <c:strRef>
              <c:f>Examples!$A$36:$A$38</c:f>
              <c:strCache>
                <c:ptCount val="3"/>
                <c:pt idx="0">
                  <c:v>1975-76</c:v>
                </c:pt>
                <c:pt idx="1">
                  <c:v>1983-84</c:v>
                </c:pt>
                <c:pt idx="2">
                  <c:v>1988-89</c:v>
                </c:pt>
              </c:strCache>
            </c:strRef>
          </c:cat>
          <c:val>
            <c:numRef>
              <c:f>Examples!$H$36:$H$38</c:f>
              <c:numCache>
                <c:formatCode>General</c:formatCode>
                <c:ptCount val="3"/>
                <c:pt idx="0">
                  <c:v>5.2</c:v>
                </c:pt>
                <c:pt idx="1">
                  <c:v>6.6</c:v>
                </c:pt>
                <c:pt idx="2">
                  <c:v>5.7</c:v>
                </c:pt>
              </c:numCache>
            </c:numRef>
          </c:val>
          <c:extLst>
            <c:ext xmlns:c16="http://schemas.microsoft.com/office/drawing/2014/chart" uri="{C3380CC4-5D6E-409C-BE32-E72D297353CC}">
              <c16:uniqueId val="{00000006-FDC1-49B5-B902-0884651ACB29}"/>
            </c:ext>
          </c:extLst>
        </c:ser>
        <c:ser>
          <c:idx val="7"/>
          <c:order val="7"/>
          <c:tx>
            <c:strRef>
              <c:f>Examples!$I$35</c:f>
              <c:strCache>
                <c:ptCount val="1"/>
                <c:pt idx="0">
                  <c:v>Data 8</c:v>
                </c:pt>
              </c:strCache>
            </c:strRef>
          </c:tx>
          <c:spPr>
            <a:solidFill>
              <a:srgbClr val="3373B3"/>
            </a:solidFill>
            <a:ln>
              <a:solidFill>
                <a:schemeClr val="bg1"/>
              </a:solidFill>
            </a:ln>
            <a:effectLst/>
          </c:spPr>
          <c:invertIfNegative val="0"/>
          <c:cat>
            <c:strRef>
              <c:f>Examples!$A$36:$A$38</c:f>
              <c:strCache>
                <c:ptCount val="3"/>
                <c:pt idx="0">
                  <c:v>1975-76</c:v>
                </c:pt>
                <c:pt idx="1">
                  <c:v>1983-84</c:v>
                </c:pt>
                <c:pt idx="2">
                  <c:v>1988-89</c:v>
                </c:pt>
              </c:strCache>
            </c:strRef>
          </c:cat>
          <c:val>
            <c:numRef>
              <c:f>Examples!$I$36:$I$38</c:f>
              <c:numCache>
                <c:formatCode>General</c:formatCode>
                <c:ptCount val="3"/>
                <c:pt idx="0">
                  <c:v>13</c:v>
                </c:pt>
                <c:pt idx="1">
                  <c:v>15</c:v>
                </c:pt>
                <c:pt idx="2">
                  <c:v>16</c:v>
                </c:pt>
              </c:numCache>
            </c:numRef>
          </c:val>
          <c:extLst>
            <c:ext xmlns:c16="http://schemas.microsoft.com/office/drawing/2014/chart" uri="{C3380CC4-5D6E-409C-BE32-E72D297353CC}">
              <c16:uniqueId val="{00000007-FDC1-49B5-B902-0884651ACB29}"/>
            </c:ext>
          </c:extLst>
        </c:ser>
        <c:dLbls>
          <c:showLegendKey val="0"/>
          <c:showVal val="0"/>
          <c:showCatName val="0"/>
          <c:showSerName val="0"/>
          <c:showPercent val="0"/>
          <c:showBubbleSize val="0"/>
        </c:dLbls>
        <c:gapWidth val="150"/>
        <c:overlap val="100"/>
        <c:axId val="509211968"/>
        <c:axId val="509223336"/>
      </c:barChart>
      <c:catAx>
        <c:axId val="509211968"/>
        <c:scaling>
          <c:orientation val="minMax"/>
        </c:scaling>
        <c:delete val="0"/>
        <c:axPos val="b"/>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509223336"/>
        <c:crosses val="autoZero"/>
        <c:auto val="1"/>
        <c:lblAlgn val="ctr"/>
        <c:lblOffset val="100"/>
        <c:tickLblSkip val="1"/>
        <c:tickMarkSkip val="1"/>
        <c:noMultiLvlLbl val="0"/>
      </c:catAx>
      <c:valAx>
        <c:axId val="509223336"/>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509211968"/>
        <c:crosses val="autoZero"/>
        <c:crossBetween val="between"/>
      </c:valAx>
      <c:spPr>
        <a:noFill/>
        <a:ln w="25400">
          <a:noFill/>
        </a:ln>
        <a:effectLst/>
      </c:spPr>
    </c:plotArea>
    <c:legend>
      <c:legendPos val="b"/>
      <c:layout>
        <c:manualLayout>
          <c:xMode val="edge"/>
          <c:yMode val="edge"/>
          <c:x val="0.15093631999570062"/>
          <c:y val="0.9029536841181256"/>
          <c:w val="0.74878340224990547"/>
          <c:h val="7.1120391216078979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590533680582334E-2"/>
          <c:y val="4.1268203825159673E-2"/>
          <c:w val="0.87831480312524091"/>
          <c:h val="0.76462565357380363"/>
        </c:manualLayout>
      </c:layout>
      <c:barChart>
        <c:barDir val="bar"/>
        <c:grouping val="stacked"/>
        <c:varyColors val="0"/>
        <c:ser>
          <c:idx val="0"/>
          <c:order val="0"/>
          <c:tx>
            <c:strRef>
              <c:f>Examples!$B$35</c:f>
              <c:strCache>
                <c:ptCount val="1"/>
                <c:pt idx="0">
                  <c:v>Data 1</c:v>
                </c:pt>
              </c:strCache>
            </c:strRef>
          </c:tx>
          <c:spPr>
            <a:solidFill>
              <a:srgbClr val="5DA4C1"/>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Examples!$B$36:$B$43</c:f>
              <c:numCache>
                <c:formatCode>General</c:formatCode>
                <c:ptCount val="8"/>
                <c:pt idx="0">
                  <c:v>36.19</c:v>
                </c:pt>
                <c:pt idx="1">
                  <c:v>39.39</c:v>
                </c:pt>
                <c:pt idx="2">
                  <c:v>42.78</c:v>
                </c:pt>
                <c:pt idx="3">
                  <c:v>42.13</c:v>
                </c:pt>
                <c:pt idx="4">
                  <c:v>41.69</c:v>
                </c:pt>
                <c:pt idx="5">
                  <c:v>39.39</c:v>
                </c:pt>
                <c:pt idx="6">
                  <c:v>42.13</c:v>
                </c:pt>
                <c:pt idx="7">
                  <c:v>45</c:v>
                </c:pt>
              </c:numCache>
            </c:numRef>
          </c:val>
          <c:extLst>
            <c:ext xmlns:c16="http://schemas.microsoft.com/office/drawing/2014/chart" uri="{C3380CC4-5D6E-409C-BE32-E72D297353CC}">
              <c16:uniqueId val="{00000000-9268-41EE-BF1F-F77DAFBBC574}"/>
            </c:ext>
          </c:extLst>
        </c:ser>
        <c:ser>
          <c:idx val="1"/>
          <c:order val="1"/>
          <c:tx>
            <c:strRef>
              <c:f>Examples!$C$35</c:f>
              <c:strCache>
                <c:ptCount val="1"/>
                <c:pt idx="0">
                  <c:v>Data 2</c:v>
                </c:pt>
              </c:strCache>
            </c:strRef>
          </c:tx>
          <c:spPr>
            <a:solidFill>
              <a:schemeClr val="accent6"/>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Examples!$C$36:$C$43</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extLst>
            <c:ext xmlns:c16="http://schemas.microsoft.com/office/drawing/2014/chart" uri="{C3380CC4-5D6E-409C-BE32-E72D297353CC}">
              <c16:uniqueId val="{00000001-9268-41EE-BF1F-F77DAFBBC574}"/>
            </c:ext>
          </c:extLst>
        </c:ser>
        <c:ser>
          <c:idx val="2"/>
          <c:order val="2"/>
          <c:tx>
            <c:strRef>
              <c:f>Examples!$D$35</c:f>
              <c:strCache>
                <c:ptCount val="1"/>
                <c:pt idx="0">
                  <c:v>Data 3</c:v>
                </c:pt>
              </c:strCache>
            </c:strRef>
          </c:tx>
          <c:spPr>
            <a:solidFill>
              <a:schemeClr val="accent5"/>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Examples!$D$36:$D$43</c:f>
              <c:numCache>
                <c:formatCode>General</c:formatCode>
                <c:ptCount val="8"/>
                <c:pt idx="0">
                  <c:v>21.56</c:v>
                </c:pt>
                <c:pt idx="1">
                  <c:v>21.6</c:v>
                </c:pt>
                <c:pt idx="2">
                  <c:v>18.350000000000001</c:v>
                </c:pt>
                <c:pt idx="3">
                  <c:v>21.6</c:v>
                </c:pt>
                <c:pt idx="4">
                  <c:v>23.98</c:v>
                </c:pt>
                <c:pt idx="5">
                  <c:v>21.6</c:v>
                </c:pt>
                <c:pt idx="6">
                  <c:v>21.6</c:v>
                </c:pt>
                <c:pt idx="7">
                  <c:v>26</c:v>
                </c:pt>
              </c:numCache>
            </c:numRef>
          </c:val>
          <c:extLst>
            <c:ext xmlns:c16="http://schemas.microsoft.com/office/drawing/2014/chart" uri="{C3380CC4-5D6E-409C-BE32-E72D297353CC}">
              <c16:uniqueId val="{00000002-9268-41EE-BF1F-F77DAFBBC574}"/>
            </c:ext>
          </c:extLst>
        </c:ser>
        <c:ser>
          <c:idx val="3"/>
          <c:order val="3"/>
          <c:tx>
            <c:strRef>
              <c:f>Examples!$E$35</c:f>
              <c:strCache>
                <c:ptCount val="1"/>
                <c:pt idx="0">
                  <c:v>Data 4</c:v>
                </c:pt>
              </c:strCache>
            </c:strRef>
          </c:tx>
          <c:spPr>
            <a:solidFill>
              <a:srgbClr val="66C5EA"/>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Examples!$E$36:$E$43</c:f>
              <c:numCache>
                <c:formatCode>General</c:formatCode>
                <c:ptCount val="8"/>
                <c:pt idx="0">
                  <c:v>5.36</c:v>
                </c:pt>
                <c:pt idx="1">
                  <c:v>7.01</c:v>
                </c:pt>
                <c:pt idx="2">
                  <c:v>6.33</c:v>
                </c:pt>
                <c:pt idx="3">
                  <c:v>7.01</c:v>
                </c:pt>
                <c:pt idx="4">
                  <c:v>7</c:v>
                </c:pt>
                <c:pt idx="5">
                  <c:v>7.01</c:v>
                </c:pt>
                <c:pt idx="6">
                  <c:v>7.01</c:v>
                </c:pt>
                <c:pt idx="7">
                  <c:v>8</c:v>
                </c:pt>
              </c:numCache>
            </c:numRef>
          </c:val>
          <c:extLst>
            <c:ext xmlns:c16="http://schemas.microsoft.com/office/drawing/2014/chart" uri="{C3380CC4-5D6E-409C-BE32-E72D297353CC}">
              <c16:uniqueId val="{00000003-9268-41EE-BF1F-F77DAFBBC574}"/>
            </c:ext>
          </c:extLst>
        </c:ser>
        <c:ser>
          <c:idx val="4"/>
          <c:order val="4"/>
          <c:tx>
            <c:strRef>
              <c:f>Examples!$F$35</c:f>
              <c:strCache>
                <c:ptCount val="1"/>
                <c:pt idx="0">
                  <c:v>Data 5</c:v>
                </c:pt>
              </c:strCache>
            </c:strRef>
          </c:tx>
          <c:spPr>
            <a:solidFill>
              <a:srgbClr val="0352A1"/>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Examples!$F$36:$F$43</c:f>
              <c:numCache>
                <c:formatCode>General</c:formatCode>
                <c:ptCount val="8"/>
                <c:pt idx="0">
                  <c:v>3.01</c:v>
                </c:pt>
                <c:pt idx="1">
                  <c:v>3.36</c:v>
                </c:pt>
                <c:pt idx="2">
                  <c:v>2.63</c:v>
                </c:pt>
                <c:pt idx="3">
                  <c:v>2.72</c:v>
                </c:pt>
                <c:pt idx="4">
                  <c:v>2.57</c:v>
                </c:pt>
                <c:pt idx="5">
                  <c:v>3.36</c:v>
                </c:pt>
                <c:pt idx="6">
                  <c:v>2.72</c:v>
                </c:pt>
                <c:pt idx="7">
                  <c:v>2</c:v>
                </c:pt>
              </c:numCache>
            </c:numRef>
          </c:val>
          <c:extLst>
            <c:ext xmlns:c16="http://schemas.microsoft.com/office/drawing/2014/chart" uri="{C3380CC4-5D6E-409C-BE32-E72D297353CC}">
              <c16:uniqueId val="{00000004-9268-41EE-BF1F-F77DAFBBC574}"/>
            </c:ext>
          </c:extLst>
        </c:ser>
        <c:dLbls>
          <c:showLegendKey val="0"/>
          <c:showVal val="0"/>
          <c:showCatName val="0"/>
          <c:showSerName val="0"/>
          <c:showPercent val="0"/>
          <c:showBubbleSize val="0"/>
        </c:dLbls>
        <c:gapWidth val="150"/>
        <c:overlap val="100"/>
        <c:axId val="662839904"/>
        <c:axId val="662828536"/>
      </c:barChart>
      <c:catAx>
        <c:axId val="662839904"/>
        <c:scaling>
          <c:orientation val="minMax"/>
        </c:scaling>
        <c:delete val="0"/>
        <c:axPos val="l"/>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62828536"/>
        <c:crosses val="autoZero"/>
        <c:auto val="1"/>
        <c:lblAlgn val="ctr"/>
        <c:lblOffset val="100"/>
        <c:tickLblSkip val="1"/>
        <c:tickMarkSkip val="1"/>
        <c:noMultiLvlLbl val="0"/>
      </c:catAx>
      <c:valAx>
        <c:axId val="662828536"/>
        <c:scaling>
          <c:orientation val="minMax"/>
        </c:scaling>
        <c:delete val="0"/>
        <c:axPos val="b"/>
        <c:majorGridlines>
          <c:spPr>
            <a:ln w="6350" cap="flat" cmpd="sng" algn="ctr">
              <a:noFill/>
              <a:prstDash val="solid"/>
              <a:round/>
            </a:ln>
            <a:effectLst/>
          </c:spPr>
        </c:majorGridlines>
        <c:numFmt formatCode="General"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62839904"/>
        <c:crosses val="autoZero"/>
        <c:crossBetween val="between"/>
      </c:valAx>
      <c:spPr>
        <a:noFill/>
        <a:ln w="25400">
          <a:noFill/>
        </a:ln>
        <a:effectLst/>
      </c:spPr>
    </c:plotArea>
    <c:legend>
      <c:legendPos val="b"/>
      <c:layout>
        <c:manualLayout>
          <c:xMode val="edge"/>
          <c:yMode val="edge"/>
          <c:x val="0.25108442036032619"/>
          <c:y val="0.92783724032412185"/>
          <c:w val="0.49783115927934762"/>
          <c:h val="7.216275967587811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7248576850095"/>
          <c:y val="4.5627376425855515E-2"/>
          <c:w val="0.84060721062618593"/>
          <c:h val="0.74016008038712222"/>
        </c:manualLayout>
      </c:layout>
      <c:barChart>
        <c:barDir val="bar"/>
        <c:grouping val="clustered"/>
        <c:varyColors val="0"/>
        <c:ser>
          <c:idx val="2"/>
          <c:order val="0"/>
          <c:tx>
            <c:strRef>
              <c:f>Examples!$B$35</c:f>
              <c:strCache>
                <c:ptCount val="1"/>
                <c:pt idx="0">
                  <c:v>Data 1</c:v>
                </c:pt>
              </c:strCache>
            </c:strRef>
          </c:tx>
          <c:spPr>
            <a:solidFill>
              <a:srgbClr val="5DA4C1"/>
            </a:solidFill>
            <a:ln>
              <a:solidFill>
                <a:schemeClr val="bg1"/>
              </a:solidFill>
            </a:ln>
            <a:effectLst/>
          </c:spPr>
          <c:invertIfNegative val="0"/>
          <c:cat>
            <c:strRef>
              <c:f>Examples!$A$36:$A$41</c:f>
              <c:strCache>
                <c:ptCount val="6"/>
                <c:pt idx="0">
                  <c:v>1975-76</c:v>
                </c:pt>
                <c:pt idx="1">
                  <c:v>1983-84</c:v>
                </c:pt>
                <c:pt idx="2">
                  <c:v>1988-89</c:v>
                </c:pt>
                <c:pt idx="3">
                  <c:v>1993-94</c:v>
                </c:pt>
                <c:pt idx="4">
                  <c:v>1996-97</c:v>
                </c:pt>
                <c:pt idx="5">
                  <c:v>1997-98</c:v>
                </c:pt>
              </c:strCache>
            </c:strRef>
          </c:cat>
          <c:val>
            <c:numRef>
              <c:f>Examples!$B$36:$B$41</c:f>
              <c:numCache>
                <c:formatCode>General</c:formatCode>
                <c:ptCount val="6"/>
                <c:pt idx="0">
                  <c:v>36.19</c:v>
                </c:pt>
                <c:pt idx="1">
                  <c:v>39.39</c:v>
                </c:pt>
                <c:pt idx="2">
                  <c:v>42.78</c:v>
                </c:pt>
                <c:pt idx="3">
                  <c:v>42.13</c:v>
                </c:pt>
                <c:pt idx="4">
                  <c:v>41.69</c:v>
                </c:pt>
                <c:pt idx="5">
                  <c:v>39.39</c:v>
                </c:pt>
              </c:numCache>
            </c:numRef>
          </c:val>
          <c:extLst>
            <c:ext xmlns:c16="http://schemas.microsoft.com/office/drawing/2014/chart" uri="{C3380CC4-5D6E-409C-BE32-E72D297353CC}">
              <c16:uniqueId val="{00000000-7A43-4CDD-8234-77D40EA04216}"/>
            </c:ext>
          </c:extLst>
        </c:ser>
        <c:ser>
          <c:idx val="1"/>
          <c:order val="1"/>
          <c:tx>
            <c:strRef>
              <c:f>Examples!$C$35</c:f>
              <c:strCache>
                <c:ptCount val="1"/>
                <c:pt idx="0">
                  <c:v>Data 2</c:v>
                </c:pt>
              </c:strCache>
            </c:strRef>
          </c:tx>
          <c:spPr>
            <a:solidFill>
              <a:schemeClr val="accent6"/>
            </a:solidFill>
            <a:ln>
              <a:noFill/>
            </a:ln>
            <a:effectLst/>
          </c:spPr>
          <c:invertIfNegative val="0"/>
          <c:dPt>
            <c:idx val="0"/>
            <c:invertIfNegative val="0"/>
            <c:bubble3D val="0"/>
            <c:spPr>
              <a:solidFill>
                <a:schemeClr val="accent6"/>
              </a:solidFill>
              <a:ln>
                <a:solidFill>
                  <a:schemeClr val="bg1"/>
                </a:solidFill>
              </a:ln>
              <a:effectLst/>
            </c:spPr>
            <c:extLst>
              <c:ext xmlns:c16="http://schemas.microsoft.com/office/drawing/2014/chart" uri="{C3380CC4-5D6E-409C-BE32-E72D297353CC}">
                <c16:uniqueId val="{00000001-3F1E-4340-A02A-B90D4C81EB5B}"/>
              </c:ext>
            </c:extLst>
          </c:dPt>
          <c:cat>
            <c:strRef>
              <c:f>Examples!$A$36:$A$41</c:f>
              <c:strCache>
                <c:ptCount val="6"/>
                <c:pt idx="0">
                  <c:v>1975-76</c:v>
                </c:pt>
                <c:pt idx="1">
                  <c:v>1983-84</c:v>
                </c:pt>
                <c:pt idx="2">
                  <c:v>1988-89</c:v>
                </c:pt>
                <c:pt idx="3">
                  <c:v>1993-94</c:v>
                </c:pt>
                <c:pt idx="4">
                  <c:v>1996-97</c:v>
                </c:pt>
                <c:pt idx="5">
                  <c:v>1997-98</c:v>
                </c:pt>
              </c:strCache>
            </c:strRef>
          </c:cat>
          <c:val>
            <c:numRef>
              <c:f>Examples!$C$36:$C$41</c:f>
              <c:numCache>
                <c:formatCode>General</c:formatCode>
                <c:ptCount val="6"/>
                <c:pt idx="0">
                  <c:v>36.880000000000003</c:v>
                </c:pt>
                <c:pt idx="1">
                  <c:v>32.020000000000003</c:v>
                </c:pt>
                <c:pt idx="2">
                  <c:v>29.91</c:v>
                </c:pt>
                <c:pt idx="3">
                  <c:v>26.53</c:v>
                </c:pt>
                <c:pt idx="4">
                  <c:v>24.76</c:v>
                </c:pt>
                <c:pt idx="5">
                  <c:v>32.020000000000003</c:v>
                </c:pt>
              </c:numCache>
            </c:numRef>
          </c:val>
          <c:extLst>
            <c:ext xmlns:c16="http://schemas.microsoft.com/office/drawing/2014/chart" uri="{C3380CC4-5D6E-409C-BE32-E72D297353CC}">
              <c16:uniqueId val="{00000001-7A43-4CDD-8234-77D40EA04216}"/>
            </c:ext>
          </c:extLst>
        </c:ser>
        <c:ser>
          <c:idx val="0"/>
          <c:order val="2"/>
          <c:tx>
            <c:strRef>
              <c:f>Examples!$D$35</c:f>
              <c:strCache>
                <c:ptCount val="1"/>
                <c:pt idx="0">
                  <c:v>Data 3</c:v>
                </c:pt>
              </c:strCache>
            </c:strRef>
          </c:tx>
          <c:spPr>
            <a:solidFill>
              <a:schemeClr val="accent5"/>
            </a:solidFill>
            <a:ln>
              <a:solidFill>
                <a:schemeClr val="bg1"/>
              </a:solidFill>
            </a:ln>
            <a:effectLst/>
          </c:spPr>
          <c:invertIfNegative val="0"/>
          <c:cat>
            <c:strRef>
              <c:f>Examples!$A$36:$A$41</c:f>
              <c:strCache>
                <c:ptCount val="6"/>
                <c:pt idx="0">
                  <c:v>1975-76</c:v>
                </c:pt>
                <c:pt idx="1">
                  <c:v>1983-84</c:v>
                </c:pt>
                <c:pt idx="2">
                  <c:v>1988-89</c:v>
                </c:pt>
                <c:pt idx="3">
                  <c:v>1993-94</c:v>
                </c:pt>
                <c:pt idx="4">
                  <c:v>1996-97</c:v>
                </c:pt>
                <c:pt idx="5">
                  <c:v>1997-98</c:v>
                </c:pt>
              </c:strCache>
            </c:strRef>
          </c:cat>
          <c:val>
            <c:numRef>
              <c:f>Examples!$D$36:$D$41</c:f>
              <c:numCache>
                <c:formatCode>General</c:formatCode>
                <c:ptCount val="6"/>
                <c:pt idx="0">
                  <c:v>21.56</c:v>
                </c:pt>
                <c:pt idx="1">
                  <c:v>21.6</c:v>
                </c:pt>
                <c:pt idx="2">
                  <c:v>18.350000000000001</c:v>
                </c:pt>
                <c:pt idx="3">
                  <c:v>21.6</c:v>
                </c:pt>
                <c:pt idx="4">
                  <c:v>23.98</c:v>
                </c:pt>
                <c:pt idx="5">
                  <c:v>21.6</c:v>
                </c:pt>
              </c:numCache>
            </c:numRef>
          </c:val>
          <c:extLst>
            <c:ext xmlns:c16="http://schemas.microsoft.com/office/drawing/2014/chart" uri="{C3380CC4-5D6E-409C-BE32-E72D297353CC}">
              <c16:uniqueId val="{00000002-7A43-4CDD-8234-77D40EA04216}"/>
            </c:ext>
          </c:extLst>
        </c:ser>
        <c:ser>
          <c:idx val="3"/>
          <c:order val="3"/>
          <c:tx>
            <c:strRef>
              <c:f>Examples!$E$35</c:f>
              <c:strCache>
                <c:ptCount val="1"/>
                <c:pt idx="0">
                  <c:v>Data 4</c:v>
                </c:pt>
              </c:strCache>
            </c:strRef>
          </c:tx>
          <c:spPr>
            <a:solidFill>
              <a:srgbClr val="66C5EA"/>
            </a:solidFill>
            <a:ln>
              <a:solidFill>
                <a:schemeClr val="bg1"/>
              </a:solidFill>
            </a:ln>
            <a:effectLst/>
          </c:spPr>
          <c:invertIfNegative val="0"/>
          <c:cat>
            <c:strRef>
              <c:f>Examples!$A$36:$A$41</c:f>
              <c:strCache>
                <c:ptCount val="6"/>
                <c:pt idx="0">
                  <c:v>1975-76</c:v>
                </c:pt>
                <c:pt idx="1">
                  <c:v>1983-84</c:v>
                </c:pt>
                <c:pt idx="2">
                  <c:v>1988-89</c:v>
                </c:pt>
                <c:pt idx="3">
                  <c:v>1993-94</c:v>
                </c:pt>
                <c:pt idx="4">
                  <c:v>1996-97</c:v>
                </c:pt>
                <c:pt idx="5">
                  <c:v>1997-98</c:v>
                </c:pt>
              </c:strCache>
            </c:strRef>
          </c:cat>
          <c:val>
            <c:numRef>
              <c:f>Examples!$E$36:$E$41</c:f>
              <c:numCache>
                <c:formatCode>General</c:formatCode>
                <c:ptCount val="6"/>
                <c:pt idx="0">
                  <c:v>5.36</c:v>
                </c:pt>
                <c:pt idx="1">
                  <c:v>7.01</c:v>
                </c:pt>
                <c:pt idx="2">
                  <c:v>6.33</c:v>
                </c:pt>
                <c:pt idx="3">
                  <c:v>7.01</c:v>
                </c:pt>
                <c:pt idx="4">
                  <c:v>7</c:v>
                </c:pt>
                <c:pt idx="5">
                  <c:v>7.01</c:v>
                </c:pt>
              </c:numCache>
            </c:numRef>
          </c:val>
          <c:extLst>
            <c:ext xmlns:c16="http://schemas.microsoft.com/office/drawing/2014/chart" uri="{C3380CC4-5D6E-409C-BE32-E72D297353CC}">
              <c16:uniqueId val="{00000003-7A43-4CDD-8234-77D40EA04216}"/>
            </c:ext>
          </c:extLst>
        </c:ser>
        <c:ser>
          <c:idx val="4"/>
          <c:order val="4"/>
          <c:tx>
            <c:strRef>
              <c:f>Examples!$F$35</c:f>
              <c:strCache>
                <c:ptCount val="1"/>
                <c:pt idx="0">
                  <c:v>Data 5</c:v>
                </c:pt>
              </c:strCache>
            </c:strRef>
          </c:tx>
          <c:spPr>
            <a:solidFill>
              <a:srgbClr val="0352A1"/>
            </a:solidFill>
            <a:ln>
              <a:solidFill>
                <a:schemeClr val="bg1"/>
              </a:solidFill>
            </a:ln>
            <a:effectLst/>
          </c:spPr>
          <c:invertIfNegative val="0"/>
          <c:cat>
            <c:strRef>
              <c:f>Examples!$A$36:$A$41</c:f>
              <c:strCache>
                <c:ptCount val="6"/>
                <c:pt idx="0">
                  <c:v>1975-76</c:v>
                </c:pt>
                <c:pt idx="1">
                  <c:v>1983-84</c:v>
                </c:pt>
                <c:pt idx="2">
                  <c:v>1988-89</c:v>
                </c:pt>
                <c:pt idx="3">
                  <c:v>1993-94</c:v>
                </c:pt>
                <c:pt idx="4">
                  <c:v>1996-97</c:v>
                </c:pt>
                <c:pt idx="5">
                  <c:v>1997-98</c:v>
                </c:pt>
              </c:strCache>
            </c:strRef>
          </c:cat>
          <c:val>
            <c:numRef>
              <c:f>Examples!$F$36:$F$41</c:f>
              <c:numCache>
                <c:formatCode>General</c:formatCode>
                <c:ptCount val="6"/>
                <c:pt idx="0">
                  <c:v>3.01</c:v>
                </c:pt>
                <c:pt idx="1">
                  <c:v>3.36</c:v>
                </c:pt>
                <c:pt idx="2">
                  <c:v>2.63</c:v>
                </c:pt>
                <c:pt idx="3">
                  <c:v>2.72</c:v>
                </c:pt>
                <c:pt idx="4">
                  <c:v>2.57</c:v>
                </c:pt>
                <c:pt idx="5">
                  <c:v>3.36</c:v>
                </c:pt>
              </c:numCache>
            </c:numRef>
          </c:val>
          <c:extLst>
            <c:ext xmlns:c16="http://schemas.microsoft.com/office/drawing/2014/chart" uri="{C3380CC4-5D6E-409C-BE32-E72D297353CC}">
              <c16:uniqueId val="{00000004-7A43-4CDD-8234-77D40EA04216}"/>
            </c:ext>
          </c:extLst>
        </c:ser>
        <c:dLbls>
          <c:showLegendKey val="0"/>
          <c:showVal val="0"/>
          <c:showCatName val="0"/>
          <c:showSerName val="0"/>
          <c:showPercent val="0"/>
          <c:showBubbleSize val="0"/>
        </c:dLbls>
        <c:gapWidth val="150"/>
        <c:axId val="662833240"/>
        <c:axId val="662836376"/>
      </c:barChart>
      <c:catAx>
        <c:axId val="662833240"/>
        <c:scaling>
          <c:orientation val="maxMin"/>
        </c:scaling>
        <c:delete val="0"/>
        <c:axPos val="l"/>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662836376"/>
        <c:crosses val="autoZero"/>
        <c:auto val="1"/>
        <c:lblAlgn val="ctr"/>
        <c:lblOffset val="100"/>
        <c:tickLblSkip val="1"/>
        <c:tickMarkSkip val="1"/>
        <c:noMultiLvlLbl val="0"/>
      </c:catAx>
      <c:valAx>
        <c:axId val="662836376"/>
        <c:scaling>
          <c:orientation val="minMax"/>
        </c:scaling>
        <c:delete val="0"/>
        <c:axPos val="b"/>
        <c:majorGridlines>
          <c:spPr>
            <a:ln w="6350" cap="flat" cmpd="sng" algn="ctr">
              <a:solidFill>
                <a:schemeClr val="bg2">
                  <a:lumMod val="20000"/>
                  <a:lumOff val="80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662833240"/>
        <c:crosses val="max"/>
        <c:crossBetween val="between"/>
      </c:valAx>
      <c:spPr>
        <a:noFill/>
        <a:ln w="25400">
          <a:noFill/>
        </a:ln>
        <a:effectLst/>
      </c:spPr>
    </c:plotArea>
    <c:legend>
      <c:legendPos val="b"/>
      <c:layout>
        <c:manualLayout>
          <c:xMode val="edge"/>
          <c:yMode val="edge"/>
          <c:x val="1.1524143121614105E-2"/>
          <c:y val="0.90375718390804594"/>
          <c:w val="0.98372745631183645"/>
          <c:h val="8.46668837408769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rgbClr val="000000"/>
          </a:solidFill>
          <a:latin typeface="Raleway" panose="020B0503030101060003" pitchFamily="34" charset="0"/>
          <a:ea typeface="Myriad Pro"/>
          <a:cs typeface="Arial" pitchFamily="34" charset="0"/>
        </a:defRPr>
      </a:pPr>
      <a:endParaRPr lang="en-US"/>
    </a:p>
  </c:txPr>
  <c:printSettings>
    <c:headerFooter alignWithMargins="0"/>
    <c:pageMargins b="0.98425196850393704" l="0.74803149606299213" r="0.74803149606299213" t="0.98425196850393704" header="0.51181102362204722" footer="0.51181102362204722"/>
    <c:pageSetup paperSize="9"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590427788076153"/>
          <c:y val="0.23397536594841806"/>
          <c:w val="0.24819320911357973"/>
          <c:h val="0.6602592518544399"/>
        </c:manualLayout>
      </c:layout>
      <c:pieChart>
        <c:varyColors val="1"/>
        <c:ser>
          <c:idx val="2"/>
          <c:order val="0"/>
          <c:tx>
            <c:strRef>
              <c:f>Examples!$A$36</c:f>
              <c:strCache>
                <c:ptCount val="1"/>
                <c:pt idx="0">
                  <c:v>1975-76</c:v>
                </c:pt>
              </c:strCache>
            </c:strRef>
          </c:tx>
          <c:spPr>
            <a:ln>
              <a:solidFill>
                <a:schemeClr val="bg1"/>
              </a:solidFill>
            </a:ln>
          </c:spPr>
          <c:dPt>
            <c:idx val="0"/>
            <c:bubble3D val="0"/>
            <c:spPr>
              <a:solidFill>
                <a:srgbClr val="5DA4C1"/>
              </a:solidFill>
              <a:ln>
                <a:solidFill>
                  <a:schemeClr val="bg1"/>
                </a:solidFill>
              </a:ln>
              <a:effectLst/>
            </c:spPr>
            <c:extLst>
              <c:ext xmlns:c16="http://schemas.microsoft.com/office/drawing/2014/chart" uri="{C3380CC4-5D6E-409C-BE32-E72D297353CC}">
                <c16:uniqueId val="{00000001-4EA1-4D42-ABAE-EE028EFC6472}"/>
              </c:ext>
            </c:extLst>
          </c:dPt>
          <c:dPt>
            <c:idx val="1"/>
            <c:bubble3D val="0"/>
            <c:spPr>
              <a:solidFill>
                <a:schemeClr val="accent6"/>
              </a:solidFill>
              <a:ln>
                <a:solidFill>
                  <a:schemeClr val="bg1"/>
                </a:solidFill>
              </a:ln>
              <a:effectLst/>
            </c:spPr>
            <c:extLst>
              <c:ext xmlns:c16="http://schemas.microsoft.com/office/drawing/2014/chart" uri="{C3380CC4-5D6E-409C-BE32-E72D297353CC}">
                <c16:uniqueId val="{00000003-4EA1-4D42-ABAE-EE028EFC6472}"/>
              </c:ext>
            </c:extLst>
          </c:dPt>
          <c:dPt>
            <c:idx val="2"/>
            <c:bubble3D val="0"/>
            <c:spPr>
              <a:solidFill>
                <a:schemeClr val="accent5"/>
              </a:solidFill>
              <a:ln>
                <a:solidFill>
                  <a:schemeClr val="bg1"/>
                </a:solidFill>
              </a:ln>
              <a:effectLst/>
            </c:spPr>
            <c:extLst>
              <c:ext xmlns:c16="http://schemas.microsoft.com/office/drawing/2014/chart" uri="{C3380CC4-5D6E-409C-BE32-E72D297353CC}">
                <c16:uniqueId val="{00000005-4EA1-4D42-ABAE-EE028EFC6472}"/>
              </c:ext>
            </c:extLst>
          </c:dPt>
          <c:dPt>
            <c:idx val="3"/>
            <c:bubble3D val="0"/>
            <c:spPr>
              <a:solidFill>
                <a:srgbClr val="66C5EA"/>
              </a:solidFill>
              <a:ln>
                <a:solidFill>
                  <a:schemeClr val="bg1"/>
                </a:solidFill>
              </a:ln>
              <a:effectLst/>
            </c:spPr>
            <c:extLst>
              <c:ext xmlns:c16="http://schemas.microsoft.com/office/drawing/2014/chart" uri="{C3380CC4-5D6E-409C-BE32-E72D297353CC}">
                <c16:uniqueId val="{00000007-4EA1-4D42-ABAE-EE028EFC6472}"/>
              </c:ext>
            </c:extLst>
          </c:dPt>
          <c:dPt>
            <c:idx val="4"/>
            <c:bubble3D val="0"/>
            <c:spPr>
              <a:solidFill>
                <a:srgbClr val="0352A1"/>
              </a:solidFill>
              <a:ln>
                <a:solidFill>
                  <a:schemeClr val="bg1"/>
                </a:solidFill>
              </a:ln>
              <a:effectLst/>
            </c:spPr>
            <c:extLst>
              <c:ext xmlns:c16="http://schemas.microsoft.com/office/drawing/2014/chart" uri="{C3380CC4-5D6E-409C-BE32-E72D297353CC}">
                <c16:uniqueId val="{00000009-4EA1-4D42-ABAE-EE028EFC6472}"/>
              </c:ext>
            </c:extLst>
          </c:dPt>
          <c:dPt>
            <c:idx val="5"/>
            <c:bubble3D val="0"/>
            <c:spPr>
              <a:solidFill>
                <a:srgbClr val="AED2E0"/>
              </a:solidFill>
              <a:ln>
                <a:solidFill>
                  <a:schemeClr val="bg1"/>
                </a:solidFill>
              </a:ln>
              <a:effectLst/>
            </c:spPr>
            <c:extLst>
              <c:ext xmlns:c16="http://schemas.microsoft.com/office/drawing/2014/chart" uri="{C3380CC4-5D6E-409C-BE32-E72D297353CC}">
                <c16:uniqueId val="{0000000B-4EA1-4D42-ABAE-EE028EFC6472}"/>
              </c:ext>
            </c:extLst>
          </c:dPt>
          <c:dPt>
            <c:idx val="6"/>
            <c:bubble3D val="0"/>
            <c:spPr>
              <a:solidFill>
                <a:srgbClr val="D8DDE4"/>
              </a:solidFill>
              <a:ln>
                <a:solidFill>
                  <a:schemeClr val="bg1"/>
                </a:solidFill>
              </a:ln>
              <a:effectLst/>
            </c:spPr>
            <c:extLst>
              <c:ext xmlns:c16="http://schemas.microsoft.com/office/drawing/2014/chart" uri="{C3380CC4-5D6E-409C-BE32-E72D297353CC}">
                <c16:uniqueId val="{0000000D-4EA1-4D42-ABAE-EE028EFC6472}"/>
              </c:ext>
            </c:extLst>
          </c:dPt>
          <c:dPt>
            <c:idx val="7"/>
            <c:bubble3D val="0"/>
            <c:spPr>
              <a:solidFill>
                <a:srgbClr val="FFFFFF"/>
              </a:solidFill>
              <a:ln>
                <a:solidFill>
                  <a:schemeClr val="bg1"/>
                </a:solidFill>
              </a:ln>
              <a:effectLst/>
            </c:spPr>
            <c:extLst>
              <c:ext xmlns:c16="http://schemas.microsoft.com/office/drawing/2014/chart" uri="{C3380CC4-5D6E-409C-BE32-E72D297353CC}">
                <c16:uniqueId val="{0000000F-4EA1-4D42-ABAE-EE028EFC6472}"/>
              </c:ext>
            </c:extLst>
          </c:dPt>
          <c:dLbls>
            <c:dLbl>
              <c:idx val="0"/>
              <c:layout>
                <c:manualLayout>
                  <c:x val="4.4341647261246378E-3"/>
                  <c:y val="1.814435144257395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EA1-4D42-ABAE-EE028EFC6472}"/>
                </c:ext>
              </c:extLst>
            </c:dLbl>
            <c:dLbl>
              <c:idx val="1"/>
              <c:layout>
                <c:manualLayout>
                  <c:x val="0.10935570702679882"/>
                  <c:y val="-4.21332769931464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EA1-4D42-ABAE-EE028EFC6472}"/>
                </c:ext>
              </c:extLst>
            </c:dLbl>
            <c:dLbl>
              <c:idx val="2"/>
              <c:layout>
                <c:manualLayout>
                  <c:x val="-2.5373162064614652E-2"/>
                  <c:y val="-1.89414506201866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EA1-4D42-ABAE-EE028EFC64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Raleway" panose="020B0503030101060003" pitchFamily="34" charset="0"/>
                    <a:ea typeface="Myriad Pro"/>
                    <a:cs typeface="Myriad Pro"/>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Examples!$B$35:$F$35</c:f>
              <c:strCache>
                <c:ptCount val="5"/>
                <c:pt idx="0">
                  <c:v>Data 1</c:v>
                </c:pt>
                <c:pt idx="1">
                  <c:v>Data 2</c:v>
                </c:pt>
                <c:pt idx="2">
                  <c:v>Data 3</c:v>
                </c:pt>
                <c:pt idx="3">
                  <c:v>Data 4</c:v>
                </c:pt>
                <c:pt idx="4">
                  <c:v>Data 5</c:v>
                </c:pt>
              </c:strCache>
            </c:strRef>
          </c:cat>
          <c:val>
            <c:numRef>
              <c:f>Examples!$B$36:$F$36</c:f>
              <c:numCache>
                <c:formatCode>General</c:formatCode>
                <c:ptCount val="5"/>
                <c:pt idx="0">
                  <c:v>36.19</c:v>
                </c:pt>
                <c:pt idx="1">
                  <c:v>36.880000000000003</c:v>
                </c:pt>
                <c:pt idx="2">
                  <c:v>21.56</c:v>
                </c:pt>
                <c:pt idx="3">
                  <c:v>5.36</c:v>
                </c:pt>
                <c:pt idx="4">
                  <c:v>3.01</c:v>
                </c:pt>
              </c:numCache>
            </c:numRef>
          </c:val>
          <c:extLst>
            <c:ext xmlns:c16="http://schemas.microsoft.com/office/drawing/2014/chart" uri="{C3380CC4-5D6E-409C-BE32-E72D297353CC}">
              <c16:uniqueId val="{00000010-4EA1-4D42-ABAE-EE028EFC6472}"/>
            </c:ext>
          </c:extLst>
        </c:ser>
        <c:ser>
          <c:idx val="3"/>
          <c:order val="1"/>
          <c:tx>
            <c:strRef>
              <c:f>Examples!$A$37</c:f>
              <c:strCache>
                <c:ptCount val="1"/>
                <c:pt idx="0">
                  <c:v>1983-84</c:v>
                </c:pt>
              </c:strCache>
            </c:strRef>
          </c:tx>
          <c:dPt>
            <c:idx val="0"/>
            <c:bubble3D val="0"/>
            <c:spPr>
              <a:solidFill>
                <a:srgbClr val="1C355E"/>
              </a:solidFill>
              <a:ln>
                <a:noFill/>
              </a:ln>
              <a:effectLst/>
            </c:spPr>
            <c:extLst>
              <c:ext xmlns:c16="http://schemas.microsoft.com/office/drawing/2014/chart" uri="{C3380CC4-5D6E-409C-BE32-E72D297353CC}">
                <c16:uniqueId val="{00000012-4EA1-4D42-ABAE-EE028EFC6472}"/>
              </c:ext>
            </c:extLst>
          </c:dPt>
          <c:dPt>
            <c:idx val="1"/>
            <c:bubble3D val="0"/>
            <c:spPr>
              <a:solidFill>
                <a:srgbClr val="77869F"/>
              </a:solidFill>
              <a:ln>
                <a:noFill/>
              </a:ln>
              <a:effectLst/>
            </c:spPr>
            <c:extLst>
              <c:ext xmlns:c16="http://schemas.microsoft.com/office/drawing/2014/chart" uri="{C3380CC4-5D6E-409C-BE32-E72D297353CC}">
                <c16:uniqueId val="{00000014-4EA1-4D42-ABAE-EE028EFC6472}"/>
              </c:ext>
            </c:extLst>
          </c:dPt>
          <c:dPt>
            <c:idx val="2"/>
            <c:bubble3D val="0"/>
            <c:spPr>
              <a:solidFill>
                <a:srgbClr val="009DDB"/>
              </a:solidFill>
              <a:ln>
                <a:noFill/>
              </a:ln>
              <a:effectLst/>
            </c:spPr>
            <c:extLst>
              <c:ext xmlns:c16="http://schemas.microsoft.com/office/drawing/2014/chart" uri="{C3380CC4-5D6E-409C-BE32-E72D297353CC}">
                <c16:uniqueId val="{00000016-4EA1-4D42-ABAE-EE028EFC6472}"/>
              </c:ext>
            </c:extLst>
          </c:dPt>
          <c:dPt>
            <c:idx val="3"/>
            <c:bubble3D val="0"/>
            <c:spPr>
              <a:solidFill>
                <a:srgbClr val="66C5EA"/>
              </a:solidFill>
              <a:ln>
                <a:noFill/>
              </a:ln>
              <a:effectLst/>
            </c:spPr>
            <c:extLst>
              <c:ext xmlns:c16="http://schemas.microsoft.com/office/drawing/2014/chart" uri="{C3380CC4-5D6E-409C-BE32-E72D297353CC}">
                <c16:uniqueId val="{00000018-4EA1-4D42-ABAE-EE028EFC6472}"/>
              </c:ext>
            </c:extLst>
          </c:dPt>
          <c:dPt>
            <c:idx val="4"/>
            <c:bubble3D val="0"/>
            <c:spPr>
              <a:solidFill>
                <a:srgbClr val="115F7E"/>
              </a:solidFill>
              <a:ln>
                <a:noFill/>
              </a:ln>
              <a:effectLst/>
            </c:spPr>
            <c:extLst>
              <c:ext xmlns:c16="http://schemas.microsoft.com/office/drawing/2014/chart" uri="{C3380CC4-5D6E-409C-BE32-E72D297353CC}">
                <c16:uniqueId val="{0000001A-4EA1-4D42-ABAE-EE028EFC6472}"/>
              </c:ext>
            </c:extLst>
          </c:dPt>
          <c:dPt>
            <c:idx val="5"/>
            <c:bubble3D val="0"/>
            <c:spPr>
              <a:solidFill>
                <a:srgbClr val="AED2E0"/>
              </a:solidFill>
              <a:ln>
                <a:noFill/>
              </a:ln>
              <a:effectLst/>
            </c:spPr>
            <c:extLst>
              <c:ext xmlns:c16="http://schemas.microsoft.com/office/drawing/2014/chart" uri="{C3380CC4-5D6E-409C-BE32-E72D297353CC}">
                <c16:uniqueId val="{0000001C-4EA1-4D42-ABAE-EE028EFC6472}"/>
              </c:ext>
            </c:extLst>
          </c:dPt>
          <c:dPt>
            <c:idx val="6"/>
            <c:bubble3D val="0"/>
            <c:spPr>
              <a:solidFill>
                <a:srgbClr val="D8DDE4"/>
              </a:solidFill>
              <a:ln>
                <a:noFill/>
              </a:ln>
              <a:effectLst/>
            </c:spPr>
            <c:extLst>
              <c:ext xmlns:c16="http://schemas.microsoft.com/office/drawing/2014/chart" uri="{C3380CC4-5D6E-409C-BE32-E72D297353CC}">
                <c16:uniqueId val="{0000001E-4EA1-4D42-ABAE-EE028EFC6472}"/>
              </c:ext>
            </c:extLst>
          </c:dPt>
          <c:dPt>
            <c:idx val="7"/>
            <c:bubble3D val="0"/>
            <c:spPr>
              <a:solidFill>
                <a:srgbClr val="FFFFFF"/>
              </a:solidFill>
              <a:ln>
                <a:noFill/>
              </a:ln>
              <a:effectLst/>
            </c:spPr>
            <c:extLst>
              <c:ext xmlns:c16="http://schemas.microsoft.com/office/drawing/2014/chart" uri="{C3380CC4-5D6E-409C-BE32-E72D297353CC}">
                <c16:uniqueId val="{00000020-4EA1-4D42-ABAE-EE028EFC64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Examples!$B$35:$F$35</c:f>
              <c:strCache>
                <c:ptCount val="5"/>
                <c:pt idx="0">
                  <c:v>Data 1</c:v>
                </c:pt>
                <c:pt idx="1">
                  <c:v>Data 2</c:v>
                </c:pt>
                <c:pt idx="2">
                  <c:v>Data 3</c:v>
                </c:pt>
                <c:pt idx="3">
                  <c:v>Data 4</c:v>
                </c:pt>
                <c:pt idx="4">
                  <c:v>Data 5</c:v>
                </c:pt>
              </c:strCache>
            </c:strRef>
          </c:cat>
          <c:val>
            <c:numRef>
              <c:f>Examples!$B$37:$F$37</c:f>
              <c:numCache>
                <c:formatCode>General</c:formatCode>
                <c:ptCount val="5"/>
                <c:pt idx="0">
                  <c:v>39.39</c:v>
                </c:pt>
                <c:pt idx="1">
                  <c:v>32.020000000000003</c:v>
                </c:pt>
                <c:pt idx="2">
                  <c:v>21.6</c:v>
                </c:pt>
                <c:pt idx="3">
                  <c:v>7.01</c:v>
                </c:pt>
                <c:pt idx="4">
                  <c:v>3.36</c:v>
                </c:pt>
              </c:numCache>
            </c:numRef>
          </c:val>
          <c:extLst>
            <c:ext xmlns:c16="http://schemas.microsoft.com/office/drawing/2014/chart" uri="{C3380CC4-5D6E-409C-BE32-E72D297353CC}">
              <c16:uniqueId val="{00000021-4EA1-4D42-ABAE-EE028EFC6472}"/>
            </c:ext>
          </c:extLst>
        </c:ser>
        <c:ser>
          <c:idx val="1"/>
          <c:order val="2"/>
          <c:tx>
            <c:strRef>
              <c:f>Examples!$A$38</c:f>
              <c:strCache>
                <c:ptCount val="1"/>
                <c:pt idx="0">
                  <c:v>1988-89</c:v>
                </c:pt>
              </c:strCache>
            </c:strRef>
          </c:tx>
          <c:dPt>
            <c:idx val="0"/>
            <c:bubble3D val="0"/>
            <c:spPr>
              <a:solidFill>
                <a:srgbClr val="1C355E"/>
              </a:solidFill>
              <a:ln>
                <a:noFill/>
              </a:ln>
              <a:effectLst/>
            </c:spPr>
            <c:extLst>
              <c:ext xmlns:c16="http://schemas.microsoft.com/office/drawing/2014/chart" uri="{C3380CC4-5D6E-409C-BE32-E72D297353CC}">
                <c16:uniqueId val="{00000023-4EA1-4D42-ABAE-EE028EFC6472}"/>
              </c:ext>
            </c:extLst>
          </c:dPt>
          <c:dPt>
            <c:idx val="1"/>
            <c:bubble3D val="0"/>
            <c:spPr>
              <a:solidFill>
                <a:srgbClr val="77869F"/>
              </a:solidFill>
              <a:ln>
                <a:noFill/>
              </a:ln>
              <a:effectLst/>
            </c:spPr>
            <c:extLst>
              <c:ext xmlns:c16="http://schemas.microsoft.com/office/drawing/2014/chart" uri="{C3380CC4-5D6E-409C-BE32-E72D297353CC}">
                <c16:uniqueId val="{00000025-4EA1-4D42-ABAE-EE028EFC6472}"/>
              </c:ext>
            </c:extLst>
          </c:dPt>
          <c:dPt>
            <c:idx val="2"/>
            <c:bubble3D val="0"/>
            <c:spPr>
              <a:solidFill>
                <a:srgbClr val="009DDB"/>
              </a:solidFill>
              <a:ln>
                <a:noFill/>
              </a:ln>
              <a:effectLst/>
            </c:spPr>
            <c:extLst>
              <c:ext xmlns:c16="http://schemas.microsoft.com/office/drawing/2014/chart" uri="{C3380CC4-5D6E-409C-BE32-E72D297353CC}">
                <c16:uniqueId val="{00000027-4EA1-4D42-ABAE-EE028EFC6472}"/>
              </c:ext>
            </c:extLst>
          </c:dPt>
          <c:dPt>
            <c:idx val="3"/>
            <c:bubble3D val="0"/>
            <c:spPr>
              <a:solidFill>
                <a:srgbClr val="66C5EA"/>
              </a:solidFill>
              <a:ln>
                <a:noFill/>
              </a:ln>
              <a:effectLst/>
            </c:spPr>
            <c:extLst>
              <c:ext xmlns:c16="http://schemas.microsoft.com/office/drawing/2014/chart" uri="{C3380CC4-5D6E-409C-BE32-E72D297353CC}">
                <c16:uniqueId val="{00000029-4EA1-4D42-ABAE-EE028EFC6472}"/>
              </c:ext>
            </c:extLst>
          </c:dPt>
          <c:dPt>
            <c:idx val="4"/>
            <c:bubble3D val="0"/>
            <c:spPr>
              <a:solidFill>
                <a:srgbClr val="115F7E"/>
              </a:solidFill>
              <a:ln>
                <a:noFill/>
              </a:ln>
              <a:effectLst/>
            </c:spPr>
            <c:extLst>
              <c:ext xmlns:c16="http://schemas.microsoft.com/office/drawing/2014/chart" uri="{C3380CC4-5D6E-409C-BE32-E72D297353CC}">
                <c16:uniqueId val="{0000002B-4EA1-4D42-ABAE-EE028EFC6472}"/>
              </c:ext>
            </c:extLst>
          </c:dPt>
          <c:dPt>
            <c:idx val="5"/>
            <c:bubble3D val="0"/>
            <c:spPr>
              <a:solidFill>
                <a:srgbClr val="AED2E0"/>
              </a:solidFill>
              <a:ln>
                <a:noFill/>
              </a:ln>
              <a:effectLst/>
            </c:spPr>
            <c:extLst>
              <c:ext xmlns:c16="http://schemas.microsoft.com/office/drawing/2014/chart" uri="{C3380CC4-5D6E-409C-BE32-E72D297353CC}">
                <c16:uniqueId val="{0000002D-4EA1-4D42-ABAE-EE028EFC6472}"/>
              </c:ext>
            </c:extLst>
          </c:dPt>
          <c:dPt>
            <c:idx val="6"/>
            <c:bubble3D val="0"/>
            <c:spPr>
              <a:solidFill>
                <a:srgbClr val="D8DDE4"/>
              </a:solidFill>
              <a:ln>
                <a:noFill/>
              </a:ln>
              <a:effectLst/>
            </c:spPr>
            <c:extLst>
              <c:ext xmlns:c16="http://schemas.microsoft.com/office/drawing/2014/chart" uri="{C3380CC4-5D6E-409C-BE32-E72D297353CC}">
                <c16:uniqueId val="{0000002F-4EA1-4D42-ABAE-EE028EFC6472}"/>
              </c:ext>
            </c:extLst>
          </c:dPt>
          <c:dPt>
            <c:idx val="7"/>
            <c:bubble3D val="0"/>
            <c:spPr>
              <a:solidFill>
                <a:srgbClr val="FFFFFF"/>
              </a:solidFill>
              <a:ln>
                <a:noFill/>
              </a:ln>
              <a:effectLst/>
            </c:spPr>
            <c:extLst>
              <c:ext xmlns:c16="http://schemas.microsoft.com/office/drawing/2014/chart" uri="{C3380CC4-5D6E-409C-BE32-E72D297353CC}">
                <c16:uniqueId val="{00000031-4EA1-4D42-ABAE-EE028EFC64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Examples!$B$35:$F$35</c:f>
              <c:strCache>
                <c:ptCount val="5"/>
                <c:pt idx="0">
                  <c:v>Data 1</c:v>
                </c:pt>
                <c:pt idx="1">
                  <c:v>Data 2</c:v>
                </c:pt>
                <c:pt idx="2">
                  <c:v>Data 3</c:v>
                </c:pt>
                <c:pt idx="3">
                  <c:v>Data 4</c:v>
                </c:pt>
                <c:pt idx="4">
                  <c:v>Data 5</c:v>
                </c:pt>
              </c:strCache>
            </c:strRef>
          </c:cat>
          <c:val>
            <c:numRef>
              <c:f>Examples!$B$38:$F$38</c:f>
              <c:numCache>
                <c:formatCode>General</c:formatCode>
                <c:ptCount val="5"/>
                <c:pt idx="0">
                  <c:v>42.78</c:v>
                </c:pt>
                <c:pt idx="1">
                  <c:v>29.91</c:v>
                </c:pt>
                <c:pt idx="2">
                  <c:v>18.350000000000001</c:v>
                </c:pt>
                <c:pt idx="3">
                  <c:v>6.33</c:v>
                </c:pt>
                <c:pt idx="4">
                  <c:v>2.63</c:v>
                </c:pt>
              </c:numCache>
            </c:numRef>
          </c:val>
          <c:extLst>
            <c:ext xmlns:c16="http://schemas.microsoft.com/office/drawing/2014/chart" uri="{C3380CC4-5D6E-409C-BE32-E72D297353CC}">
              <c16:uniqueId val="{00000032-4EA1-4D42-ABAE-EE028EFC6472}"/>
            </c:ext>
          </c:extLst>
        </c:ser>
        <c:ser>
          <c:idx val="0"/>
          <c:order val="3"/>
          <c:tx>
            <c:strRef>
              <c:f>Examples!$A$39</c:f>
              <c:strCache>
                <c:ptCount val="1"/>
                <c:pt idx="0">
                  <c:v>1993-94</c:v>
                </c:pt>
              </c:strCache>
            </c:strRef>
          </c:tx>
          <c:dPt>
            <c:idx val="0"/>
            <c:bubble3D val="0"/>
            <c:spPr>
              <a:solidFill>
                <a:srgbClr val="1C355E"/>
              </a:solidFill>
              <a:ln>
                <a:noFill/>
              </a:ln>
              <a:effectLst/>
            </c:spPr>
            <c:extLst>
              <c:ext xmlns:c16="http://schemas.microsoft.com/office/drawing/2014/chart" uri="{C3380CC4-5D6E-409C-BE32-E72D297353CC}">
                <c16:uniqueId val="{00000034-4EA1-4D42-ABAE-EE028EFC6472}"/>
              </c:ext>
            </c:extLst>
          </c:dPt>
          <c:dPt>
            <c:idx val="1"/>
            <c:bubble3D val="0"/>
            <c:spPr>
              <a:solidFill>
                <a:srgbClr val="77869F"/>
              </a:solidFill>
              <a:ln>
                <a:noFill/>
              </a:ln>
              <a:effectLst/>
            </c:spPr>
            <c:extLst>
              <c:ext xmlns:c16="http://schemas.microsoft.com/office/drawing/2014/chart" uri="{C3380CC4-5D6E-409C-BE32-E72D297353CC}">
                <c16:uniqueId val="{00000036-4EA1-4D42-ABAE-EE028EFC6472}"/>
              </c:ext>
            </c:extLst>
          </c:dPt>
          <c:dPt>
            <c:idx val="2"/>
            <c:bubble3D val="0"/>
            <c:spPr>
              <a:solidFill>
                <a:srgbClr val="009DDB"/>
              </a:solidFill>
              <a:ln>
                <a:noFill/>
              </a:ln>
              <a:effectLst/>
            </c:spPr>
            <c:extLst>
              <c:ext xmlns:c16="http://schemas.microsoft.com/office/drawing/2014/chart" uri="{C3380CC4-5D6E-409C-BE32-E72D297353CC}">
                <c16:uniqueId val="{00000038-4EA1-4D42-ABAE-EE028EFC6472}"/>
              </c:ext>
            </c:extLst>
          </c:dPt>
          <c:dPt>
            <c:idx val="3"/>
            <c:bubble3D val="0"/>
            <c:spPr>
              <a:solidFill>
                <a:srgbClr val="66C5EA"/>
              </a:solidFill>
              <a:ln>
                <a:noFill/>
              </a:ln>
              <a:effectLst/>
            </c:spPr>
            <c:extLst>
              <c:ext xmlns:c16="http://schemas.microsoft.com/office/drawing/2014/chart" uri="{C3380CC4-5D6E-409C-BE32-E72D297353CC}">
                <c16:uniqueId val="{0000003A-4EA1-4D42-ABAE-EE028EFC6472}"/>
              </c:ext>
            </c:extLst>
          </c:dPt>
          <c:dPt>
            <c:idx val="4"/>
            <c:bubble3D val="0"/>
            <c:spPr>
              <a:solidFill>
                <a:srgbClr val="115F7E"/>
              </a:solidFill>
              <a:ln>
                <a:noFill/>
              </a:ln>
              <a:effectLst/>
            </c:spPr>
            <c:extLst>
              <c:ext xmlns:c16="http://schemas.microsoft.com/office/drawing/2014/chart" uri="{C3380CC4-5D6E-409C-BE32-E72D297353CC}">
                <c16:uniqueId val="{0000003C-4EA1-4D42-ABAE-EE028EFC6472}"/>
              </c:ext>
            </c:extLst>
          </c:dPt>
          <c:dPt>
            <c:idx val="5"/>
            <c:bubble3D val="0"/>
            <c:spPr>
              <a:solidFill>
                <a:srgbClr val="AED2E0"/>
              </a:solidFill>
              <a:ln>
                <a:noFill/>
              </a:ln>
              <a:effectLst/>
            </c:spPr>
            <c:extLst>
              <c:ext xmlns:c16="http://schemas.microsoft.com/office/drawing/2014/chart" uri="{C3380CC4-5D6E-409C-BE32-E72D297353CC}">
                <c16:uniqueId val="{0000003E-4EA1-4D42-ABAE-EE028EFC6472}"/>
              </c:ext>
            </c:extLst>
          </c:dPt>
          <c:dPt>
            <c:idx val="6"/>
            <c:bubble3D val="0"/>
            <c:spPr>
              <a:solidFill>
                <a:srgbClr val="D8DDE4"/>
              </a:solidFill>
              <a:ln>
                <a:noFill/>
              </a:ln>
              <a:effectLst/>
            </c:spPr>
            <c:extLst>
              <c:ext xmlns:c16="http://schemas.microsoft.com/office/drawing/2014/chart" uri="{C3380CC4-5D6E-409C-BE32-E72D297353CC}">
                <c16:uniqueId val="{00000040-4EA1-4D42-ABAE-EE028EFC6472}"/>
              </c:ext>
            </c:extLst>
          </c:dPt>
          <c:dPt>
            <c:idx val="7"/>
            <c:bubble3D val="0"/>
            <c:spPr>
              <a:solidFill>
                <a:srgbClr val="FFFFFF"/>
              </a:solidFill>
              <a:ln>
                <a:noFill/>
              </a:ln>
              <a:effectLst/>
            </c:spPr>
            <c:extLst>
              <c:ext xmlns:c16="http://schemas.microsoft.com/office/drawing/2014/chart" uri="{C3380CC4-5D6E-409C-BE32-E72D297353CC}">
                <c16:uniqueId val="{00000042-4EA1-4D42-ABAE-EE028EFC6472}"/>
              </c:ext>
            </c:extLst>
          </c:dPt>
          <c:dLbls>
            <c:dLbl>
              <c:idx val="1"/>
              <c:layout>
                <c:manualLayout>
                  <c:x val="2.779921010822416E-2"/>
                  <c:y val="-5.10012674271229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36-4EA1-4D42-ABAE-EE028EFC6472}"/>
                </c:ext>
              </c:extLst>
            </c:dLbl>
            <c:dLbl>
              <c:idx val="7"/>
              <c:layout>
                <c:manualLayout>
                  <c:x val="1.9893319786639576E-2"/>
                  <c:y val="-1.79276069578755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2-4EA1-4D42-ABAE-EE028EFC6472}"/>
                </c:ext>
              </c:extLst>
            </c:dLbl>
            <c:numFmt formatCode="0.0%" sourceLinked="0"/>
            <c:spPr>
              <a:noFill/>
              <a:ln w="25400">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Examples!$B$35:$F$35</c:f>
              <c:strCache>
                <c:ptCount val="5"/>
                <c:pt idx="0">
                  <c:v>Data 1</c:v>
                </c:pt>
                <c:pt idx="1">
                  <c:v>Data 2</c:v>
                </c:pt>
                <c:pt idx="2">
                  <c:v>Data 3</c:v>
                </c:pt>
                <c:pt idx="3">
                  <c:v>Data 4</c:v>
                </c:pt>
                <c:pt idx="4">
                  <c:v>Data 5</c:v>
                </c:pt>
              </c:strCache>
            </c:strRef>
          </c:cat>
          <c:val>
            <c:numRef>
              <c:f>Examples!$B$39:$F$39</c:f>
              <c:numCache>
                <c:formatCode>General</c:formatCode>
                <c:ptCount val="5"/>
                <c:pt idx="0">
                  <c:v>42.13</c:v>
                </c:pt>
                <c:pt idx="1">
                  <c:v>26.53</c:v>
                </c:pt>
                <c:pt idx="2">
                  <c:v>21.6</c:v>
                </c:pt>
                <c:pt idx="3">
                  <c:v>7.01</c:v>
                </c:pt>
                <c:pt idx="4">
                  <c:v>2.72</c:v>
                </c:pt>
              </c:numCache>
            </c:numRef>
          </c:val>
          <c:extLst>
            <c:ext xmlns:c16="http://schemas.microsoft.com/office/drawing/2014/chart" uri="{C3380CC4-5D6E-409C-BE32-E72D297353CC}">
              <c16:uniqueId val="{00000043-4EA1-4D42-ABAE-EE028EFC6472}"/>
            </c:ext>
          </c:extLst>
        </c:ser>
        <c:ser>
          <c:idx val="4"/>
          <c:order val="4"/>
          <c:tx>
            <c:strRef>
              <c:f>Examples!$A$40</c:f>
              <c:strCache>
                <c:ptCount val="1"/>
                <c:pt idx="0">
                  <c:v>1996-97</c:v>
                </c:pt>
              </c:strCache>
            </c:strRef>
          </c:tx>
          <c:dPt>
            <c:idx val="0"/>
            <c:bubble3D val="0"/>
            <c:spPr>
              <a:solidFill>
                <a:srgbClr val="1C355E"/>
              </a:solidFill>
              <a:ln>
                <a:noFill/>
              </a:ln>
              <a:effectLst/>
            </c:spPr>
            <c:extLst>
              <c:ext xmlns:c16="http://schemas.microsoft.com/office/drawing/2014/chart" uri="{C3380CC4-5D6E-409C-BE32-E72D297353CC}">
                <c16:uniqueId val="{00000045-4EA1-4D42-ABAE-EE028EFC6472}"/>
              </c:ext>
            </c:extLst>
          </c:dPt>
          <c:dPt>
            <c:idx val="1"/>
            <c:bubble3D val="0"/>
            <c:spPr>
              <a:solidFill>
                <a:srgbClr val="77869F"/>
              </a:solidFill>
              <a:ln>
                <a:noFill/>
              </a:ln>
              <a:effectLst/>
            </c:spPr>
            <c:extLst>
              <c:ext xmlns:c16="http://schemas.microsoft.com/office/drawing/2014/chart" uri="{C3380CC4-5D6E-409C-BE32-E72D297353CC}">
                <c16:uniqueId val="{00000047-4EA1-4D42-ABAE-EE028EFC6472}"/>
              </c:ext>
            </c:extLst>
          </c:dPt>
          <c:dPt>
            <c:idx val="2"/>
            <c:bubble3D val="0"/>
            <c:spPr>
              <a:solidFill>
                <a:srgbClr val="009DDB"/>
              </a:solidFill>
              <a:ln>
                <a:noFill/>
              </a:ln>
              <a:effectLst/>
            </c:spPr>
            <c:extLst>
              <c:ext xmlns:c16="http://schemas.microsoft.com/office/drawing/2014/chart" uri="{C3380CC4-5D6E-409C-BE32-E72D297353CC}">
                <c16:uniqueId val="{00000049-4EA1-4D42-ABAE-EE028EFC6472}"/>
              </c:ext>
            </c:extLst>
          </c:dPt>
          <c:dPt>
            <c:idx val="3"/>
            <c:bubble3D val="0"/>
            <c:spPr>
              <a:solidFill>
                <a:srgbClr val="66C5EA"/>
              </a:solidFill>
              <a:ln>
                <a:noFill/>
              </a:ln>
              <a:effectLst/>
            </c:spPr>
            <c:extLst>
              <c:ext xmlns:c16="http://schemas.microsoft.com/office/drawing/2014/chart" uri="{C3380CC4-5D6E-409C-BE32-E72D297353CC}">
                <c16:uniqueId val="{0000004B-4EA1-4D42-ABAE-EE028EFC6472}"/>
              </c:ext>
            </c:extLst>
          </c:dPt>
          <c:dPt>
            <c:idx val="4"/>
            <c:bubble3D val="0"/>
            <c:spPr>
              <a:solidFill>
                <a:srgbClr val="115F7E"/>
              </a:solidFill>
              <a:ln>
                <a:noFill/>
              </a:ln>
              <a:effectLst/>
            </c:spPr>
            <c:extLst>
              <c:ext xmlns:c16="http://schemas.microsoft.com/office/drawing/2014/chart" uri="{C3380CC4-5D6E-409C-BE32-E72D297353CC}">
                <c16:uniqueId val="{0000004D-4EA1-4D42-ABAE-EE028EFC6472}"/>
              </c:ext>
            </c:extLst>
          </c:dPt>
          <c:dPt>
            <c:idx val="5"/>
            <c:bubble3D val="0"/>
            <c:spPr>
              <a:solidFill>
                <a:srgbClr val="AED2E0"/>
              </a:solidFill>
              <a:ln>
                <a:noFill/>
              </a:ln>
              <a:effectLst/>
            </c:spPr>
            <c:extLst>
              <c:ext xmlns:c16="http://schemas.microsoft.com/office/drawing/2014/chart" uri="{C3380CC4-5D6E-409C-BE32-E72D297353CC}">
                <c16:uniqueId val="{0000004F-4EA1-4D42-ABAE-EE028EFC6472}"/>
              </c:ext>
            </c:extLst>
          </c:dPt>
          <c:dPt>
            <c:idx val="6"/>
            <c:bubble3D val="0"/>
            <c:spPr>
              <a:solidFill>
                <a:srgbClr val="D8DDE4"/>
              </a:solidFill>
              <a:ln>
                <a:noFill/>
              </a:ln>
              <a:effectLst/>
            </c:spPr>
            <c:extLst>
              <c:ext xmlns:c16="http://schemas.microsoft.com/office/drawing/2014/chart" uri="{C3380CC4-5D6E-409C-BE32-E72D297353CC}">
                <c16:uniqueId val="{00000051-4EA1-4D42-ABAE-EE028EFC6472}"/>
              </c:ext>
            </c:extLst>
          </c:dPt>
          <c:dPt>
            <c:idx val="7"/>
            <c:bubble3D val="0"/>
            <c:spPr>
              <a:solidFill>
                <a:srgbClr val="FFFFFF"/>
              </a:solidFill>
              <a:ln>
                <a:noFill/>
              </a:ln>
              <a:effectLst/>
            </c:spPr>
            <c:extLst>
              <c:ext xmlns:c16="http://schemas.microsoft.com/office/drawing/2014/chart" uri="{C3380CC4-5D6E-409C-BE32-E72D297353CC}">
                <c16:uniqueId val="{00000053-4EA1-4D42-ABAE-EE028EFC64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Examples!$B$35:$F$35</c:f>
              <c:strCache>
                <c:ptCount val="5"/>
                <c:pt idx="0">
                  <c:v>Data 1</c:v>
                </c:pt>
                <c:pt idx="1">
                  <c:v>Data 2</c:v>
                </c:pt>
                <c:pt idx="2">
                  <c:v>Data 3</c:v>
                </c:pt>
                <c:pt idx="3">
                  <c:v>Data 4</c:v>
                </c:pt>
                <c:pt idx="4">
                  <c:v>Data 5</c:v>
                </c:pt>
              </c:strCache>
            </c:strRef>
          </c:cat>
          <c:val>
            <c:numRef>
              <c:f>Examples!$B$40:$F$40</c:f>
              <c:numCache>
                <c:formatCode>General</c:formatCode>
                <c:ptCount val="5"/>
                <c:pt idx="0">
                  <c:v>41.69</c:v>
                </c:pt>
                <c:pt idx="1">
                  <c:v>24.76</c:v>
                </c:pt>
                <c:pt idx="2">
                  <c:v>23.98</c:v>
                </c:pt>
                <c:pt idx="3">
                  <c:v>7</c:v>
                </c:pt>
                <c:pt idx="4">
                  <c:v>2.57</c:v>
                </c:pt>
              </c:numCache>
            </c:numRef>
          </c:val>
          <c:extLst>
            <c:ext xmlns:c16="http://schemas.microsoft.com/office/drawing/2014/chart" uri="{C3380CC4-5D6E-409C-BE32-E72D297353CC}">
              <c16:uniqueId val="{00000054-4EA1-4D42-ABAE-EE028EFC6472}"/>
            </c:ext>
          </c:extLst>
        </c:ser>
        <c:ser>
          <c:idx val="5"/>
          <c:order val="5"/>
          <c:tx>
            <c:strRef>
              <c:f>Examples!$A$41</c:f>
              <c:strCache>
                <c:ptCount val="1"/>
                <c:pt idx="0">
                  <c:v>1997-98</c:v>
                </c:pt>
              </c:strCache>
            </c:strRef>
          </c:tx>
          <c:dPt>
            <c:idx val="0"/>
            <c:bubble3D val="0"/>
            <c:spPr>
              <a:solidFill>
                <a:srgbClr val="1C355E"/>
              </a:solidFill>
              <a:ln>
                <a:noFill/>
              </a:ln>
              <a:effectLst/>
            </c:spPr>
            <c:extLst>
              <c:ext xmlns:c16="http://schemas.microsoft.com/office/drawing/2014/chart" uri="{C3380CC4-5D6E-409C-BE32-E72D297353CC}">
                <c16:uniqueId val="{00000056-4EA1-4D42-ABAE-EE028EFC6472}"/>
              </c:ext>
            </c:extLst>
          </c:dPt>
          <c:dPt>
            <c:idx val="1"/>
            <c:bubble3D val="0"/>
            <c:spPr>
              <a:solidFill>
                <a:srgbClr val="77869F"/>
              </a:solidFill>
              <a:ln>
                <a:noFill/>
              </a:ln>
              <a:effectLst/>
            </c:spPr>
            <c:extLst>
              <c:ext xmlns:c16="http://schemas.microsoft.com/office/drawing/2014/chart" uri="{C3380CC4-5D6E-409C-BE32-E72D297353CC}">
                <c16:uniqueId val="{00000058-4EA1-4D42-ABAE-EE028EFC6472}"/>
              </c:ext>
            </c:extLst>
          </c:dPt>
          <c:dPt>
            <c:idx val="2"/>
            <c:bubble3D val="0"/>
            <c:spPr>
              <a:solidFill>
                <a:srgbClr val="009DDB"/>
              </a:solidFill>
              <a:ln>
                <a:noFill/>
              </a:ln>
              <a:effectLst/>
            </c:spPr>
            <c:extLst>
              <c:ext xmlns:c16="http://schemas.microsoft.com/office/drawing/2014/chart" uri="{C3380CC4-5D6E-409C-BE32-E72D297353CC}">
                <c16:uniqueId val="{0000005A-4EA1-4D42-ABAE-EE028EFC6472}"/>
              </c:ext>
            </c:extLst>
          </c:dPt>
          <c:dPt>
            <c:idx val="3"/>
            <c:bubble3D val="0"/>
            <c:spPr>
              <a:solidFill>
                <a:srgbClr val="66C5EA"/>
              </a:solidFill>
              <a:ln>
                <a:noFill/>
              </a:ln>
              <a:effectLst/>
            </c:spPr>
            <c:extLst>
              <c:ext xmlns:c16="http://schemas.microsoft.com/office/drawing/2014/chart" uri="{C3380CC4-5D6E-409C-BE32-E72D297353CC}">
                <c16:uniqueId val="{0000005C-4EA1-4D42-ABAE-EE028EFC6472}"/>
              </c:ext>
            </c:extLst>
          </c:dPt>
          <c:dPt>
            <c:idx val="4"/>
            <c:bubble3D val="0"/>
            <c:spPr>
              <a:solidFill>
                <a:srgbClr val="115F7E"/>
              </a:solidFill>
              <a:ln>
                <a:noFill/>
              </a:ln>
              <a:effectLst/>
            </c:spPr>
            <c:extLst>
              <c:ext xmlns:c16="http://schemas.microsoft.com/office/drawing/2014/chart" uri="{C3380CC4-5D6E-409C-BE32-E72D297353CC}">
                <c16:uniqueId val="{0000005E-4EA1-4D42-ABAE-EE028EFC6472}"/>
              </c:ext>
            </c:extLst>
          </c:dPt>
          <c:dPt>
            <c:idx val="5"/>
            <c:bubble3D val="0"/>
            <c:spPr>
              <a:solidFill>
                <a:srgbClr val="AED2E0"/>
              </a:solidFill>
              <a:ln>
                <a:noFill/>
              </a:ln>
              <a:effectLst/>
            </c:spPr>
            <c:extLst>
              <c:ext xmlns:c16="http://schemas.microsoft.com/office/drawing/2014/chart" uri="{C3380CC4-5D6E-409C-BE32-E72D297353CC}">
                <c16:uniqueId val="{00000060-4EA1-4D42-ABAE-EE028EFC6472}"/>
              </c:ext>
            </c:extLst>
          </c:dPt>
          <c:dPt>
            <c:idx val="6"/>
            <c:bubble3D val="0"/>
            <c:spPr>
              <a:solidFill>
                <a:srgbClr val="D8DDE4"/>
              </a:solidFill>
              <a:ln>
                <a:noFill/>
              </a:ln>
              <a:effectLst/>
            </c:spPr>
            <c:extLst>
              <c:ext xmlns:c16="http://schemas.microsoft.com/office/drawing/2014/chart" uri="{C3380CC4-5D6E-409C-BE32-E72D297353CC}">
                <c16:uniqueId val="{00000062-4EA1-4D42-ABAE-EE028EFC6472}"/>
              </c:ext>
            </c:extLst>
          </c:dPt>
          <c:dPt>
            <c:idx val="7"/>
            <c:bubble3D val="0"/>
            <c:spPr>
              <a:solidFill>
                <a:srgbClr val="FFFFFF"/>
              </a:solidFill>
              <a:ln>
                <a:noFill/>
              </a:ln>
              <a:effectLst/>
            </c:spPr>
            <c:extLst>
              <c:ext xmlns:c16="http://schemas.microsoft.com/office/drawing/2014/chart" uri="{C3380CC4-5D6E-409C-BE32-E72D297353CC}">
                <c16:uniqueId val="{00000064-4EA1-4D42-ABAE-EE028EFC64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Examples!$B$35:$F$35</c:f>
              <c:strCache>
                <c:ptCount val="5"/>
                <c:pt idx="0">
                  <c:v>Data 1</c:v>
                </c:pt>
                <c:pt idx="1">
                  <c:v>Data 2</c:v>
                </c:pt>
                <c:pt idx="2">
                  <c:v>Data 3</c:v>
                </c:pt>
                <c:pt idx="3">
                  <c:v>Data 4</c:v>
                </c:pt>
                <c:pt idx="4">
                  <c:v>Data 5</c:v>
                </c:pt>
              </c:strCache>
            </c:strRef>
          </c:cat>
          <c:val>
            <c:numRef>
              <c:f>Examples!$B$41:$F$41</c:f>
              <c:numCache>
                <c:formatCode>General</c:formatCode>
                <c:ptCount val="5"/>
                <c:pt idx="0">
                  <c:v>39.39</c:v>
                </c:pt>
                <c:pt idx="1">
                  <c:v>32.020000000000003</c:v>
                </c:pt>
                <c:pt idx="2">
                  <c:v>21.6</c:v>
                </c:pt>
                <c:pt idx="3">
                  <c:v>7.01</c:v>
                </c:pt>
                <c:pt idx="4">
                  <c:v>3.36</c:v>
                </c:pt>
              </c:numCache>
            </c:numRef>
          </c:val>
          <c:extLst>
            <c:ext xmlns:c16="http://schemas.microsoft.com/office/drawing/2014/chart" uri="{C3380CC4-5D6E-409C-BE32-E72D297353CC}">
              <c16:uniqueId val="{00000065-4EA1-4D42-ABAE-EE028EFC6472}"/>
            </c:ext>
          </c:extLst>
        </c:ser>
        <c:ser>
          <c:idx val="6"/>
          <c:order val="6"/>
          <c:tx>
            <c:strRef>
              <c:f>Examples!$A$42</c:f>
              <c:strCache>
                <c:ptCount val="1"/>
                <c:pt idx="0">
                  <c:v>1998-99</c:v>
                </c:pt>
              </c:strCache>
            </c:strRef>
          </c:tx>
          <c:dPt>
            <c:idx val="0"/>
            <c:bubble3D val="0"/>
            <c:spPr>
              <a:solidFill>
                <a:srgbClr val="1C355E"/>
              </a:solidFill>
              <a:ln>
                <a:noFill/>
              </a:ln>
              <a:effectLst/>
            </c:spPr>
            <c:extLst>
              <c:ext xmlns:c16="http://schemas.microsoft.com/office/drawing/2014/chart" uri="{C3380CC4-5D6E-409C-BE32-E72D297353CC}">
                <c16:uniqueId val="{00000067-4EA1-4D42-ABAE-EE028EFC6472}"/>
              </c:ext>
            </c:extLst>
          </c:dPt>
          <c:dPt>
            <c:idx val="1"/>
            <c:bubble3D val="0"/>
            <c:spPr>
              <a:solidFill>
                <a:srgbClr val="77869F"/>
              </a:solidFill>
              <a:ln>
                <a:noFill/>
              </a:ln>
              <a:effectLst/>
            </c:spPr>
            <c:extLst>
              <c:ext xmlns:c16="http://schemas.microsoft.com/office/drawing/2014/chart" uri="{C3380CC4-5D6E-409C-BE32-E72D297353CC}">
                <c16:uniqueId val="{00000069-4EA1-4D42-ABAE-EE028EFC6472}"/>
              </c:ext>
            </c:extLst>
          </c:dPt>
          <c:dPt>
            <c:idx val="2"/>
            <c:bubble3D val="0"/>
            <c:spPr>
              <a:solidFill>
                <a:srgbClr val="009DDB"/>
              </a:solidFill>
              <a:ln>
                <a:noFill/>
              </a:ln>
              <a:effectLst/>
            </c:spPr>
            <c:extLst>
              <c:ext xmlns:c16="http://schemas.microsoft.com/office/drawing/2014/chart" uri="{C3380CC4-5D6E-409C-BE32-E72D297353CC}">
                <c16:uniqueId val="{0000006B-4EA1-4D42-ABAE-EE028EFC6472}"/>
              </c:ext>
            </c:extLst>
          </c:dPt>
          <c:dPt>
            <c:idx val="3"/>
            <c:bubble3D val="0"/>
            <c:spPr>
              <a:solidFill>
                <a:srgbClr val="66C5EA"/>
              </a:solidFill>
              <a:ln>
                <a:noFill/>
              </a:ln>
              <a:effectLst/>
            </c:spPr>
            <c:extLst>
              <c:ext xmlns:c16="http://schemas.microsoft.com/office/drawing/2014/chart" uri="{C3380CC4-5D6E-409C-BE32-E72D297353CC}">
                <c16:uniqueId val="{0000006D-4EA1-4D42-ABAE-EE028EFC6472}"/>
              </c:ext>
            </c:extLst>
          </c:dPt>
          <c:dPt>
            <c:idx val="4"/>
            <c:bubble3D val="0"/>
            <c:spPr>
              <a:solidFill>
                <a:srgbClr val="115F7E"/>
              </a:solidFill>
              <a:ln>
                <a:noFill/>
              </a:ln>
              <a:effectLst/>
            </c:spPr>
            <c:extLst>
              <c:ext xmlns:c16="http://schemas.microsoft.com/office/drawing/2014/chart" uri="{C3380CC4-5D6E-409C-BE32-E72D297353CC}">
                <c16:uniqueId val="{0000006F-4EA1-4D42-ABAE-EE028EFC6472}"/>
              </c:ext>
            </c:extLst>
          </c:dPt>
          <c:dPt>
            <c:idx val="5"/>
            <c:bubble3D val="0"/>
            <c:spPr>
              <a:solidFill>
                <a:srgbClr val="AED2E0"/>
              </a:solidFill>
              <a:ln>
                <a:noFill/>
              </a:ln>
              <a:effectLst/>
            </c:spPr>
            <c:extLst>
              <c:ext xmlns:c16="http://schemas.microsoft.com/office/drawing/2014/chart" uri="{C3380CC4-5D6E-409C-BE32-E72D297353CC}">
                <c16:uniqueId val="{00000071-4EA1-4D42-ABAE-EE028EFC6472}"/>
              </c:ext>
            </c:extLst>
          </c:dPt>
          <c:dPt>
            <c:idx val="6"/>
            <c:bubble3D val="0"/>
            <c:spPr>
              <a:solidFill>
                <a:srgbClr val="D8DDE4"/>
              </a:solidFill>
              <a:ln>
                <a:noFill/>
              </a:ln>
              <a:effectLst/>
            </c:spPr>
            <c:extLst>
              <c:ext xmlns:c16="http://schemas.microsoft.com/office/drawing/2014/chart" uri="{C3380CC4-5D6E-409C-BE32-E72D297353CC}">
                <c16:uniqueId val="{00000073-4EA1-4D42-ABAE-EE028EFC6472}"/>
              </c:ext>
            </c:extLst>
          </c:dPt>
          <c:dPt>
            <c:idx val="7"/>
            <c:bubble3D val="0"/>
            <c:spPr>
              <a:solidFill>
                <a:srgbClr val="FFFFFF"/>
              </a:solidFill>
              <a:ln>
                <a:noFill/>
              </a:ln>
              <a:effectLst/>
            </c:spPr>
            <c:extLst>
              <c:ext xmlns:c16="http://schemas.microsoft.com/office/drawing/2014/chart" uri="{C3380CC4-5D6E-409C-BE32-E72D297353CC}">
                <c16:uniqueId val="{00000075-4EA1-4D42-ABAE-EE028EFC64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Examples!$B$35:$F$35</c:f>
              <c:strCache>
                <c:ptCount val="5"/>
                <c:pt idx="0">
                  <c:v>Data 1</c:v>
                </c:pt>
                <c:pt idx="1">
                  <c:v>Data 2</c:v>
                </c:pt>
                <c:pt idx="2">
                  <c:v>Data 3</c:v>
                </c:pt>
                <c:pt idx="3">
                  <c:v>Data 4</c:v>
                </c:pt>
                <c:pt idx="4">
                  <c:v>Data 5</c:v>
                </c:pt>
              </c:strCache>
            </c:strRef>
          </c:cat>
          <c:val>
            <c:numRef>
              <c:f>Examples!$B$42:$F$42</c:f>
              <c:numCache>
                <c:formatCode>General</c:formatCode>
                <c:ptCount val="5"/>
                <c:pt idx="0">
                  <c:v>42.13</c:v>
                </c:pt>
                <c:pt idx="1">
                  <c:v>26.53</c:v>
                </c:pt>
                <c:pt idx="2">
                  <c:v>21.6</c:v>
                </c:pt>
                <c:pt idx="3">
                  <c:v>7.01</c:v>
                </c:pt>
                <c:pt idx="4">
                  <c:v>2.72</c:v>
                </c:pt>
              </c:numCache>
            </c:numRef>
          </c:val>
          <c:extLst>
            <c:ext xmlns:c16="http://schemas.microsoft.com/office/drawing/2014/chart" uri="{C3380CC4-5D6E-409C-BE32-E72D297353CC}">
              <c16:uniqueId val="{00000076-4EA1-4D42-ABAE-EE028EFC6472}"/>
            </c:ext>
          </c:extLst>
        </c:ser>
        <c:ser>
          <c:idx val="7"/>
          <c:order val="7"/>
          <c:tx>
            <c:strRef>
              <c:f>Examples!$A$43</c:f>
              <c:strCache>
                <c:ptCount val="1"/>
                <c:pt idx="0">
                  <c:v>1999-00</c:v>
                </c:pt>
              </c:strCache>
            </c:strRef>
          </c:tx>
          <c:dPt>
            <c:idx val="0"/>
            <c:bubble3D val="0"/>
            <c:spPr>
              <a:solidFill>
                <a:srgbClr val="1C355E"/>
              </a:solidFill>
              <a:ln>
                <a:noFill/>
              </a:ln>
              <a:effectLst/>
            </c:spPr>
            <c:extLst>
              <c:ext xmlns:c16="http://schemas.microsoft.com/office/drawing/2014/chart" uri="{C3380CC4-5D6E-409C-BE32-E72D297353CC}">
                <c16:uniqueId val="{00000078-4EA1-4D42-ABAE-EE028EFC6472}"/>
              </c:ext>
            </c:extLst>
          </c:dPt>
          <c:dPt>
            <c:idx val="1"/>
            <c:bubble3D val="0"/>
            <c:spPr>
              <a:solidFill>
                <a:srgbClr val="77869F"/>
              </a:solidFill>
              <a:ln>
                <a:noFill/>
              </a:ln>
              <a:effectLst/>
            </c:spPr>
            <c:extLst>
              <c:ext xmlns:c16="http://schemas.microsoft.com/office/drawing/2014/chart" uri="{C3380CC4-5D6E-409C-BE32-E72D297353CC}">
                <c16:uniqueId val="{0000007A-4EA1-4D42-ABAE-EE028EFC6472}"/>
              </c:ext>
            </c:extLst>
          </c:dPt>
          <c:dPt>
            <c:idx val="2"/>
            <c:bubble3D val="0"/>
            <c:spPr>
              <a:solidFill>
                <a:srgbClr val="009DDB"/>
              </a:solidFill>
              <a:ln>
                <a:noFill/>
              </a:ln>
              <a:effectLst/>
            </c:spPr>
            <c:extLst>
              <c:ext xmlns:c16="http://schemas.microsoft.com/office/drawing/2014/chart" uri="{C3380CC4-5D6E-409C-BE32-E72D297353CC}">
                <c16:uniqueId val="{0000007C-4EA1-4D42-ABAE-EE028EFC6472}"/>
              </c:ext>
            </c:extLst>
          </c:dPt>
          <c:dPt>
            <c:idx val="3"/>
            <c:bubble3D val="0"/>
            <c:spPr>
              <a:solidFill>
                <a:srgbClr val="66C5EA"/>
              </a:solidFill>
              <a:ln>
                <a:noFill/>
              </a:ln>
              <a:effectLst/>
            </c:spPr>
            <c:extLst>
              <c:ext xmlns:c16="http://schemas.microsoft.com/office/drawing/2014/chart" uri="{C3380CC4-5D6E-409C-BE32-E72D297353CC}">
                <c16:uniqueId val="{0000007E-4EA1-4D42-ABAE-EE028EFC6472}"/>
              </c:ext>
            </c:extLst>
          </c:dPt>
          <c:dPt>
            <c:idx val="4"/>
            <c:bubble3D val="0"/>
            <c:spPr>
              <a:solidFill>
                <a:srgbClr val="115F7E"/>
              </a:solidFill>
              <a:ln>
                <a:noFill/>
              </a:ln>
              <a:effectLst/>
            </c:spPr>
            <c:extLst>
              <c:ext xmlns:c16="http://schemas.microsoft.com/office/drawing/2014/chart" uri="{C3380CC4-5D6E-409C-BE32-E72D297353CC}">
                <c16:uniqueId val="{00000080-4EA1-4D42-ABAE-EE028EFC6472}"/>
              </c:ext>
            </c:extLst>
          </c:dPt>
          <c:dPt>
            <c:idx val="5"/>
            <c:bubble3D val="0"/>
            <c:spPr>
              <a:solidFill>
                <a:srgbClr val="AED2E0"/>
              </a:solidFill>
              <a:ln>
                <a:noFill/>
              </a:ln>
              <a:effectLst/>
            </c:spPr>
            <c:extLst>
              <c:ext xmlns:c16="http://schemas.microsoft.com/office/drawing/2014/chart" uri="{C3380CC4-5D6E-409C-BE32-E72D297353CC}">
                <c16:uniqueId val="{00000082-4EA1-4D42-ABAE-EE028EFC6472}"/>
              </c:ext>
            </c:extLst>
          </c:dPt>
          <c:dPt>
            <c:idx val="6"/>
            <c:bubble3D val="0"/>
            <c:spPr>
              <a:solidFill>
                <a:srgbClr val="D8DDE4"/>
              </a:solidFill>
              <a:ln>
                <a:noFill/>
              </a:ln>
              <a:effectLst/>
            </c:spPr>
            <c:extLst>
              <c:ext xmlns:c16="http://schemas.microsoft.com/office/drawing/2014/chart" uri="{C3380CC4-5D6E-409C-BE32-E72D297353CC}">
                <c16:uniqueId val="{00000084-4EA1-4D42-ABAE-EE028EFC6472}"/>
              </c:ext>
            </c:extLst>
          </c:dPt>
          <c:dPt>
            <c:idx val="7"/>
            <c:bubble3D val="0"/>
            <c:spPr>
              <a:solidFill>
                <a:srgbClr val="FFFFFF"/>
              </a:solidFill>
              <a:ln>
                <a:noFill/>
              </a:ln>
              <a:effectLst/>
            </c:spPr>
            <c:extLst>
              <c:ext xmlns:c16="http://schemas.microsoft.com/office/drawing/2014/chart" uri="{C3380CC4-5D6E-409C-BE32-E72D297353CC}">
                <c16:uniqueId val="{00000086-4EA1-4D42-ABAE-EE028EFC64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Examples!$B$35:$F$35</c:f>
              <c:strCache>
                <c:ptCount val="5"/>
                <c:pt idx="0">
                  <c:v>Data 1</c:v>
                </c:pt>
                <c:pt idx="1">
                  <c:v>Data 2</c:v>
                </c:pt>
                <c:pt idx="2">
                  <c:v>Data 3</c:v>
                </c:pt>
                <c:pt idx="3">
                  <c:v>Data 4</c:v>
                </c:pt>
                <c:pt idx="4">
                  <c:v>Data 5</c:v>
                </c:pt>
              </c:strCache>
            </c:strRef>
          </c:cat>
          <c:val>
            <c:numRef>
              <c:f>Examples!$B$43:$F$43</c:f>
              <c:numCache>
                <c:formatCode>General</c:formatCode>
                <c:ptCount val="5"/>
                <c:pt idx="0">
                  <c:v>45</c:v>
                </c:pt>
                <c:pt idx="1">
                  <c:v>22</c:v>
                </c:pt>
                <c:pt idx="2">
                  <c:v>26</c:v>
                </c:pt>
                <c:pt idx="3">
                  <c:v>8</c:v>
                </c:pt>
                <c:pt idx="4">
                  <c:v>2</c:v>
                </c:pt>
              </c:numCache>
            </c:numRef>
          </c:val>
          <c:extLst>
            <c:ext xmlns:c16="http://schemas.microsoft.com/office/drawing/2014/chart" uri="{C3380CC4-5D6E-409C-BE32-E72D297353CC}">
              <c16:uniqueId val="{00000087-4EA1-4D42-ABAE-EE028EFC6472}"/>
            </c:ext>
          </c:extLst>
        </c:ser>
        <c:dLbls>
          <c:showLegendKey val="0"/>
          <c:showVal val="0"/>
          <c:showCatName val="1"/>
          <c:showSerName val="0"/>
          <c:showPercent val="1"/>
          <c:showBubbleSize val="0"/>
          <c:showLeaderLines val="0"/>
        </c:dLbls>
        <c:firstSliceAng val="0"/>
      </c:pie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sz="900" b="0" i="0" u="none" strike="noStrike" baseline="0">
          <a:solidFill>
            <a:srgbClr val="000000"/>
          </a:solidFill>
          <a:latin typeface="+mn-lt"/>
          <a:ea typeface="Myriad Pro"/>
          <a:cs typeface="Myriad Pro"/>
        </a:defRPr>
      </a:pPr>
      <a:endParaRPr lang="en-US"/>
    </a:p>
  </c:txPr>
  <c:printSettings>
    <c:headerFooter alignWithMargins="0"/>
    <c:pageMargins b="1" l="0.75" r="0.75" t="1" header="0.5" footer="0.5"/>
    <c:pageSetup paperSize="9" orientation="portrait" horizontalDpi="-3"/>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664245670586037"/>
          <c:y val="5.5339240102171137E-2"/>
          <c:w val="0.38809166666666667"/>
          <c:h val="0.89216475095785441"/>
        </c:manualLayout>
      </c:layout>
      <c:doughnutChart>
        <c:varyColors val="1"/>
        <c:ser>
          <c:idx val="2"/>
          <c:order val="0"/>
          <c:tx>
            <c:strRef>
              <c:f>Examples!$A$36</c:f>
              <c:strCache>
                <c:ptCount val="1"/>
                <c:pt idx="0">
                  <c:v>1975-76</c:v>
                </c:pt>
              </c:strCache>
            </c:strRef>
          </c:tx>
          <c:spPr>
            <a:ln>
              <a:solidFill>
                <a:schemeClr val="bg1"/>
              </a:solidFill>
            </a:ln>
          </c:spPr>
          <c:dPt>
            <c:idx val="0"/>
            <c:bubble3D val="0"/>
            <c:spPr>
              <a:solidFill>
                <a:srgbClr val="0352A1"/>
              </a:solidFill>
              <a:ln>
                <a:solidFill>
                  <a:schemeClr val="bg1"/>
                </a:solidFill>
              </a:ln>
              <a:effectLst/>
            </c:spPr>
            <c:extLst>
              <c:ext xmlns:c16="http://schemas.microsoft.com/office/drawing/2014/chart" uri="{C3380CC4-5D6E-409C-BE32-E72D297353CC}">
                <c16:uniqueId val="{00000001-94C7-49F8-8048-F1AD0EF1CDDE}"/>
              </c:ext>
            </c:extLst>
          </c:dPt>
          <c:dPt>
            <c:idx val="1"/>
            <c:bubble3D val="0"/>
            <c:spPr>
              <a:solidFill>
                <a:srgbClr val="66C5EA"/>
              </a:solidFill>
              <a:ln>
                <a:solidFill>
                  <a:schemeClr val="bg1"/>
                </a:solidFill>
              </a:ln>
              <a:effectLst/>
            </c:spPr>
            <c:extLst>
              <c:ext xmlns:c16="http://schemas.microsoft.com/office/drawing/2014/chart" uri="{C3380CC4-5D6E-409C-BE32-E72D297353CC}">
                <c16:uniqueId val="{00000003-94C7-49F8-8048-F1AD0EF1CDDE}"/>
              </c:ext>
            </c:extLst>
          </c:dPt>
          <c:dPt>
            <c:idx val="2"/>
            <c:bubble3D val="0"/>
            <c:spPr>
              <a:solidFill>
                <a:schemeClr val="accent5"/>
              </a:solidFill>
              <a:ln>
                <a:solidFill>
                  <a:schemeClr val="bg1"/>
                </a:solidFill>
              </a:ln>
              <a:effectLst/>
            </c:spPr>
            <c:extLst>
              <c:ext xmlns:c16="http://schemas.microsoft.com/office/drawing/2014/chart" uri="{C3380CC4-5D6E-409C-BE32-E72D297353CC}">
                <c16:uniqueId val="{00000005-94C7-49F8-8048-F1AD0EF1CDDE}"/>
              </c:ext>
            </c:extLst>
          </c:dPt>
          <c:dPt>
            <c:idx val="3"/>
            <c:bubble3D val="0"/>
            <c:spPr>
              <a:solidFill>
                <a:schemeClr val="accent6"/>
              </a:solidFill>
              <a:ln>
                <a:solidFill>
                  <a:schemeClr val="bg1"/>
                </a:solidFill>
              </a:ln>
              <a:effectLst/>
            </c:spPr>
            <c:extLst>
              <c:ext xmlns:c16="http://schemas.microsoft.com/office/drawing/2014/chart" uri="{C3380CC4-5D6E-409C-BE32-E72D297353CC}">
                <c16:uniqueId val="{00000007-94C7-49F8-8048-F1AD0EF1CDDE}"/>
              </c:ext>
            </c:extLst>
          </c:dPt>
          <c:dPt>
            <c:idx val="4"/>
            <c:bubble3D val="0"/>
            <c:spPr>
              <a:solidFill>
                <a:srgbClr val="66C5EA"/>
              </a:solidFill>
              <a:ln>
                <a:solidFill>
                  <a:schemeClr val="bg1"/>
                </a:solidFill>
              </a:ln>
              <a:effectLst/>
            </c:spPr>
            <c:extLst>
              <c:ext xmlns:c16="http://schemas.microsoft.com/office/drawing/2014/chart" uri="{C3380CC4-5D6E-409C-BE32-E72D297353CC}">
                <c16:uniqueId val="{00000009-94C7-49F8-8048-F1AD0EF1CDDE}"/>
              </c:ext>
            </c:extLst>
          </c:dPt>
          <c:dPt>
            <c:idx val="5"/>
            <c:bubble3D val="0"/>
            <c:spPr>
              <a:solidFill>
                <a:srgbClr val="AED2E0"/>
              </a:solidFill>
              <a:ln>
                <a:solidFill>
                  <a:schemeClr val="bg1"/>
                </a:solidFill>
              </a:ln>
              <a:effectLst/>
            </c:spPr>
            <c:extLst>
              <c:ext xmlns:c16="http://schemas.microsoft.com/office/drawing/2014/chart" uri="{C3380CC4-5D6E-409C-BE32-E72D297353CC}">
                <c16:uniqueId val="{0000000B-94C7-49F8-8048-F1AD0EF1CDDE}"/>
              </c:ext>
            </c:extLst>
          </c:dPt>
          <c:dPt>
            <c:idx val="6"/>
            <c:bubble3D val="0"/>
            <c:spPr>
              <a:solidFill>
                <a:srgbClr val="D8DDE4"/>
              </a:solidFill>
              <a:ln>
                <a:solidFill>
                  <a:schemeClr val="bg1"/>
                </a:solidFill>
              </a:ln>
              <a:effectLst/>
            </c:spPr>
            <c:extLst>
              <c:ext xmlns:c16="http://schemas.microsoft.com/office/drawing/2014/chart" uri="{C3380CC4-5D6E-409C-BE32-E72D297353CC}">
                <c16:uniqueId val="{0000000D-94C7-49F8-8048-F1AD0EF1CDDE}"/>
              </c:ext>
            </c:extLst>
          </c:dPt>
          <c:dPt>
            <c:idx val="7"/>
            <c:bubble3D val="0"/>
            <c:spPr>
              <a:solidFill>
                <a:schemeClr val="accent6"/>
              </a:solidFill>
              <a:ln>
                <a:solidFill>
                  <a:schemeClr val="bg1"/>
                </a:solidFill>
              </a:ln>
              <a:effectLst/>
            </c:spPr>
            <c:extLst>
              <c:ext xmlns:c16="http://schemas.microsoft.com/office/drawing/2014/chart" uri="{C3380CC4-5D6E-409C-BE32-E72D297353CC}">
                <c16:uniqueId val="{0000000F-94C7-49F8-8048-F1AD0EF1CDDE}"/>
              </c:ext>
            </c:extLst>
          </c:dPt>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Raleway" panose="020B0503030101060003" pitchFamily="34" charset="0"/>
                    <a:ea typeface="Myriad Pro"/>
                    <a:cs typeface="Myriad Pro"/>
                  </a:defRPr>
                </a:pPr>
                <a:endParaRPr lang="en-US"/>
              </a:p>
            </c:txPr>
            <c:showLegendKey val="0"/>
            <c:showVal val="1"/>
            <c:showCatName val="0"/>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Examples!$B$35:$F$35</c:f>
              <c:strCache>
                <c:ptCount val="5"/>
                <c:pt idx="0">
                  <c:v>Data 1</c:v>
                </c:pt>
                <c:pt idx="1">
                  <c:v>Data 2</c:v>
                </c:pt>
                <c:pt idx="2">
                  <c:v>Data 3</c:v>
                </c:pt>
                <c:pt idx="3">
                  <c:v>Data 4</c:v>
                </c:pt>
                <c:pt idx="4">
                  <c:v>Data 5</c:v>
                </c:pt>
              </c:strCache>
            </c:strRef>
          </c:cat>
          <c:val>
            <c:numRef>
              <c:f>Examples!$B$36:$F$36</c:f>
              <c:numCache>
                <c:formatCode>General</c:formatCode>
                <c:ptCount val="5"/>
                <c:pt idx="0">
                  <c:v>36.19</c:v>
                </c:pt>
                <c:pt idx="1">
                  <c:v>36.880000000000003</c:v>
                </c:pt>
                <c:pt idx="2">
                  <c:v>21.56</c:v>
                </c:pt>
                <c:pt idx="3">
                  <c:v>5.36</c:v>
                </c:pt>
                <c:pt idx="4">
                  <c:v>3.01</c:v>
                </c:pt>
              </c:numCache>
            </c:numRef>
          </c:val>
          <c:extLst>
            <c:ext xmlns:c16="http://schemas.microsoft.com/office/drawing/2014/chart" uri="{C3380CC4-5D6E-409C-BE32-E72D297353CC}">
              <c16:uniqueId val="{00000010-94C7-49F8-8048-F1AD0EF1CDDE}"/>
            </c:ext>
          </c:extLst>
        </c:ser>
        <c:dLbls>
          <c:showLegendKey val="0"/>
          <c:showVal val="1"/>
          <c:showCatName val="0"/>
          <c:showSerName val="0"/>
          <c:showPercent val="0"/>
          <c:showBubbleSize val="0"/>
          <c:showLeaderLines val="1"/>
        </c:dLbls>
        <c:firstSliceAng val="0"/>
        <c:holeSize val="7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sz="900" b="0" i="0" u="none" strike="noStrike" baseline="0">
          <a:solidFill>
            <a:schemeClr val="bg1"/>
          </a:solidFill>
          <a:latin typeface="Raleway" panose="020B0503030101060003" pitchFamily="34" charset="0"/>
          <a:ea typeface="Myriad Pro"/>
          <a:cs typeface="Myriad Pro"/>
        </a:defRPr>
      </a:pPr>
      <a:endParaRPr lang="en-US"/>
    </a:p>
  </c:txPr>
  <c:printSettings>
    <c:headerFooter alignWithMargins="0"/>
    <c:pageMargins b="1" l="0.75" r="0.75" t="1" header="0.5" footer="0.5"/>
    <c:pageSetup paperSize="9" orientation="portrait" horizontalDpi="-3"/>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40989583333333"/>
          <c:y val="5.0661318646232432E-2"/>
          <c:w val="0.85662801786288922"/>
          <c:h val="0.71246367609784866"/>
        </c:manualLayout>
      </c:layout>
      <c:barChart>
        <c:barDir val="bar"/>
        <c:grouping val="percentStacked"/>
        <c:varyColors val="0"/>
        <c:ser>
          <c:idx val="0"/>
          <c:order val="0"/>
          <c:tx>
            <c:strRef>
              <c:f>Examples!$B$35</c:f>
              <c:strCache>
                <c:ptCount val="1"/>
                <c:pt idx="0">
                  <c:v>Data 1</c:v>
                </c:pt>
              </c:strCache>
            </c:strRef>
          </c:tx>
          <c:spPr>
            <a:solidFill>
              <a:srgbClr val="5DA4C1"/>
            </a:solidFill>
            <a:ln>
              <a:solidFill>
                <a:schemeClr val="bg1"/>
              </a:solidFill>
            </a:ln>
            <a:effectLst/>
          </c:spPr>
          <c:invertIfNegative val="0"/>
          <c:cat>
            <c:strRef>
              <c:f>Examples!$A$36:$A$38</c:f>
              <c:strCache>
                <c:ptCount val="3"/>
                <c:pt idx="0">
                  <c:v>1975-76</c:v>
                </c:pt>
                <c:pt idx="1">
                  <c:v>1983-84</c:v>
                </c:pt>
                <c:pt idx="2">
                  <c:v>1988-89</c:v>
                </c:pt>
              </c:strCache>
            </c:strRef>
          </c:cat>
          <c:val>
            <c:numRef>
              <c:f>Examples!$B$36:$B$38</c:f>
              <c:numCache>
                <c:formatCode>General</c:formatCode>
                <c:ptCount val="3"/>
                <c:pt idx="0">
                  <c:v>36.19</c:v>
                </c:pt>
                <c:pt idx="1">
                  <c:v>39.39</c:v>
                </c:pt>
                <c:pt idx="2">
                  <c:v>42.78</c:v>
                </c:pt>
              </c:numCache>
            </c:numRef>
          </c:val>
          <c:extLst>
            <c:ext xmlns:c16="http://schemas.microsoft.com/office/drawing/2014/chart" uri="{C3380CC4-5D6E-409C-BE32-E72D297353CC}">
              <c16:uniqueId val="{00000000-D3D8-4F19-A219-1BA2EEA19E76}"/>
            </c:ext>
          </c:extLst>
        </c:ser>
        <c:ser>
          <c:idx val="1"/>
          <c:order val="1"/>
          <c:tx>
            <c:strRef>
              <c:f>Examples!$C$35</c:f>
              <c:strCache>
                <c:ptCount val="1"/>
                <c:pt idx="0">
                  <c:v>Data 2</c:v>
                </c:pt>
              </c:strCache>
            </c:strRef>
          </c:tx>
          <c:spPr>
            <a:solidFill>
              <a:schemeClr val="accent6"/>
            </a:solidFill>
            <a:ln>
              <a:solidFill>
                <a:schemeClr val="bg1"/>
              </a:solidFill>
            </a:ln>
            <a:effectLst/>
          </c:spPr>
          <c:invertIfNegative val="0"/>
          <c:cat>
            <c:strRef>
              <c:f>Examples!$A$36:$A$38</c:f>
              <c:strCache>
                <c:ptCount val="3"/>
                <c:pt idx="0">
                  <c:v>1975-76</c:v>
                </c:pt>
                <c:pt idx="1">
                  <c:v>1983-84</c:v>
                </c:pt>
                <c:pt idx="2">
                  <c:v>1988-89</c:v>
                </c:pt>
              </c:strCache>
            </c:strRef>
          </c:cat>
          <c:val>
            <c:numRef>
              <c:f>Examples!$C$36:$C$38</c:f>
              <c:numCache>
                <c:formatCode>General</c:formatCode>
                <c:ptCount val="3"/>
                <c:pt idx="0">
                  <c:v>36.880000000000003</c:v>
                </c:pt>
                <c:pt idx="1">
                  <c:v>32.020000000000003</c:v>
                </c:pt>
                <c:pt idx="2">
                  <c:v>29.91</c:v>
                </c:pt>
              </c:numCache>
            </c:numRef>
          </c:val>
          <c:extLst>
            <c:ext xmlns:c16="http://schemas.microsoft.com/office/drawing/2014/chart" uri="{C3380CC4-5D6E-409C-BE32-E72D297353CC}">
              <c16:uniqueId val="{00000001-D3D8-4F19-A219-1BA2EEA19E76}"/>
            </c:ext>
          </c:extLst>
        </c:ser>
        <c:ser>
          <c:idx val="2"/>
          <c:order val="2"/>
          <c:tx>
            <c:strRef>
              <c:f>Examples!$D$35</c:f>
              <c:strCache>
                <c:ptCount val="1"/>
                <c:pt idx="0">
                  <c:v>Data 3</c:v>
                </c:pt>
              </c:strCache>
            </c:strRef>
          </c:tx>
          <c:spPr>
            <a:solidFill>
              <a:schemeClr val="accent5"/>
            </a:solidFill>
            <a:ln>
              <a:solidFill>
                <a:schemeClr val="bg1"/>
              </a:solidFill>
            </a:ln>
            <a:effectLst/>
          </c:spPr>
          <c:invertIfNegative val="0"/>
          <c:cat>
            <c:strRef>
              <c:f>Examples!$A$36:$A$38</c:f>
              <c:strCache>
                <c:ptCount val="3"/>
                <c:pt idx="0">
                  <c:v>1975-76</c:v>
                </c:pt>
                <c:pt idx="1">
                  <c:v>1983-84</c:v>
                </c:pt>
                <c:pt idx="2">
                  <c:v>1988-89</c:v>
                </c:pt>
              </c:strCache>
            </c:strRef>
          </c:cat>
          <c:val>
            <c:numRef>
              <c:f>Examples!$D$36:$D$38</c:f>
              <c:numCache>
                <c:formatCode>General</c:formatCode>
                <c:ptCount val="3"/>
                <c:pt idx="0">
                  <c:v>21.56</c:v>
                </c:pt>
                <c:pt idx="1">
                  <c:v>21.6</c:v>
                </c:pt>
                <c:pt idx="2">
                  <c:v>18.350000000000001</c:v>
                </c:pt>
              </c:numCache>
            </c:numRef>
          </c:val>
          <c:extLst>
            <c:ext xmlns:c16="http://schemas.microsoft.com/office/drawing/2014/chart" uri="{C3380CC4-5D6E-409C-BE32-E72D297353CC}">
              <c16:uniqueId val="{00000002-D3D8-4F19-A219-1BA2EEA19E76}"/>
            </c:ext>
          </c:extLst>
        </c:ser>
        <c:ser>
          <c:idx val="3"/>
          <c:order val="3"/>
          <c:tx>
            <c:strRef>
              <c:f>Examples!$E$35</c:f>
              <c:strCache>
                <c:ptCount val="1"/>
                <c:pt idx="0">
                  <c:v>Data 4</c:v>
                </c:pt>
              </c:strCache>
            </c:strRef>
          </c:tx>
          <c:spPr>
            <a:solidFill>
              <a:srgbClr val="66C5EA"/>
            </a:solidFill>
            <a:ln>
              <a:solidFill>
                <a:schemeClr val="bg1"/>
              </a:solidFill>
            </a:ln>
            <a:effectLst/>
          </c:spPr>
          <c:invertIfNegative val="0"/>
          <c:cat>
            <c:strRef>
              <c:f>Examples!$A$36:$A$38</c:f>
              <c:strCache>
                <c:ptCount val="3"/>
                <c:pt idx="0">
                  <c:v>1975-76</c:v>
                </c:pt>
                <c:pt idx="1">
                  <c:v>1983-84</c:v>
                </c:pt>
                <c:pt idx="2">
                  <c:v>1988-89</c:v>
                </c:pt>
              </c:strCache>
            </c:strRef>
          </c:cat>
          <c:val>
            <c:numRef>
              <c:f>Examples!$E$36:$E$38</c:f>
              <c:numCache>
                <c:formatCode>General</c:formatCode>
                <c:ptCount val="3"/>
                <c:pt idx="0">
                  <c:v>5.36</c:v>
                </c:pt>
                <c:pt idx="1">
                  <c:v>7.01</c:v>
                </c:pt>
                <c:pt idx="2">
                  <c:v>6.33</c:v>
                </c:pt>
              </c:numCache>
            </c:numRef>
          </c:val>
          <c:extLst>
            <c:ext xmlns:c16="http://schemas.microsoft.com/office/drawing/2014/chart" uri="{C3380CC4-5D6E-409C-BE32-E72D297353CC}">
              <c16:uniqueId val="{00000003-D3D8-4F19-A219-1BA2EEA19E76}"/>
            </c:ext>
          </c:extLst>
        </c:ser>
        <c:ser>
          <c:idx val="4"/>
          <c:order val="4"/>
          <c:tx>
            <c:strRef>
              <c:f>Examples!$F$35</c:f>
              <c:strCache>
                <c:ptCount val="1"/>
                <c:pt idx="0">
                  <c:v>Data 5</c:v>
                </c:pt>
              </c:strCache>
            </c:strRef>
          </c:tx>
          <c:spPr>
            <a:solidFill>
              <a:srgbClr val="0352A1"/>
            </a:solidFill>
            <a:ln>
              <a:solidFill>
                <a:schemeClr val="bg1"/>
              </a:solidFill>
            </a:ln>
            <a:effectLst/>
          </c:spPr>
          <c:invertIfNegative val="0"/>
          <c:cat>
            <c:strRef>
              <c:f>Examples!$A$36:$A$38</c:f>
              <c:strCache>
                <c:ptCount val="3"/>
                <c:pt idx="0">
                  <c:v>1975-76</c:v>
                </c:pt>
                <c:pt idx="1">
                  <c:v>1983-84</c:v>
                </c:pt>
                <c:pt idx="2">
                  <c:v>1988-89</c:v>
                </c:pt>
              </c:strCache>
            </c:strRef>
          </c:cat>
          <c:val>
            <c:numRef>
              <c:f>Examples!$F$36:$F$38</c:f>
              <c:numCache>
                <c:formatCode>General</c:formatCode>
                <c:ptCount val="3"/>
                <c:pt idx="0">
                  <c:v>3.01</c:v>
                </c:pt>
                <c:pt idx="1">
                  <c:v>3.36</c:v>
                </c:pt>
                <c:pt idx="2">
                  <c:v>2.63</c:v>
                </c:pt>
              </c:numCache>
            </c:numRef>
          </c:val>
          <c:extLst>
            <c:ext xmlns:c16="http://schemas.microsoft.com/office/drawing/2014/chart" uri="{C3380CC4-5D6E-409C-BE32-E72D297353CC}">
              <c16:uniqueId val="{00000004-D3D8-4F19-A219-1BA2EEA19E76}"/>
            </c:ext>
          </c:extLst>
        </c:ser>
        <c:dLbls>
          <c:showLegendKey val="0"/>
          <c:showVal val="0"/>
          <c:showCatName val="0"/>
          <c:showSerName val="0"/>
          <c:showPercent val="0"/>
          <c:showBubbleSize val="0"/>
        </c:dLbls>
        <c:gapWidth val="150"/>
        <c:overlap val="100"/>
        <c:axId val="662834416"/>
        <c:axId val="662836768"/>
      </c:barChart>
      <c:catAx>
        <c:axId val="662834416"/>
        <c:scaling>
          <c:orientation val="minMax"/>
        </c:scaling>
        <c:delete val="0"/>
        <c:axPos val="l"/>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62836768"/>
        <c:crosses val="autoZero"/>
        <c:auto val="1"/>
        <c:lblAlgn val="ctr"/>
        <c:lblOffset val="100"/>
        <c:tickLblSkip val="1"/>
        <c:tickMarkSkip val="1"/>
        <c:noMultiLvlLbl val="0"/>
      </c:catAx>
      <c:valAx>
        <c:axId val="662836768"/>
        <c:scaling>
          <c:orientation val="minMax"/>
        </c:scaling>
        <c:delete val="0"/>
        <c:axPos val="b"/>
        <c:majorGridlines>
          <c:spPr>
            <a:ln w="6350" cap="flat" cmpd="sng" algn="ctr">
              <a:solidFill>
                <a:schemeClr val="bg2">
                  <a:lumMod val="20000"/>
                  <a:lumOff val="80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62834416"/>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paperSize="9" orientation="landscape" horizontalDpi="-3"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277939910925902E-2"/>
          <c:y val="6.0836501901140684E-2"/>
          <c:w val="0.92789382162936673"/>
          <c:h val="0.69840922846451958"/>
        </c:manualLayout>
      </c:layout>
      <c:barChart>
        <c:barDir val="col"/>
        <c:grouping val="percentStacked"/>
        <c:varyColors val="0"/>
        <c:ser>
          <c:idx val="0"/>
          <c:order val="0"/>
          <c:tx>
            <c:strRef>
              <c:f>Examples!$B$35</c:f>
              <c:strCache>
                <c:ptCount val="1"/>
                <c:pt idx="0">
                  <c:v>Data 1</c:v>
                </c:pt>
              </c:strCache>
            </c:strRef>
          </c:tx>
          <c:spPr>
            <a:solidFill>
              <a:srgbClr val="5DA4C1"/>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Examples!$B$36:$B$43</c:f>
              <c:numCache>
                <c:formatCode>General</c:formatCode>
                <c:ptCount val="8"/>
                <c:pt idx="0">
                  <c:v>36.19</c:v>
                </c:pt>
                <c:pt idx="1">
                  <c:v>39.39</c:v>
                </c:pt>
                <c:pt idx="2">
                  <c:v>42.78</c:v>
                </c:pt>
                <c:pt idx="3">
                  <c:v>42.13</c:v>
                </c:pt>
                <c:pt idx="4">
                  <c:v>41.69</c:v>
                </c:pt>
                <c:pt idx="5">
                  <c:v>39.39</c:v>
                </c:pt>
                <c:pt idx="6">
                  <c:v>42.13</c:v>
                </c:pt>
                <c:pt idx="7">
                  <c:v>45</c:v>
                </c:pt>
              </c:numCache>
            </c:numRef>
          </c:val>
          <c:extLst>
            <c:ext xmlns:c16="http://schemas.microsoft.com/office/drawing/2014/chart" uri="{C3380CC4-5D6E-409C-BE32-E72D297353CC}">
              <c16:uniqueId val="{00000000-AD81-4723-9E25-438731FF5873}"/>
            </c:ext>
          </c:extLst>
        </c:ser>
        <c:ser>
          <c:idx val="1"/>
          <c:order val="1"/>
          <c:tx>
            <c:strRef>
              <c:f>Examples!$C$35</c:f>
              <c:strCache>
                <c:ptCount val="1"/>
                <c:pt idx="0">
                  <c:v>Data 2</c:v>
                </c:pt>
              </c:strCache>
            </c:strRef>
          </c:tx>
          <c:spPr>
            <a:solidFill>
              <a:schemeClr val="accent6"/>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Examples!$C$36:$C$43</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extLst>
            <c:ext xmlns:c16="http://schemas.microsoft.com/office/drawing/2014/chart" uri="{C3380CC4-5D6E-409C-BE32-E72D297353CC}">
              <c16:uniqueId val="{00000001-AD81-4723-9E25-438731FF5873}"/>
            </c:ext>
          </c:extLst>
        </c:ser>
        <c:ser>
          <c:idx val="2"/>
          <c:order val="2"/>
          <c:tx>
            <c:strRef>
              <c:f>Examples!$D$35</c:f>
              <c:strCache>
                <c:ptCount val="1"/>
                <c:pt idx="0">
                  <c:v>Data 3</c:v>
                </c:pt>
              </c:strCache>
            </c:strRef>
          </c:tx>
          <c:spPr>
            <a:solidFill>
              <a:schemeClr val="accent5"/>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Examples!$D$36:$D$43</c:f>
              <c:numCache>
                <c:formatCode>General</c:formatCode>
                <c:ptCount val="8"/>
                <c:pt idx="0">
                  <c:v>21.56</c:v>
                </c:pt>
                <c:pt idx="1">
                  <c:v>21.6</c:v>
                </c:pt>
                <c:pt idx="2">
                  <c:v>18.350000000000001</c:v>
                </c:pt>
                <c:pt idx="3">
                  <c:v>21.6</c:v>
                </c:pt>
                <c:pt idx="4">
                  <c:v>23.98</c:v>
                </c:pt>
                <c:pt idx="5">
                  <c:v>21.6</c:v>
                </c:pt>
                <c:pt idx="6">
                  <c:v>21.6</c:v>
                </c:pt>
                <c:pt idx="7">
                  <c:v>26</c:v>
                </c:pt>
              </c:numCache>
            </c:numRef>
          </c:val>
          <c:extLst>
            <c:ext xmlns:c16="http://schemas.microsoft.com/office/drawing/2014/chart" uri="{C3380CC4-5D6E-409C-BE32-E72D297353CC}">
              <c16:uniqueId val="{00000002-AD81-4723-9E25-438731FF5873}"/>
            </c:ext>
          </c:extLst>
        </c:ser>
        <c:ser>
          <c:idx val="3"/>
          <c:order val="3"/>
          <c:tx>
            <c:strRef>
              <c:f>Examples!$E$35</c:f>
              <c:strCache>
                <c:ptCount val="1"/>
                <c:pt idx="0">
                  <c:v>Data 4</c:v>
                </c:pt>
              </c:strCache>
            </c:strRef>
          </c:tx>
          <c:spPr>
            <a:solidFill>
              <a:srgbClr val="66C5EA"/>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Examples!$E$36:$E$43</c:f>
              <c:numCache>
                <c:formatCode>General</c:formatCode>
                <c:ptCount val="8"/>
                <c:pt idx="0">
                  <c:v>5.36</c:v>
                </c:pt>
                <c:pt idx="1">
                  <c:v>7.01</c:v>
                </c:pt>
                <c:pt idx="2">
                  <c:v>6.33</c:v>
                </c:pt>
                <c:pt idx="3">
                  <c:v>7.01</c:v>
                </c:pt>
                <c:pt idx="4">
                  <c:v>7</c:v>
                </c:pt>
                <c:pt idx="5">
                  <c:v>7.01</c:v>
                </c:pt>
                <c:pt idx="6">
                  <c:v>7.01</c:v>
                </c:pt>
                <c:pt idx="7">
                  <c:v>8</c:v>
                </c:pt>
              </c:numCache>
            </c:numRef>
          </c:val>
          <c:extLst>
            <c:ext xmlns:c16="http://schemas.microsoft.com/office/drawing/2014/chart" uri="{C3380CC4-5D6E-409C-BE32-E72D297353CC}">
              <c16:uniqueId val="{00000003-AD81-4723-9E25-438731FF5873}"/>
            </c:ext>
          </c:extLst>
        </c:ser>
        <c:ser>
          <c:idx val="4"/>
          <c:order val="4"/>
          <c:tx>
            <c:strRef>
              <c:f>Examples!$F$35</c:f>
              <c:strCache>
                <c:ptCount val="1"/>
                <c:pt idx="0">
                  <c:v>Data 5</c:v>
                </c:pt>
              </c:strCache>
            </c:strRef>
          </c:tx>
          <c:spPr>
            <a:solidFill>
              <a:srgbClr val="0352A1"/>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Examples!$F$36:$F$43</c:f>
              <c:numCache>
                <c:formatCode>General</c:formatCode>
                <c:ptCount val="8"/>
                <c:pt idx="0">
                  <c:v>3.01</c:v>
                </c:pt>
                <c:pt idx="1">
                  <c:v>3.36</c:v>
                </c:pt>
                <c:pt idx="2">
                  <c:v>2.63</c:v>
                </c:pt>
                <c:pt idx="3">
                  <c:v>2.72</c:v>
                </c:pt>
                <c:pt idx="4">
                  <c:v>2.57</c:v>
                </c:pt>
                <c:pt idx="5">
                  <c:v>3.36</c:v>
                </c:pt>
                <c:pt idx="6">
                  <c:v>2.72</c:v>
                </c:pt>
                <c:pt idx="7">
                  <c:v>2</c:v>
                </c:pt>
              </c:numCache>
            </c:numRef>
          </c:val>
          <c:extLst>
            <c:ext xmlns:c16="http://schemas.microsoft.com/office/drawing/2014/chart" uri="{C3380CC4-5D6E-409C-BE32-E72D297353CC}">
              <c16:uniqueId val="{00000004-AD81-4723-9E25-438731FF5873}"/>
            </c:ext>
          </c:extLst>
        </c:ser>
        <c:dLbls>
          <c:showLegendKey val="0"/>
          <c:showVal val="0"/>
          <c:showCatName val="0"/>
          <c:showSerName val="0"/>
          <c:showPercent val="0"/>
          <c:showBubbleSize val="0"/>
        </c:dLbls>
        <c:gapWidth val="150"/>
        <c:overlap val="100"/>
        <c:axId val="662837552"/>
        <c:axId val="662842648"/>
      </c:barChart>
      <c:catAx>
        <c:axId val="662837552"/>
        <c:scaling>
          <c:orientation val="minMax"/>
        </c:scaling>
        <c:delete val="0"/>
        <c:axPos val="b"/>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62842648"/>
        <c:crosses val="autoZero"/>
        <c:auto val="1"/>
        <c:lblAlgn val="ctr"/>
        <c:lblOffset val="100"/>
        <c:tickLblSkip val="1"/>
        <c:tickMarkSkip val="1"/>
        <c:noMultiLvlLbl val="0"/>
      </c:catAx>
      <c:valAx>
        <c:axId val="662842648"/>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6283755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Raleway" panose="020B0503030101060003" pitchFamily="34" charset="0"/>
          <a:ea typeface="Myriad Pro"/>
          <a:cs typeface="Arial" pitchFamily="34" charset="0"/>
        </a:defRPr>
      </a:pPr>
      <a:endParaRPr lang="en-US"/>
    </a:p>
  </c:txPr>
  <c:printSettings>
    <c:headerFooter alignWithMargins="0"/>
    <c:pageMargins b="0.98425196850393704" l="0.74803149606299213" r="0.74803149606299213" t="0.98425196850393704" header="0.51181102362204722" footer="0.51181102362204722"/>
    <c:pageSetup paperSize="9" orientation="portrait"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449140158855933E-2"/>
          <c:y val="7.7865354600398076E-2"/>
          <c:w val="0.90120640979105648"/>
          <c:h val="0.69990297219855535"/>
        </c:manualLayout>
      </c:layout>
      <c:lineChart>
        <c:grouping val="standard"/>
        <c:varyColors val="0"/>
        <c:ser>
          <c:idx val="0"/>
          <c:order val="0"/>
          <c:tx>
            <c:strRef>
              <c:f>Examples!$B$35</c:f>
              <c:strCache>
                <c:ptCount val="1"/>
                <c:pt idx="0">
                  <c:v>Data 1</c:v>
                </c:pt>
              </c:strCache>
            </c:strRef>
          </c:tx>
          <c:spPr>
            <a:ln w="25400" cap="rnd" cmpd="sng" algn="ctr">
              <a:solidFill>
                <a:srgbClr val="0352A1"/>
              </a:solidFill>
              <a:prstDash val="solid"/>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Examples!$B$36:$B$43</c:f>
              <c:numCache>
                <c:formatCode>General</c:formatCode>
                <c:ptCount val="8"/>
                <c:pt idx="0">
                  <c:v>36.19</c:v>
                </c:pt>
                <c:pt idx="1">
                  <c:v>39.39</c:v>
                </c:pt>
                <c:pt idx="2">
                  <c:v>42.78</c:v>
                </c:pt>
                <c:pt idx="3">
                  <c:v>42.13</c:v>
                </c:pt>
                <c:pt idx="4">
                  <c:v>41.69</c:v>
                </c:pt>
                <c:pt idx="5">
                  <c:v>39.39</c:v>
                </c:pt>
                <c:pt idx="6">
                  <c:v>42.13</c:v>
                </c:pt>
                <c:pt idx="7">
                  <c:v>45</c:v>
                </c:pt>
              </c:numCache>
            </c:numRef>
          </c:val>
          <c:smooth val="0"/>
          <c:extLst>
            <c:ext xmlns:c16="http://schemas.microsoft.com/office/drawing/2014/chart" uri="{C3380CC4-5D6E-409C-BE32-E72D297353CC}">
              <c16:uniqueId val="{00000000-A5DE-4167-9689-743C987B5753}"/>
            </c:ext>
          </c:extLst>
        </c:ser>
        <c:ser>
          <c:idx val="1"/>
          <c:order val="1"/>
          <c:tx>
            <c:strRef>
              <c:f>Examples!$C$35</c:f>
              <c:strCache>
                <c:ptCount val="1"/>
                <c:pt idx="0">
                  <c:v>Data 2</c:v>
                </c:pt>
              </c:strCache>
            </c:strRef>
          </c:tx>
          <c:spPr>
            <a:ln w="25400" cap="rnd" cmpd="sng" algn="ctr">
              <a:solidFill>
                <a:srgbClr val="3373B3"/>
              </a:solidFill>
              <a:prstDash val="sysDash"/>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Examples!$C$36:$C$43</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smooth val="0"/>
          <c:extLst>
            <c:ext xmlns:c16="http://schemas.microsoft.com/office/drawing/2014/chart" uri="{C3380CC4-5D6E-409C-BE32-E72D297353CC}">
              <c16:uniqueId val="{00000001-A5DE-4167-9689-743C987B5753}"/>
            </c:ext>
          </c:extLst>
        </c:ser>
        <c:ser>
          <c:idx val="2"/>
          <c:order val="2"/>
          <c:tx>
            <c:strRef>
              <c:f>Examples!$D$35</c:f>
              <c:strCache>
                <c:ptCount val="1"/>
                <c:pt idx="0">
                  <c:v>Data 3</c:v>
                </c:pt>
              </c:strCache>
            </c:strRef>
          </c:tx>
          <c:spPr>
            <a:ln w="25400" cap="rnd" cmpd="sng" algn="ctr">
              <a:solidFill>
                <a:srgbClr val="66C5EA"/>
              </a:solidFill>
              <a:prstDash val="sysDash"/>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Examples!$D$36:$D$43</c:f>
              <c:numCache>
                <c:formatCode>General</c:formatCode>
                <c:ptCount val="8"/>
                <c:pt idx="0">
                  <c:v>21.56</c:v>
                </c:pt>
                <c:pt idx="1">
                  <c:v>21.6</c:v>
                </c:pt>
                <c:pt idx="2">
                  <c:v>18.350000000000001</c:v>
                </c:pt>
                <c:pt idx="3">
                  <c:v>21.6</c:v>
                </c:pt>
                <c:pt idx="4">
                  <c:v>23.98</c:v>
                </c:pt>
                <c:pt idx="5">
                  <c:v>21.6</c:v>
                </c:pt>
                <c:pt idx="6">
                  <c:v>21.6</c:v>
                </c:pt>
                <c:pt idx="7">
                  <c:v>26</c:v>
                </c:pt>
              </c:numCache>
            </c:numRef>
          </c:val>
          <c:smooth val="0"/>
          <c:extLst>
            <c:ext xmlns:c16="http://schemas.microsoft.com/office/drawing/2014/chart" uri="{C3380CC4-5D6E-409C-BE32-E72D297353CC}">
              <c16:uniqueId val="{00000002-A5DE-4167-9689-743C987B5753}"/>
            </c:ext>
          </c:extLst>
        </c:ser>
        <c:ser>
          <c:idx val="3"/>
          <c:order val="3"/>
          <c:tx>
            <c:strRef>
              <c:f>Examples!$E$35</c:f>
              <c:strCache>
                <c:ptCount val="1"/>
                <c:pt idx="0">
                  <c:v>Data 4</c:v>
                </c:pt>
              </c:strCache>
            </c:strRef>
          </c:tx>
          <c:spPr>
            <a:ln w="25400" cap="rnd" cmpd="sng" algn="ctr">
              <a:solidFill>
                <a:srgbClr val="009DDB"/>
              </a:solidFill>
              <a:prstDash val="solid"/>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Examples!$E$36:$E$43</c:f>
              <c:numCache>
                <c:formatCode>General</c:formatCode>
                <c:ptCount val="8"/>
                <c:pt idx="0">
                  <c:v>5.36</c:v>
                </c:pt>
                <c:pt idx="1">
                  <c:v>7.01</c:v>
                </c:pt>
                <c:pt idx="2">
                  <c:v>6.33</c:v>
                </c:pt>
                <c:pt idx="3">
                  <c:v>7.01</c:v>
                </c:pt>
                <c:pt idx="4">
                  <c:v>7</c:v>
                </c:pt>
                <c:pt idx="5">
                  <c:v>7.01</c:v>
                </c:pt>
                <c:pt idx="6">
                  <c:v>7.01</c:v>
                </c:pt>
                <c:pt idx="7">
                  <c:v>8</c:v>
                </c:pt>
              </c:numCache>
            </c:numRef>
          </c:val>
          <c:smooth val="0"/>
          <c:extLst>
            <c:ext xmlns:c16="http://schemas.microsoft.com/office/drawing/2014/chart" uri="{C3380CC4-5D6E-409C-BE32-E72D297353CC}">
              <c16:uniqueId val="{00000003-A5DE-4167-9689-743C987B5753}"/>
            </c:ext>
          </c:extLst>
        </c:ser>
        <c:ser>
          <c:idx val="4"/>
          <c:order val="4"/>
          <c:tx>
            <c:strRef>
              <c:f>Examples!$F$35</c:f>
              <c:strCache>
                <c:ptCount val="1"/>
                <c:pt idx="0">
                  <c:v>Data 5</c:v>
                </c:pt>
              </c:strCache>
            </c:strRef>
          </c:tx>
          <c:spPr>
            <a:ln w="25400" cap="rnd" cmpd="sng" algn="ctr">
              <a:solidFill>
                <a:schemeClr val="accent6"/>
              </a:solidFill>
              <a:prstDash val="solid"/>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Examples!$F$36:$F$43</c:f>
              <c:numCache>
                <c:formatCode>General</c:formatCode>
                <c:ptCount val="8"/>
                <c:pt idx="0">
                  <c:v>3.01</c:v>
                </c:pt>
                <c:pt idx="1">
                  <c:v>3.36</c:v>
                </c:pt>
                <c:pt idx="2">
                  <c:v>2.63</c:v>
                </c:pt>
                <c:pt idx="3">
                  <c:v>2.72</c:v>
                </c:pt>
                <c:pt idx="4">
                  <c:v>2.57</c:v>
                </c:pt>
                <c:pt idx="5">
                  <c:v>3.36</c:v>
                </c:pt>
                <c:pt idx="6">
                  <c:v>2.72</c:v>
                </c:pt>
                <c:pt idx="7">
                  <c:v>2</c:v>
                </c:pt>
              </c:numCache>
            </c:numRef>
          </c:val>
          <c:smooth val="0"/>
          <c:extLst>
            <c:ext xmlns:c16="http://schemas.microsoft.com/office/drawing/2014/chart" uri="{C3380CC4-5D6E-409C-BE32-E72D297353CC}">
              <c16:uniqueId val="{00000004-A5DE-4167-9689-743C987B5753}"/>
            </c:ext>
          </c:extLst>
        </c:ser>
        <c:dLbls>
          <c:showLegendKey val="0"/>
          <c:showVal val="0"/>
          <c:showCatName val="0"/>
          <c:showSerName val="0"/>
          <c:showPercent val="0"/>
          <c:showBubbleSize val="0"/>
        </c:dLbls>
        <c:smooth val="0"/>
        <c:axId val="662846960"/>
        <c:axId val="511151000"/>
      </c:lineChart>
      <c:catAx>
        <c:axId val="662846960"/>
        <c:scaling>
          <c:orientation val="minMax"/>
        </c:scaling>
        <c:delete val="0"/>
        <c:axPos val="b"/>
        <c:numFmt formatCode="General" sourceLinked="1"/>
        <c:majorTickMark val="out"/>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511151000"/>
        <c:crosses val="autoZero"/>
        <c:auto val="1"/>
        <c:lblAlgn val="ctr"/>
        <c:lblOffset val="100"/>
        <c:tickLblSkip val="1"/>
        <c:tickMarkSkip val="1"/>
        <c:noMultiLvlLbl val="0"/>
      </c:catAx>
      <c:valAx>
        <c:axId val="511151000"/>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General" sourceLinked="1"/>
        <c:majorTickMark val="out"/>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662846960"/>
        <c:crosses val="autoZero"/>
        <c:crossBetween val="midCat"/>
      </c:valAx>
      <c:spPr>
        <a:noFill/>
        <a:ln w="25400">
          <a:noFill/>
        </a:ln>
        <a:effectLst/>
      </c:spPr>
    </c:plotArea>
    <c:legend>
      <c:legendPos val="b"/>
      <c:layout>
        <c:manualLayout>
          <c:xMode val="edge"/>
          <c:yMode val="edge"/>
          <c:x val="2.3932179693131585E-2"/>
          <c:y val="0.88139846743295014"/>
          <c:w val="0.94992150911688389"/>
          <c:h val="8.8189655172413811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rgbClr val="000000"/>
          </a:solidFill>
          <a:latin typeface="Raleway" panose="020B0503030101060003" pitchFamily="34" charset="0"/>
          <a:ea typeface="Myriad Pro"/>
          <a:cs typeface="Arial" pitchFamily="34" charset="0"/>
        </a:defRPr>
      </a:pPr>
      <a:endParaRPr lang="en-US"/>
    </a:p>
  </c:txPr>
  <c:printSettings>
    <c:headerFooter alignWithMargins="0">
      <c:oddHeader>&amp;A</c:oddHeader>
      <c:oddFooter>Page &amp;P</c:oddFooter>
    </c:headerFooter>
    <c:pageMargins b="0.98425196850393704" l="0.74803149606299213" r="0.74803149606299213" t="0.98425196850393704" header="0.51181102362204722" footer="0.51181102362204722"/>
    <c:pageSetup paperSize="9" orientation="landscape" horizontalDpi="-3"/>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421784559343046E-2"/>
          <c:y val="7.987260942800993E-2"/>
          <c:w val="0.93132694487765588"/>
          <c:h val="0.67906765614718934"/>
        </c:manualLayout>
      </c:layout>
      <c:barChart>
        <c:barDir val="col"/>
        <c:grouping val="clustered"/>
        <c:varyColors val="0"/>
        <c:ser>
          <c:idx val="0"/>
          <c:order val="0"/>
          <c:tx>
            <c:strRef>
              <c:f>Examples!$A$36</c:f>
              <c:strCache>
                <c:ptCount val="1"/>
                <c:pt idx="0">
                  <c:v>1975-76</c:v>
                </c:pt>
              </c:strCache>
            </c:strRef>
          </c:tx>
          <c:spPr>
            <a:solidFill>
              <a:schemeClr val="accent6"/>
            </a:solidFill>
            <a:ln w="9525">
              <a:solidFill>
                <a:schemeClr val="bg1"/>
              </a:solidFill>
            </a:ln>
            <a:effectLst/>
          </c:spPr>
          <c:invertIfNegative val="0"/>
          <c:cat>
            <c:strRef>
              <c:f>Examples!$B$35:$D$35</c:f>
              <c:strCache>
                <c:ptCount val="3"/>
                <c:pt idx="0">
                  <c:v>Data 1</c:v>
                </c:pt>
                <c:pt idx="1">
                  <c:v>Data 2</c:v>
                </c:pt>
                <c:pt idx="2">
                  <c:v>Data 3</c:v>
                </c:pt>
              </c:strCache>
            </c:strRef>
          </c:cat>
          <c:val>
            <c:numRef>
              <c:f>Examples!$B$36:$D$36</c:f>
              <c:numCache>
                <c:formatCode>General</c:formatCode>
                <c:ptCount val="3"/>
                <c:pt idx="0">
                  <c:v>36.19</c:v>
                </c:pt>
                <c:pt idx="1">
                  <c:v>36.880000000000003</c:v>
                </c:pt>
                <c:pt idx="2">
                  <c:v>21.56</c:v>
                </c:pt>
              </c:numCache>
            </c:numRef>
          </c:val>
          <c:extLst>
            <c:ext xmlns:c16="http://schemas.microsoft.com/office/drawing/2014/chart" uri="{C3380CC4-5D6E-409C-BE32-E72D297353CC}">
              <c16:uniqueId val="{00000000-3558-4AC7-90CB-BB3DD48DCFFB}"/>
            </c:ext>
          </c:extLst>
        </c:ser>
        <c:ser>
          <c:idx val="1"/>
          <c:order val="1"/>
          <c:tx>
            <c:strRef>
              <c:f>Examples!$A$37</c:f>
              <c:strCache>
                <c:ptCount val="1"/>
                <c:pt idx="0">
                  <c:v>1983-84</c:v>
                </c:pt>
              </c:strCache>
            </c:strRef>
          </c:tx>
          <c:spPr>
            <a:solidFill>
              <a:schemeClr val="accent5"/>
            </a:solidFill>
            <a:ln w="9525">
              <a:solidFill>
                <a:schemeClr val="bg1"/>
              </a:solidFill>
            </a:ln>
            <a:effectLst/>
          </c:spPr>
          <c:invertIfNegative val="0"/>
          <c:cat>
            <c:strRef>
              <c:f>Examples!$B$35:$D$35</c:f>
              <c:strCache>
                <c:ptCount val="3"/>
                <c:pt idx="0">
                  <c:v>Data 1</c:v>
                </c:pt>
                <c:pt idx="1">
                  <c:v>Data 2</c:v>
                </c:pt>
                <c:pt idx="2">
                  <c:v>Data 3</c:v>
                </c:pt>
              </c:strCache>
            </c:strRef>
          </c:cat>
          <c:val>
            <c:numRef>
              <c:f>Examples!$B$37:$D$37</c:f>
              <c:numCache>
                <c:formatCode>General</c:formatCode>
                <c:ptCount val="3"/>
                <c:pt idx="0">
                  <c:v>39.39</c:v>
                </c:pt>
                <c:pt idx="1">
                  <c:v>32.020000000000003</c:v>
                </c:pt>
                <c:pt idx="2">
                  <c:v>21.6</c:v>
                </c:pt>
              </c:numCache>
            </c:numRef>
          </c:val>
          <c:extLst>
            <c:ext xmlns:c16="http://schemas.microsoft.com/office/drawing/2014/chart" uri="{C3380CC4-5D6E-409C-BE32-E72D297353CC}">
              <c16:uniqueId val="{00000001-3558-4AC7-90CB-BB3DD48DCFFB}"/>
            </c:ext>
          </c:extLst>
        </c:ser>
        <c:ser>
          <c:idx val="2"/>
          <c:order val="2"/>
          <c:tx>
            <c:strRef>
              <c:f>Examples!$A$38</c:f>
              <c:strCache>
                <c:ptCount val="1"/>
                <c:pt idx="0">
                  <c:v>1988-89</c:v>
                </c:pt>
              </c:strCache>
            </c:strRef>
          </c:tx>
          <c:spPr>
            <a:solidFill>
              <a:srgbClr val="0352A1"/>
            </a:solidFill>
            <a:ln w="9525">
              <a:solidFill>
                <a:schemeClr val="bg1"/>
              </a:solidFill>
            </a:ln>
            <a:effectLst/>
          </c:spPr>
          <c:invertIfNegative val="0"/>
          <c:cat>
            <c:strRef>
              <c:f>Examples!$B$35:$D$35</c:f>
              <c:strCache>
                <c:ptCount val="3"/>
                <c:pt idx="0">
                  <c:v>Data 1</c:v>
                </c:pt>
                <c:pt idx="1">
                  <c:v>Data 2</c:v>
                </c:pt>
                <c:pt idx="2">
                  <c:v>Data 3</c:v>
                </c:pt>
              </c:strCache>
            </c:strRef>
          </c:cat>
          <c:val>
            <c:numRef>
              <c:f>Examples!$B$38:$D$38</c:f>
              <c:numCache>
                <c:formatCode>General</c:formatCode>
                <c:ptCount val="3"/>
                <c:pt idx="0">
                  <c:v>42.78</c:v>
                </c:pt>
                <c:pt idx="1">
                  <c:v>29.91</c:v>
                </c:pt>
                <c:pt idx="2">
                  <c:v>18.350000000000001</c:v>
                </c:pt>
              </c:numCache>
            </c:numRef>
          </c:val>
          <c:extLst>
            <c:ext xmlns:c16="http://schemas.microsoft.com/office/drawing/2014/chart" uri="{C3380CC4-5D6E-409C-BE32-E72D297353CC}">
              <c16:uniqueId val="{00000002-3558-4AC7-90CB-BB3DD48DCFFB}"/>
            </c:ext>
          </c:extLst>
        </c:ser>
        <c:dLbls>
          <c:showLegendKey val="0"/>
          <c:showVal val="0"/>
          <c:showCatName val="0"/>
          <c:showSerName val="0"/>
          <c:showPercent val="0"/>
          <c:showBubbleSize val="0"/>
        </c:dLbls>
        <c:gapWidth val="150"/>
        <c:axId val="511146296"/>
        <c:axId val="511139632"/>
        <c:extLst>
          <c:ext xmlns:c15="http://schemas.microsoft.com/office/drawing/2012/chart" uri="{02D57815-91ED-43cb-92C2-25804820EDAC}">
            <c15:filteredBarSeries>
              <c15:ser>
                <c:idx val="3"/>
                <c:order val="3"/>
                <c:tx>
                  <c:strRef>
                    <c:extLst>
                      <c:ext uri="{02D57815-91ED-43cb-92C2-25804820EDAC}">
                        <c15:formulaRef>
                          <c15:sqref>Examples!$A$39</c15:sqref>
                        </c15:formulaRef>
                      </c:ext>
                    </c:extLst>
                    <c:strCache>
                      <c:ptCount val="1"/>
                      <c:pt idx="0">
                        <c:v>1993-94</c:v>
                      </c:pt>
                    </c:strCache>
                  </c:strRef>
                </c:tx>
                <c:spPr>
                  <a:solidFill>
                    <a:srgbClr val="66C5EA"/>
                  </a:solidFill>
                  <a:ln>
                    <a:solidFill>
                      <a:schemeClr val="bg1"/>
                    </a:solidFill>
                  </a:ln>
                  <a:effectLst/>
                </c:spPr>
                <c:invertIfNegative val="0"/>
                <c:cat>
                  <c:strRef>
                    <c:extLst>
                      <c:ext uri="{02D57815-91ED-43cb-92C2-25804820EDAC}">
                        <c15:formulaRef>
                          <c15:sqref>Examples!$B$35:$D$35</c15:sqref>
                        </c15:formulaRef>
                      </c:ext>
                    </c:extLst>
                    <c:strCache>
                      <c:ptCount val="3"/>
                      <c:pt idx="0">
                        <c:v>Data 1</c:v>
                      </c:pt>
                      <c:pt idx="1">
                        <c:v>Data 2</c:v>
                      </c:pt>
                      <c:pt idx="2">
                        <c:v>Data 3</c:v>
                      </c:pt>
                    </c:strCache>
                  </c:strRef>
                </c:cat>
                <c:val>
                  <c:numRef>
                    <c:extLst>
                      <c:ext uri="{02D57815-91ED-43cb-92C2-25804820EDAC}">
                        <c15:formulaRef>
                          <c15:sqref>Examples!$B$39:$D$39</c15:sqref>
                        </c15:formulaRef>
                      </c:ext>
                    </c:extLst>
                    <c:numCache>
                      <c:formatCode>General</c:formatCode>
                      <c:ptCount val="3"/>
                      <c:pt idx="0">
                        <c:v>42.13</c:v>
                      </c:pt>
                      <c:pt idx="1">
                        <c:v>26.53</c:v>
                      </c:pt>
                      <c:pt idx="2">
                        <c:v>21.6</c:v>
                      </c:pt>
                    </c:numCache>
                  </c:numRef>
                </c:val>
                <c:extLst>
                  <c:ext xmlns:c16="http://schemas.microsoft.com/office/drawing/2014/chart" uri="{C3380CC4-5D6E-409C-BE32-E72D297353CC}">
                    <c16:uniqueId val="{00000003-3558-4AC7-90CB-BB3DD48DCFF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Examples!$A$40</c15:sqref>
                        </c15:formulaRef>
                      </c:ext>
                    </c:extLst>
                    <c:strCache>
                      <c:ptCount val="1"/>
                      <c:pt idx="0">
                        <c:v>1996-97</c:v>
                      </c:pt>
                    </c:strCache>
                  </c:strRef>
                </c:tx>
                <c:spPr>
                  <a:solidFill>
                    <a:srgbClr val="0352A1"/>
                  </a:solidFill>
                  <a:ln>
                    <a:solidFill>
                      <a:schemeClr val="bg1"/>
                    </a:solidFill>
                  </a:ln>
                  <a:effectLst/>
                </c:spPr>
                <c:invertIfNegative val="0"/>
                <c:cat>
                  <c:strRef>
                    <c:extLst xmlns:c15="http://schemas.microsoft.com/office/drawing/2012/chart">
                      <c:ext xmlns:c15="http://schemas.microsoft.com/office/drawing/2012/chart" uri="{02D57815-91ED-43cb-92C2-25804820EDAC}">
                        <c15:formulaRef>
                          <c15:sqref>Examples!$B$35:$D$35</c15:sqref>
                        </c15:formulaRef>
                      </c:ext>
                    </c:extLst>
                    <c:strCache>
                      <c:ptCount val="3"/>
                      <c:pt idx="0">
                        <c:v>Data 1</c:v>
                      </c:pt>
                      <c:pt idx="1">
                        <c:v>Data 2</c:v>
                      </c:pt>
                      <c:pt idx="2">
                        <c:v>Data 3</c:v>
                      </c:pt>
                    </c:strCache>
                  </c:strRef>
                </c:cat>
                <c:val>
                  <c:numRef>
                    <c:extLst xmlns:c15="http://schemas.microsoft.com/office/drawing/2012/chart">
                      <c:ext xmlns:c15="http://schemas.microsoft.com/office/drawing/2012/chart" uri="{02D57815-91ED-43cb-92C2-25804820EDAC}">
                        <c15:formulaRef>
                          <c15:sqref>Examples!$B$40:$D$40</c15:sqref>
                        </c15:formulaRef>
                      </c:ext>
                    </c:extLst>
                    <c:numCache>
                      <c:formatCode>General</c:formatCode>
                      <c:ptCount val="3"/>
                      <c:pt idx="0">
                        <c:v>41.69</c:v>
                      </c:pt>
                      <c:pt idx="1">
                        <c:v>24.76</c:v>
                      </c:pt>
                      <c:pt idx="2">
                        <c:v>23.98</c:v>
                      </c:pt>
                    </c:numCache>
                  </c:numRef>
                </c:val>
                <c:extLst xmlns:c15="http://schemas.microsoft.com/office/drawing/2012/chart">
                  <c:ext xmlns:c16="http://schemas.microsoft.com/office/drawing/2014/chart" uri="{C3380CC4-5D6E-409C-BE32-E72D297353CC}">
                    <c16:uniqueId val="{00000004-3558-4AC7-90CB-BB3DD48DCFFB}"/>
                  </c:ext>
                </c:extLst>
              </c15:ser>
            </c15:filteredBarSeries>
          </c:ext>
        </c:extLst>
      </c:barChart>
      <c:catAx>
        <c:axId val="511146296"/>
        <c:scaling>
          <c:orientation val="minMax"/>
        </c:scaling>
        <c:delete val="0"/>
        <c:axPos val="b"/>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511139632"/>
        <c:crosses val="autoZero"/>
        <c:auto val="1"/>
        <c:lblAlgn val="ctr"/>
        <c:lblOffset val="100"/>
        <c:tickLblSkip val="1"/>
        <c:tickMarkSkip val="1"/>
        <c:noMultiLvlLbl val="0"/>
      </c:catAx>
      <c:valAx>
        <c:axId val="511139632"/>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511146296"/>
        <c:crosses val="autoZero"/>
        <c:crossBetween val="between"/>
      </c:valAx>
      <c:spPr>
        <a:noFill/>
        <a:ln w="25400">
          <a:noFill/>
        </a:ln>
        <a:effectLst/>
      </c:spPr>
    </c:plotArea>
    <c:legend>
      <c:legendPos val="b"/>
      <c:layout>
        <c:manualLayout>
          <c:xMode val="edge"/>
          <c:yMode val="edge"/>
          <c:x val="8.4658526065817929E-3"/>
          <c:y val="0.87755852641399212"/>
          <c:w val="0.97804529931266793"/>
          <c:h val="0.11997817050752549"/>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7248576850095"/>
          <c:y val="4.5627376425855515E-2"/>
          <c:w val="0.84060721062618593"/>
          <c:h val="0.74016008038712222"/>
        </c:manualLayout>
      </c:layout>
      <c:barChart>
        <c:barDir val="bar"/>
        <c:grouping val="clustered"/>
        <c:varyColors val="0"/>
        <c:ser>
          <c:idx val="2"/>
          <c:order val="0"/>
          <c:tx>
            <c:strRef>
              <c:f>Examples!$B$35</c:f>
              <c:strCache>
                <c:ptCount val="1"/>
                <c:pt idx="0">
                  <c:v>Data 1</c:v>
                </c:pt>
              </c:strCache>
            </c:strRef>
          </c:tx>
          <c:spPr>
            <a:solidFill>
              <a:schemeClr val="accent6"/>
            </a:solidFill>
            <a:ln>
              <a:solidFill>
                <a:schemeClr val="bg1"/>
              </a:solidFill>
            </a:ln>
            <a:effectLst/>
          </c:spPr>
          <c:invertIfNegative val="0"/>
          <c:cat>
            <c:strRef>
              <c:f>Examples!$A$36:$A$41</c:f>
              <c:strCache>
                <c:ptCount val="6"/>
                <c:pt idx="0">
                  <c:v>1975-76</c:v>
                </c:pt>
                <c:pt idx="1">
                  <c:v>1983-84</c:v>
                </c:pt>
                <c:pt idx="2">
                  <c:v>1988-89</c:v>
                </c:pt>
                <c:pt idx="3">
                  <c:v>1993-94</c:v>
                </c:pt>
                <c:pt idx="4">
                  <c:v>1996-97</c:v>
                </c:pt>
                <c:pt idx="5">
                  <c:v>1997-98</c:v>
                </c:pt>
              </c:strCache>
            </c:strRef>
          </c:cat>
          <c:val>
            <c:numRef>
              <c:f>Examples!$B$36:$B$41</c:f>
              <c:numCache>
                <c:formatCode>General</c:formatCode>
                <c:ptCount val="6"/>
                <c:pt idx="0">
                  <c:v>36.19</c:v>
                </c:pt>
                <c:pt idx="1">
                  <c:v>39.39</c:v>
                </c:pt>
                <c:pt idx="2">
                  <c:v>42.78</c:v>
                </c:pt>
                <c:pt idx="3">
                  <c:v>42.13</c:v>
                </c:pt>
                <c:pt idx="4">
                  <c:v>41.69</c:v>
                </c:pt>
                <c:pt idx="5">
                  <c:v>39.39</c:v>
                </c:pt>
              </c:numCache>
            </c:numRef>
          </c:val>
          <c:extLst>
            <c:ext xmlns:c16="http://schemas.microsoft.com/office/drawing/2014/chart" uri="{C3380CC4-5D6E-409C-BE32-E72D297353CC}">
              <c16:uniqueId val="{00000000-7A43-4CDD-8234-77D40EA04216}"/>
            </c:ext>
          </c:extLst>
        </c:ser>
        <c:ser>
          <c:idx val="1"/>
          <c:order val="1"/>
          <c:tx>
            <c:strRef>
              <c:f>Examples!$C$35</c:f>
              <c:strCache>
                <c:ptCount val="1"/>
                <c:pt idx="0">
                  <c:v>Data 2</c:v>
                </c:pt>
              </c:strCache>
            </c:strRef>
          </c:tx>
          <c:spPr>
            <a:solidFill>
              <a:schemeClr val="accent5"/>
            </a:solidFill>
            <a:ln>
              <a:noFill/>
            </a:ln>
            <a:effectLst/>
          </c:spPr>
          <c:invertIfNegative val="0"/>
          <c:dPt>
            <c:idx val="0"/>
            <c:invertIfNegative val="0"/>
            <c:bubble3D val="0"/>
            <c:spPr>
              <a:solidFill>
                <a:schemeClr val="accent5"/>
              </a:solidFill>
              <a:ln>
                <a:solidFill>
                  <a:schemeClr val="bg1"/>
                </a:solidFill>
              </a:ln>
              <a:effectLst/>
            </c:spPr>
            <c:extLst>
              <c:ext xmlns:c16="http://schemas.microsoft.com/office/drawing/2014/chart" uri="{C3380CC4-5D6E-409C-BE32-E72D297353CC}">
                <c16:uniqueId val="{00000001-38B5-4C10-BC02-8006E6041757}"/>
              </c:ext>
            </c:extLst>
          </c:dPt>
          <c:cat>
            <c:strRef>
              <c:f>Examples!$A$36:$A$41</c:f>
              <c:strCache>
                <c:ptCount val="6"/>
                <c:pt idx="0">
                  <c:v>1975-76</c:v>
                </c:pt>
                <c:pt idx="1">
                  <c:v>1983-84</c:v>
                </c:pt>
                <c:pt idx="2">
                  <c:v>1988-89</c:v>
                </c:pt>
                <c:pt idx="3">
                  <c:v>1993-94</c:v>
                </c:pt>
                <c:pt idx="4">
                  <c:v>1996-97</c:v>
                </c:pt>
                <c:pt idx="5">
                  <c:v>1997-98</c:v>
                </c:pt>
              </c:strCache>
            </c:strRef>
          </c:cat>
          <c:val>
            <c:numRef>
              <c:f>Examples!$C$36:$C$41</c:f>
              <c:numCache>
                <c:formatCode>General</c:formatCode>
                <c:ptCount val="6"/>
                <c:pt idx="0">
                  <c:v>36.880000000000003</c:v>
                </c:pt>
                <c:pt idx="1">
                  <c:v>32.020000000000003</c:v>
                </c:pt>
                <c:pt idx="2">
                  <c:v>29.91</c:v>
                </c:pt>
                <c:pt idx="3">
                  <c:v>26.53</c:v>
                </c:pt>
                <c:pt idx="4">
                  <c:v>24.76</c:v>
                </c:pt>
                <c:pt idx="5">
                  <c:v>32.020000000000003</c:v>
                </c:pt>
              </c:numCache>
            </c:numRef>
          </c:val>
          <c:extLst>
            <c:ext xmlns:c16="http://schemas.microsoft.com/office/drawing/2014/chart" uri="{C3380CC4-5D6E-409C-BE32-E72D297353CC}">
              <c16:uniqueId val="{00000001-7A43-4CDD-8234-77D40EA04216}"/>
            </c:ext>
          </c:extLst>
        </c:ser>
        <c:ser>
          <c:idx val="0"/>
          <c:order val="2"/>
          <c:tx>
            <c:strRef>
              <c:f>Examples!$D$35</c:f>
              <c:strCache>
                <c:ptCount val="1"/>
                <c:pt idx="0">
                  <c:v>Data 3</c:v>
                </c:pt>
              </c:strCache>
            </c:strRef>
          </c:tx>
          <c:spPr>
            <a:solidFill>
              <a:srgbClr val="0352A1"/>
            </a:solidFill>
            <a:ln>
              <a:solidFill>
                <a:schemeClr val="bg1"/>
              </a:solidFill>
            </a:ln>
            <a:effectLst/>
          </c:spPr>
          <c:invertIfNegative val="0"/>
          <c:cat>
            <c:strRef>
              <c:f>Examples!$A$36:$A$41</c:f>
              <c:strCache>
                <c:ptCount val="6"/>
                <c:pt idx="0">
                  <c:v>1975-76</c:v>
                </c:pt>
                <c:pt idx="1">
                  <c:v>1983-84</c:v>
                </c:pt>
                <c:pt idx="2">
                  <c:v>1988-89</c:v>
                </c:pt>
                <c:pt idx="3">
                  <c:v>1993-94</c:v>
                </c:pt>
                <c:pt idx="4">
                  <c:v>1996-97</c:v>
                </c:pt>
                <c:pt idx="5">
                  <c:v>1997-98</c:v>
                </c:pt>
              </c:strCache>
            </c:strRef>
          </c:cat>
          <c:val>
            <c:numRef>
              <c:f>Examples!$D$36:$D$41</c:f>
              <c:numCache>
                <c:formatCode>General</c:formatCode>
                <c:ptCount val="6"/>
                <c:pt idx="0">
                  <c:v>21.56</c:v>
                </c:pt>
                <c:pt idx="1">
                  <c:v>21.6</c:v>
                </c:pt>
                <c:pt idx="2">
                  <c:v>18.350000000000001</c:v>
                </c:pt>
                <c:pt idx="3">
                  <c:v>21.6</c:v>
                </c:pt>
                <c:pt idx="4">
                  <c:v>23.98</c:v>
                </c:pt>
                <c:pt idx="5">
                  <c:v>21.6</c:v>
                </c:pt>
              </c:numCache>
            </c:numRef>
          </c:val>
          <c:extLst>
            <c:ext xmlns:c16="http://schemas.microsoft.com/office/drawing/2014/chart" uri="{C3380CC4-5D6E-409C-BE32-E72D297353CC}">
              <c16:uniqueId val="{00000002-7A43-4CDD-8234-77D40EA04216}"/>
            </c:ext>
          </c:extLst>
        </c:ser>
        <c:dLbls>
          <c:showLegendKey val="0"/>
          <c:showVal val="0"/>
          <c:showCatName val="0"/>
          <c:showSerName val="0"/>
          <c:showPercent val="0"/>
          <c:showBubbleSize val="0"/>
        </c:dLbls>
        <c:gapWidth val="150"/>
        <c:axId val="511144336"/>
        <c:axId val="511146688"/>
        <c:extLst>
          <c:ext xmlns:c15="http://schemas.microsoft.com/office/drawing/2012/chart" uri="{02D57815-91ED-43cb-92C2-25804820EDAC}">
            <c15:filteredBarSeries>
              <c15:ser>
                <c:idx val="3"/>
                <c:order val="3"/>
                <c:tx>
                  <c:strRef>
                    <c:extLst>
                      <c:ext uri="{02D57815-91ED-43cb-92C2-25804820EDAC}">
                        <c15:formulaRef>
                          <c15:sqref>Examples!$E$35</c15:sqref>
                        </c15:formulaRef>
                      </c:ext>
                    </c:extLst>
                    <c:strCache>
                      <c:ptCount val="1"/>
                      <c:pt idx="0">
                        <c:v>Data 4</c:v>
                      </c:pt>
                    </c:strCache>
                  </c:strRef>
                </c:tx>
                <c:spPr>
                  <a:solidFill>
                    <a:srgbClr val="66C5EA"/>
                  </a:solidFill>
                  <a:ln>
                    <a:solidFill>
                      <a:schemeClr val="bg1"/>
                    </a:solidFill>
                  </a:ln>
                  <a:effectLst/>
                </c:spPr>
                <c:invertIfNegative val="0"/>
                <c:cat>
                  <c:strRef>
                    <c:extLst>
                      <c:ext uri="{02D57815-91ED-43cb-92C2-25804820EDAC}">
                        <c15:formulaRef>
                          <c15:sqref>Examples!$A$36:$A$41</c15:sqref>
                        </c15:formulaRef>
                      </c:ext>
                    </c:extLst>
                    <c:strCache>
                      <c:ptCount val="6"/>
                      <c:pt idx="0">
                        <c:v>1975-76</c:v>
                      </c:pt>
                      <c:pt idx="1">
                        <c:v>1983-84</c:v>
                      </c:pt>
                      <c:pt idx="2">
                        <c:v>1988-89</c:v>
                      </c:pt>
                      <c:pt idx="3">
                        <c:v>1993-94</c:v>
                      </c:pt>
                      <c:pt idx="4">
                        <c:v>1996-97</c:v>
                      </c:pt>
                      <c:pt idx="5">
                        <c:v>1997-98</c:v>
                      </c:pt>
                    </c:strCache>
                  </c:strRef>
                </c:cat>
                <c:val>
                  <c:numRef>
                    <c:extLst>
                      <c:ext uri="{02D57815-91ED-43cb-92C2-25804820EDAC}">
                        <c15:formulaRef>
                          <c15:sqref>Examples!$E$36:$E$41</c15:sqref>
                        </c15:formulaRef>
                      </c:ext>
                    </c:extLst>
                    <c:numCache>
                      <c:formatCode>General</c:formatCode>
                      <c:ptCount val="6"/>
                      <c:pt idx="0">
                        <c:v>5.36</c:v>
                      </c:pt>
                      <c:pt idx="1">
                        <c:v>7.01</c:v>
                      </c:pt>
                      <c:pt idx="2">
                        <c:v>6.33</c:v>
                      </c:pt>
                      <c:pt idx="3">
                        <c:v>7.01</c:v>
                      </c:pt>
                      <c:pt idx="4">
                        <c:v>7</c:v>
                      </c:pt>
                      <c:pt idx="5">
                        <c:v>7.01</c:v>
                      </c:pt>
                    </c:numCache>
                  </c:numRef>
                </c:val>
                <c:extLst>
                  <c:ext xmlns:c16="http://schemas.microsoft.com/office/drawing/2014/chart" uri="{C3380CC4-5D6E-409C-BE32-E72D297353CC}">
                    <c16:uniqueId val="{00000003-7A43-4CDD-8234-77D40EA0421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Examples!$F$35</c15:sqref>
                        </c15:formulaRef>
                      </c:ext>
                    </c:extLst>
                    <c:strCache>
                      <c:ptCount val="1"/>
                      <c:pt idx="0">
                        <c:v>Data 5</c:v>
                      </c:pt>
                    </c:strCache>
                  </c:strRef>
                </c:tx>
                <c:spPr>
                  <a:solidFill>
                    <a:srgbClr val="0352A1"/>
                  </a:solidFill>
                  <a:ln>
                    <a:solidFill>
                      <a:schemeClr val="bg1"/>
                    </a:solidFill>
                  </a:ln>
                  <a:effectLst/>
                </c:spPr>
                <c:invertIfNegative val="0"/>
                <c:cat>
                  <c:strRef>
                    <c:extLst xmlns:c15="http://schemas.microsoft.com/office/drawing/2012/chart">
                      <c:ext xmlns:c15="http://schemas.microsoft.com/office/drawing/2012/chart" uri="{02D57815-91ED-43cb-92C2-25804820EDAC}">
                        <c15:formulaRef>
                          <c15:sqref>Examples!$A$36:$A$41</c15:sqref>
                        </c15:formulaRef>
                      </c:ext>
                    </c:extLst>
                    <c:strCache>
                      <c:ptCount val="6"/>
                      <c:pt idx="0">
                        <c:v>1975-76</c:v>
                      </c:pt>
                      <c:pt idx="1">
                        <c:v>1983-84</c:v>
                      </c:pt>
                      <c:pt idx="2">
                        <c:v>1988-89</c:v>
                      </c:pt>
                      <c:pt idx="3">
                        <c:v>1993-94</c:v>
                      </c:pt>
                      <c:pt idx="4">
                        <c:v>1996-97</c:v>
                      </c:pt>
                      <c:pt idx="5">
                        <c:v>1997-98</c:v>
                      </c:pt>
                    </c:strCache>
                  </c:strRef>
                </c:cat>
                <c:val>
                  <c:numRef>
                    <c:extLst xmlns:c15="http://schemas.microsoft.com/office/drawing/2012/chart">
                      <c:ext xmlns:c15="http://schemas.microsoft.com/office/drawing/2012/chart" uri="{02D57815-91ED-43cb-92C2-25804820EDAC}">
                        <c15:formulaRef>
                          <c15:sqref>Examples!$F$36:$F$41</c15:sqref>
                        </c15:formulaRef>
                      </c:ext>
                    </c:extLst>
                    <c:numCache>
                      <c:formatCode>General</c:formatCode>
                      <c:ptCount val="6"/>
                      <c:pt idx="0">
                        <c:v>3.01</c:v>
                      </c:pt>
                      <c:pt idx="1">
                        <c:v>3.36</c:v>
                      </c:pt>
                      <c:pt idx="2">
                        <c:v>2.63</c:v>
                      </c:pt>
                      <c:pt idx="3">
                        <c:v>2.72</c:v>
                      </c:pt>
                      <c:pt idx="4">
                        <c:v>2.57</c:v>
                      </c:pt>
                      <c:pt idx="5">
                        <c:v>3.36</c:v>
                      </c:pt>
                    </c:numCache>
                  </c:numRef>
                </c:val>
                <c:extLst xmlns:c15="http://schemas.microsoft.com/office/drawing/2012/chart">
                  <c:ext xmlns:c16="http://schemas.microsoft.com/office/drawing/2014/chart" uri="{C3380CC4-5D6E-409C-BE32-E72D297353CC}">
                    <c16:uniqueId val="{00000004-7A43-4CDD-8234-77D40EA04216}"/>
                  </c:ext>
                </c:extLst>
              </c15:ser>
            </c15:filteredBarSeries>
          </c:ext>
        </c:extLst>
      </c:barChart>
      <c:catAx>
        <c:axId val="511144336"/>
        <c:scaling>
          <c:orientation val="maxMin"/>
        </c:scaling>
        <c:delete val="0"/>
        <c:axPos val="l"/>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511146688"/>
        <c:crosses val="autoZero"/>
        <c:auto val="1"/>
        <c:lblAlgn val="ctr"/>
        <c:lblOffset val="100"/>
        <c:tickLblSkip val="1"/>
        <c:tickMarkSkip val="1"/>
        <c:noMultiLvlLbl val="0"/>
      </c:catAx>
      <c:valAx>
        <c:axId val="511146688"/>
        <c:scaling>
          <c:orientation val="minMax"/>
        </c:scaling>
        <c:delete val="0"/>
        <c:axPos val="b"/>
        <c:majorGridlines>
          <c:spPr>
            <a:ln w="6350" cap="flat" cmpd="sng" algn="ctr">
              <a:solidFill>
                <a:schemeClr val="bg2">
                  <a:lumMod val="20000"/>
                  <a:lumOff val="80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511144336"/>
        <c:crosses val="max"/>
        <c:crossBetween val="between"/>
      </c:valAx>
      <c:spPr>
        <a:noFill/>
        <a:ln w="25400">
          <a:noFill/>
        </a:ln>
        <a:effectLst/>
      </c:spPr>
    </c:plotArea>
    <c:legend>
      <c:legendPos val="b"/>
      <c:layout>
        <c:manualLayout>
          <c:xMode val="edge"/>
          <c:yMode val="edge"/>
          <c:x val="1.5945286408875391E-2"/>
          <c:y val="0.88348256140323012"/>
          <c:w val="0.98372745631183645"/>
          <c:h val="8.46668837408769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rgbClr val="000000"/>
          </a:solidFill>
          <a:latin typeface="Raleway" panose="020B0503030101060003" pitchFamily="34" charset="0"/>
          <a:ea typeface="Myriad Pro"/>
          <a:cs typeface="Arial" pitchFamily="34" charset="0"/>
        </a:defRPr>
      </a:pPr>
      <a:endParaRPr lang="en-US"/>
    </a:p>
  </c:txPr>
  <c:printSettings>
    <c:headerFooter alignWithMargins="0"/>
    <c:pageMargins b="0.98425196850393704" l="0.74803149606299213" r="0.74803149606299213" t="0.98425196850393704" header="0.51181102362204722" footer="0.51181102362204722"/>
    <c:pageSetup paperSize="9"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12141752415094E-2"/>
          <c:y val="6.7524354290904406E-2"/>
          <c:w val="0.89397748137027266"/>
          <c:h val="0.70579343208079159"/>
        </c:manualLayout>
      </c:layout>
      <c:barChart>
        <c:barDir val="col"/>
        <c:grouping val="clustered"/>
        <c:varyColors val="0"/>
        <c:ser>
          <c:idx val="1"/>
          <c:order val="0"/>
          <c:tx>
            <c:strRef>
              <c:f>Examples!$X$35</c:f>
              <c:strCache>
                <c:ptCount val="1"/>
                <c:pt idx="0">
                  <c:v>Blue</c:v>
                </c:pt>
              </c:strCache>
            </c:strRef>
          </c:tx>
          <c:spPr>
            <a:solidFill>
              <a:schemeClr val="accent6"/>
            </a:solidFill>
            <a:ln>
              <a:noFill/>
            </a:ln>
            <a:effectLst/>
          </c:spPr>
          <c:invertIfNegative val="0"/>
          <c:cat>
            <c:strRef>
              <c:f>Examples!$W$36:$W$43</c:f>
              <c:strCache>
                <c:ptCount val="8"/>
                <c:pt idx="0">
                  <c:v>1975-76</c:v>
                </c:pt>
                <c:pt idx="1">
                  <c:v>1983-84</c:v>
                </c:pt>
                <c:pt idx="2">
                  <c:v>1988-89</c:v>
                </c:pt>
                <c:pt idx="3">
                  <c:v>1993-94</c:v>
                </c:pt>
                <c:pt idx="4">
                  <c:v>1996-97</c:v>
                </c:pt>
                <c:pt idx="5">
                  <c:v>1997-98</c:v>
                </c:pt>
                <c:pt idx="6">
                  <c:v>1998-99</c:v>
                </c:pt>
                <c:pt idx="7">
                  <c:v>1999-00</c:v>
                </c:pt>
              </c:strCache>
            </c:strRef>
          </c:cat>
          <c:val>
            <c:numRef>
              <c:f>Examples!$X$36:$X$43</c:f>
              <c:numCache>
                <c:formatCode>General</c:formatCode>
                <c:ptCount val="8"/>
                <c:pt idx="0">
                  <c:v>33.19</c:v>
                </c:pt>
                <c:pt idx="1">
                  <c:v>39.39</c:v>
                </c:pt>
                <c:pt idx="2">
                  <c:v>42.78</c:v>
                </c:pt>
                <c:pt idx="3">
                  <c:v>42.13</c:v>
                </c:pt>
                <c:pt idx="4">
                  <c:v>41.69</c:v>
                </c:pt>
                <c:pt idx="5">
                  <c:v>39.39</c:v>
                </c:pt>
                <c:pt idx="6">
                  <c:v>42.13</c:v>
                </c:pt>
                <c:pt idx="7">
                  <c:v>45</c:v>
                </c:pt>
              </c:numCache>
            </c:numRef>
          </c:val>
          <c:extLst>
            <c:ext xmlns:c16="http://schemas.microsoft.com/office/drawing/2014/chart" uri="{C3380CC4-5D6E-409C-BE32-E72D297353CC}">
              <c16:uniqueId val="{00000000-AAE3-42C6-9C70-8AF148809318}"/>
            </c:ext>
          </c:extLst>
        </c:ser>
        <c:ser>
          <c:idx val="0"/>
          <c:order val="1"/>
          <c:tx>
            <c:strRef>
              <c:f>Examples!$Y$35</c:f>
              <c:strCache>
                <c:ptCount val="1"/>
                <c:pt idx="0">
                  <c:v>Grey</c:v>
                </c:pt>
              </c:strCache>
            </c:strRef>
          </c:tx>
          <c:spPr>
            <a:solidFill>
              <a:schemeClr val="accent5"/>
            </a:solidFill>
            <a:ln>
              <a:noFill/>
            </a:ln>
            <a:effectLst/>
          </c:spPr>
          <c:invertIfNegative val="0"/>
          <c:cat>
            <c:strRef>
              <c:f>Examples!$W$36:$W$43</c:f>
              <c:strCache>
                <c:ptCount val="8"/>
                <c:pt idx="0">
                  <c:v>1975-76</c:v>
                </c:pt>
                <c:pt idx="1">
                  <c:v>1983-84</c:v>
                </c:pt>
                <c:pt idx="2">
                  <c:v>1988-89</c:v>
                </c:pt>
                <c:pt idx="3">
                  <c:v>1993-94</c:v>
                </c:pt>
                <c:pt idx="4">
                  <c:v>1996-97</c:v>
                </c:pt>
                <c:pt idx="5">
                  <c:v>1997-98</c:v>
                </c:pt>
                <c:pt idx="6">
                  <c:v>1998-99</c:v>
                </c:pt>
                <c:pt idx="7">
                  <c:v>1999-00</c:v>
                </c:pt>
              </c:strCache>
            </c:strRef>
          </c:cat>
          <c:val>
            <c:numRef>
              <c:f>Examples!$Y$36:$Y$43</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extLst>
            <c:ext xmlns:c16="http://schemas.microsoft.com/office/drawing/2014/chart" uri="{C3380CC4-5D6E-409C-BE32-E72D297353CC}">
              <c16:uniqueId val="{00000001-AAE3-42C6-9C70-8AF148809318}"/>
            </c:ext>
          </c:extLst>
        </c:ser>
        <c:dLbls>
          <c:showLegendKey val="0"/>
          <c:showVal val="0"/>
          <c:showCatName val="0"/>
          <c:showSerName val="0"/>
          <c:showPercent val="0"/>
          <c:showBubbleSize val="0"/>
        </c:dLbls>
        <c:gapWidth val="150"/>
        <c:axId val="509225688"/>
        <c:axId val="509226080"/>
      </c:barChart>
      <c:lineChart>
        <c:grouping val="standard"/>
        <c:varyColors val="0"/>
        <c:ser>
          <c:idx val="2"/>
          <c:order val="2"/>
          <c:tx>
            <c:strRef>
              <c:f>Examples!$Z$35</c:f>
              <c:strCache>
                <c:ptCount val="1"/>
                <c:pt idx="0">
                  <c:v>Turquoise</c:v>
                </c:pt>
              </c:strCache>
            </c:strRef>
          </c:tx>
          <c:spPr>
            <a:ln w="25400" cap="rnd" cmpd="sng" algn="ctr">
              <a:solidFill>
                <a:srgbClr val="66C5EA"/>
              </a:solidFill>
              <a:prstDash val="solid"/>
              <a:round/>
            </a:ln>
            <a:effectLst/>
          </c:spPr>
          <c:marker>
            <c:symbol val="none"/>
          </c:marker>
          <c:cat>
            <c:strRef>
              <c:f>Examples!$W$36:$W$43</c:f>
              <c:strCache>
                <c:ptCount val="8"/>
                <c:pt idx="0">
                  <c:v>1975-76</c:v>
                </c:pt>
                <c:pt idx="1">
                  <c:v>1983-84</c:v>
                </c:pt>
                <c:pt idx="2">
                  <c:v>1988-89</c:v>
                </c:pt>
                <c:pt idx="3">
                  <c:v>1993-94</c:v>
                </c:pt>
                <c:pt idx="4">
                  <c:v>1996-97</c:v>
                </c:pt>
                <c:pt idx="5">
                  <c:v>1997-98</c:v>
                </c:pt>
                <c:pt idx="6">
                  <c:v>1998-99</c:v>
                </c:pt>
                <c:pt idx="7">
                  <c:v>1999-00</c:v>
                </c:pt>
              </c:strCache>
            </c:strRef>
          </c:cat>
          <c:val>
            <c:numRef>
              <c:f>Examples!$Z$36:$Z$43</c:f>
              <c:numCache>
                <c:formatCode>General</c:formatCode>
                <c:ptCount val="8"/>
                <c:pt idx="0">
                  <c:v>21.56</c:v>
                </c:pt>
                <c:pt idx="1">
                  <c:v>21.6</c:v>
                </c:pt>
                <c:pt idx="2">
                  <c:v>18.350000000000001</c:v>
                </c:pt>
                <c:pt idx="3">
                  <c:v>21.6</c:v>
                </c:pt>
                <c:pt idx="4">
                  <c:v>23.98</c:v>
                </c:pt>
                <c:pt idx="5">
                  <c:v>21.6</c:v>
                </c:pt>
                <c:pt idx="6">
                  <c:v>21.6</c:v>
                </c:pt>
                <c:pt idx="7">
                  <c:v>26</c:v>
                </c:pt>
              </c:numCache>
            </c:numRef>
          </c:val>
          <c:smooth val="0"/>
          <c:extLst>
            <c:ext xmlns:c16="http://schemas.microsoft.com/office/drawing/2014/chart" uri="{C3380CC4-5D6E-409C-BE32-E72D297353CC}">
              <c16:uniqueId val="{00000002-AAE3-42C6-9C70-8AF148809318}"/>
            </c:ext>
          </c:extLst>
        </c:ser>
        <c:ser>
          <c:idx val="3"/>
          <c:order val="3"/>
          <c:tx>
            <c:strRef>
              <c:f>Examples!$AA$35</c:f>
              <c:strCache>
                <c:ptCount val="1"/>
                <c:pt idx="0">
                  <c:v>Grey-80%</c:v>
                </c:pt>
              </c:strCache>
            </c:strRef>
          </c:tx>
          <c:spPr>
            <a:ln w="25400" cap="rnd" cmpd="sng" algn="ctr">
              <a:solidFill>
                <a:srgbClr val="5DA4C1"/>
              </a:solidFill>
              <a:prstDash val="solid"/>
              <a:round/>
            </a:ln>
            <a:effectLst/>
          </c:spPr>
          <c:marker>
            <c:symbol val="none"/>
          </c:marker>
          <c:cat>
            <c:strRef>
              <c:f>Examples!$W$36:$W$43</c:f>
              <c:strCache>
                <c:ptCount val="8"/>
                <c:pt idx="0">
                  <c:v>1975-76</c:v>
                </c:pt>
                <c:pt idx="1">
                  <c:v>1983-84</c:v>
                </c:pt>
                <c:pt idx="2">
                  <c:v>1988-89</c:v>
                </c:pt>
                <c:pt idx="3">
                  <c:v>1993-94</c:v>
                </c:pt>
                <c:pt idx="4">
                  <c:v>1996-97</c:v>
                </c:pt>
                <c:pt idx="5">
                  <c:v>1997-98</c:v>
                </c:pt>
                <c:pt idx="6">
                  <c:v>1998-99</c:v>
                </c:pt>
                <c:pt idx="7">
                  <c:v>1999-00</c:v>
                </c:pt>
              </c:strCache>
            </c:strRef>
          </c:cat>
          <c:val>
            <c:numRef>
              <c:f>Examples!$AA$36:$AA$43</c:f>
              <c:numCache>
                <c:formatCode>General</c:formatCode>
                <c:ptCount val="8"/>
                <c:pt idx="0">
                  <c:v>5.36</c:v>
                </c:pt>
                <c:pt idx="1">
                  <c:v>7.01</c:v>
                </c:pt>
                <c:pt idx="2">
                  <c:v>6.33</c:v>
                </c:pt>
                <c:pt idx="3">
                  <c:v>7.01</c:v>
                </c:pt>
                <c:pt idx="4">
                  <c:v>7</c:v>
                </c:pt>
                <c:pt idx="5">
                  <c:v>7.01</c:v>
                </c:pt>
                <c:pt idx="6">
                  <c:v>7.01</c:v>
                </c:pt>
                <c:pt idx="7">
                  <c:v>8</c:v>
                </c:pt>
              </c:numCache>
            </c:numRef>
          </c:val>
          <c:smooth val="0"/>
          <c:extLst>
            <c:ext xmlns:c16="http://schemas.microsoft.com/office/drawing/2014/chart" uri="{C3380CC4-5D6E-409C-BE32-E72D297353CC}">
              <c16:uniqueId val="{00000003-AAE3-42C6-9C70-8AF148809318}"/>
            </c:ext>
          </c:extLst>
        </c:ser>
        <c:dLbls>
          <c:showLegendKey val="0"/>
          <c:showVal val="0"/>
          <c:showCatName val="0"/>
          <c:showSerName val="0"/>
          <c:showPercent val="0"/>
          <c:showBubbleSize val="0"/>
        </c:dLbls>
        <c:marker val="1"/>
        <c:smooth val="0"/>
        <c:axId val="509226472"/>
        <c:axId val="509224512"/>
      </c:lineChart>
      <c:catAx>
        <c:axId val="509225688"/>
        <c:scaling>
          <c:orientation val="minMax"/>
        </c:scaling>
        <c:delete val="0"/>
        <c:axPos val="b"/>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Myriad Pro"/>
              </a:defRPr>
            </a:pPr>
            <a:endParaRPr lang="en-US"/>
          </a:p>
        </c:txPr>
        <c:crossAx val="509226080"/>
        <c:crosses val="autoZero"/>
        <c:auto val="0"/>
        <c:lblAlgn val="ctr"/>
        <c:lblOffset val="100"/>
        <c:tickLblSkip val="1"/>
        <c:tickMarkSkip val="1"/>
        <c:noMultiLvlLbl val="0"/>
      </c:catAx>
      <c:valAx>
        <c:axId val="509226080"/>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Myriad Pro"/>
              </a:defRPr>
            </a:pPr>
            <a:endParaRPr lang="en-US"/>
          </a:p>
        </c:txPr>
        <c:crossAx val="509225688"/>
        <c:crosses val="autoZero"/>
        <c:crossBetween val="between"/>
      </c:valAx>
      <c:catAx>
        <c:axId val="509226472"/>
        <c:scaling>
          <c:orientation val="minMax"/>
        </c:scaling>
        <c:delete val="1"/>
        <c:axPos val="b"/>
        <c:numFmt formatCode="General" sourceLinked="1"/>
        <c:majorTickMark val="out"/>
        <c:minorTickMark val="none"/>
        <c:tickLblPos val="nextTo"/>
        <c:crossAx val="509224512"/>
        <c:crosses val="autoZero"/>
        <c:auto val="0"/>
        <c:lblAlgn val="ctr"/>
        <c:lblOffset val="100"/>
        <c:noMultiLvlLbl val="0"/>
      </c:catAx>
      <c:valAx>
        <c:axId val="509224512"/>
        <c:scaling>
          <c:orientation val="minMax"/>
        </c:scaling>
        <c:delete val="0"/>
        <c:axPos val="r"/>
        <c:numFmt formatCode="General" sourceLinked="1"/>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Myriad Pro"/>
              </a:defRPr>
            </a:pPr>
            <a:endParaRPr lang="en-US"/>
          </a:p>
        </c:txPr>
        <c:crossAx val="509226472"/>
        <c:crosses val="max"/>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Myriad Pro"/>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Raleway" panose="020B0503030101060003" pitchFamily="34" charset="0"/>
          <a:ea typeface="Myriad Pro"/>
          <a:cs typeface="Myriad Pro"/>
        </a:defRPr>
      </a:pPr>
      <a:endParaRPr lang="en-US"/>
    </a:p>
  </c:txPr>
  <c:printSettings>
    <c:headerFooter alignWithMargins="0">
      <c:oddHeader>&amp;A</c:oddHeader>
      <c:oddFooter>Page &amp;P</c:oddFooter>
    </c:headerFooter>
    <c:pageMargins b="1" l="0.75" r="0.75" t="1" header="0.5" footer="0.5"/>
    <c:pageSetup paperSize="9" orientation="portrait" horizontalDpi="-3"/>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277939910925902E-2"/>
          <c:y val="6.0836501901140684E-2"/>
          <c:w val="0.92789382162936673"/>
          <c:h val="0.69840922846451958"/>
        </c:manualLayout>
      </c:layout>
      <c:barChart>
        <c:barDir val="col"/>
        <c:grouping val="percentStacked"/>
        <c:varyColors val="0"/>
        <c:ser>
          <c:idx val="0"/>
          <c:order val="0"/>
          <c:tx>
            <c:strRef>
              <c:f>Examples!$B$35</c:f>
              <c:strCache>
                <c:ptCount val="1"/>
                <c:pt idx="0">
                  <c:v>Data 1</c:v>
                </c:pt>
              </c:strCache>
            </c:strRef>
          </c:tx>
          <c:spPr>
            <a:solidFill>
              <a:srgbClr val="99A4B7"/>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Examples!$B$36:$B$43</c:f>
              <c:numCache>
                <c:formatCode>General</c:formatCode>
                <c:ptCount val="8"/>
                <c:pt idx="0">
                  <c:v>36.19</c:v>
                </c:pt>
                <c:pt idx="1">
                  <c:v>39.39</c:v>
                </c:pt>
                <c:pt idx="2">
                  <c:v>42.78</c:v>
                </c:pt>
                <c:pt idx="3">
                  <c:v>42.13</c:v>
                </c:pt>
                <c:pt idx="4">
                  <c:v>41.69</c:v>
                </c:pt>
                <c:pt idx="5">
                  <c:v>39.39</c:v>
                </c:pt>
                <c:pt idx="6">
                  <c:v>42.13</c:v>
                </c:pt>
                <c:pt idx="7">
                  <c:v>45</c:v>
                </c:pt>
              </c:numCache>
            </c:numRef>
          </c:val>
          <c:extLst>
            <c:ext xmlns:c16="http://schemas.microsoft.com/office/drawing/2014/chart" uri="{C3380CC4-5D6E-409C-BE32-E72D297353CC}">
              <c16:uniqueId val="{00000000-AD81-4723-9E25-438731FF5873}"/>
            </c:ext>
          </c:extLst>
        </c:ser>
        <c:ser>
          <c:idx val="1"/>
          <c:order val="1"/>
          <c:tx>
            <c:strRef>
              <c:f>Examples!$C$35</c:f>
              <c:strCache>
                <c:ptCount val="1"/>
                <c:pt idx="0">
                  <c:v>Data 2</c:v>
                </c:pt>
              </c:strCache>
            </c:strRef>
          </c:tx>
          <c:spPr>
            <a:solidFill>
              <a:srgbClr val="77869F"/>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Examples!$C$36:$C$43</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extLst>
            <c:ext xmlns:c16="http://schemas.microsoft.com/office/drawing/2014/chart" uri="{C3380CC4-5D6E-409C-BE32-E72D297353CC}">
              <c16:uniqueId val="{00000001-AD81-4723-9E25-438731FF5873}"/>
            </c:ext>
          </c:extLst>
        </c:ser>
        <c:ser>
          <c:idx val="2"/>
          <c:order val="2"/>
          <c:tx>
            <c:strRef>
              <c:f>Examples!$D$35</c:f>
              <c:strCache>
                <c:ptCount val="1"/>
                <c:pt idx="0">
                  <c:v>Data 3</c:v>
                </c:pt>
              </c:strCache>
            </c:strRef>
          </c:tx>
          <c:spPr>
            <a:solidFill>
              <a:srgbClr val="5DA4C1"/>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Examples!$D$36:$D$43</c:f>
              <c:numCache>
                <c:formatCode>General</c:formatCode>
                <c:ptCount val="8"/>
                <c:pt idx="0">
                  <c:v>21.56</c:v>
                </c:pt>
                <c:pt idx="1">
                  <c:v>21.6</c:v>
                </c:pt>
                <c:pt idx="2">
                  <c:v>18.350000000000001</c:v>
                </c:pt>
                <c:pt idx="3">
                  <c:v>21.6</c:v>
                </c:pt>
                <c:pt idx="4">
                  <c:v>23.98</c:v>
                </c:pt>
                <c:pt idx="5">
                  <c:v>21.6</c:v>
                </c:pt>
                <c:pt idx="6">
                  <c:v>21.6</c:v>
                </c:pt>
                <c:pt idx="7">
                  <c:v>26</c:v>
                </c:pt>
              </c:numCache>
            </c:numRef>
          </c:val>
          <c:extLst>
            <c:ext xmlns:c16="http://schemas.microsoft.com/office/drawing/2014/chart" uri="{C3380CC4-5D6E-409C-BE32-E72D297353CC}">
              <c16:uniqueId val="{00000002-AD81-4723-9E25-438731FF5873}"/>
            </c:ext>
          </c:extLst>
        </c:ser>
        <c:ser>
          <c:idx val="3"/>
          <c:order val="3"/>
          <c:tx>
            <c:strRef>
              <c:f>Examples!$E$35</c:f>
              <c:strCache>
                <c:ptCount val="1"/>
                <c:pt idx="0">
                  <c:v>Data 4</c:v>
                </c:pt>
              </c:strCache>
            </c:strRef>
          </c:tx>
          <c:spPr>
            <a:solidFill>
              <a:schemeClr val="accent6"/>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Examples!$E$36:$E$43</c:f>
              <c:numCache>
                <c:formatCode>General</c:formatCode>
                <c:ptCount val="8"/>
                <c:pt idx="0">
                  <c:v>5.36</c:v>
                </c:pt>
                <c:pt idx="1">
                  <c:v>7.01</c:v>
                </c:pt>
                <c:pt idx="2">
                  <c:v>6.33</c:v>
                </c:pt>
                <c:pt idx="3">
                  <c:v>7.01</c:v>
                </c:pt>
                <c:pt idx="4">
                  <c:v>7</c:v>
                </c:pt>
                <c:pt idx="5">
                  <c:v>7.01</c:v>
                </c:pt>
                <c:pt idx="6">
                  <c:v>7.01</c:v>
                </c:pt>
                <c:pt idx="7">
                  <c:v>8</c:v>
                </c:pt>
              </c:numCache>
            </c:numRef>
          </c:val>
          <c:extLst>
            <c:ext xmlns:c16="http://schemas.microsoft.com/office/drawing/2014/chart" uri="{C3380CC4-5D6E-409C-BE32-E72D297353CC}">
              <c16:uniqueId val="{00000003-AD81-4723-9E25-438731FF5873}"/>
            </c:ext>
          </c:extLst>
        </c:ser>
        <c:ser>
          <c:idx val="4"/>
          <c:order val="4"/>
          <c:tx>
            <c:strRef>
              <c:f>Examples!$F$35</c:f>
              <c:strCache>
                <c:ptCount val="1"/>
                <c:pt idx="0">
                  <c:v>Data 5</c:v>
                </c:pt>
              </c:strCache>
            </c:strRef>
          </c:tx>
          <c:spPr>
            <a:solidFill>
              <a:srgbClr val="009EDB"/>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Examples!$F$36:$F$43</c:f>
              <c:numCache>
                <c:formatCode>General</c:formatCode>
                <c:ptCount val="8"/>
                <c:pt idx="0">
                  <c:v>3.01</c:v>
                </c:pt>
                <c:pt idx="1">
                  <c:v>3.36</c:v>
                </c:pt>
                <c:pt idx="2">
                  <c:v>2.63</c:v>
                </c:pt>
                <c:pt idx="3">
                  <c:v>2.72</c:v>
                </c:pt>
                <c:pt idx="4">
                  <c:v>2.57</c:v>
                </c:pt>
                <c:pt idx="5">
                  <c:v>3.36</c:v>
                </c:pt>
                <c:pt idx="6">
                  <c:v>2.72</c:v>
                </c:pt>
                <c:pt idx="7">
                  <c:v>2</c:v>
                </c:pt>
              </c:numCache>
            </c:numRef>
          </c:val>
          <c:extLst>
            <c:ext xmlns:c16="http://schemas.microsoft.com/office/drawing/2014/chart" uri="{C3380CC4-5D6E-409C-BE32-E72D297353CC}">
              <c16:uniqueId val="{00000004-AD81-4723-9E25-438731FF5873}"/>
            </c:ext>
          </c:extLst>
        </c:ser>
        <c:ser>
          <c:idx val="5"/>
          <c:order val="5"/>
          <c:tx>
            <c:strRef>
              <c:f>Examples!$G$35</c:f>
              <c:strCache>
                <c:ptCount val="1"/>
                <c:pt idx="0">
                  <c:v>Data 6</c:v>
                </c:pt>
              </c:strCache>
            </c:strRef>
          </c:tx>
          <c:spPr>
            <a:solidFill>
              <a:srgbClr val="66C5EA"/>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Examples!$G$36:$G$43</c:f>
              <c:numCache>
                <c:formatCode>General</c:formatCode>
                <c:ptCount val="8"/>
                <c:pt idx="0">
                  <c:v>10</c:v>
                </c:pt>
                <c:pt idx="1">
                  <c:v>12</c:v>
                </c:pt>
                <c:pt idx="2">
                  <c:v>14</c:v>
                </c:pt>
                <c:pt idx="3">
                  <c:v>16</c:v>
                </c:pt>
                <c:pt idx="4">
                  <c:v>18</c:v>
                </c:pt>
                <c:pt idx="5">
                  <c:v>12</c:v>
                </c:pt>
                <c:pt idx="6">
                  <c:v>16</c:v>
                </c:pt>
                <c:pt idx="7">
                  <c:v>20</c:v>
                </c:pt>
              </c:numCache>
            </c:numRef>
          </c:val>
          <c:extLst>
            <c:ext xmlns:c16="http://schemas.microsoft.com/office/drawing/2014/chart" uri="{C3380CC4-5D6E-409C-BE32-E72D297353CC}">
              <c16:uniqueId val="{00000005-AD81-4723-9E25-438731FF5873}"/>
            </c:ext>
          </c:extLst>
        </c:ser>
        <c:ser>
          <c:idx val="6"/>
          <c:order val="6"/>
          <c:tx>
            <c:strRef>
              <c:f>Examples!$H$35</c:f>
              <c:strCache>
                <c:ptCount val="1"/>
                <c:pt idx="0">
                  <c:v>Data 7</c:v>
                </c:pt>
              </c:strCache>
            </c:strRef>
          </c:tx>
          <c:spPr>
            <a:solidFill>
              <a:srgbClr val="0352A1"/>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Examples!$H$36:$H$43</c:f>
              <c:numCache>
                <c:formatCode>General</c:formatCode>
                <c:ptCount val="8"/>
                <c:pt idx="0">
                  <c:v>5.2</c:v>
                </c:pt>
                <c:pt idx="1">
                  <c:v>6.6</c:v>
                </c:pt>
                <c:pt idx="2">
                  <c:v>5.7</c:v>
                </c:pt>
                <c:pt idx="3">
                  <c:v>3</c:v>
                </c:pt>
                <c:pt idx="4">
                  <c:v>3.5</c:v>
                </c:pt>
                <c:pt idx="5">
                  <c:v>3.8</c:v>
                </c:pt>
                <c:pt idx="6">
                  <c:v>3.2</c:v>
                </c:pt>
                <c:pt idx="7">
                  <c:v>4</c:v>
                </c:pt>
              </c:numCache>
            </c:numRef>
          </c:val>
          <c:extLst>
            <c:ext xmlns:c16="http://schemas.microsoft.com/office/drawing/2014/chart" uri="{C3380CC4-5D6E-409C-BE32-E72D297353CC}">
              <c16:uniqueId val="{00000006-AD81-4723-9E25-438731FF5873}"/>
            </c:ext>
          </c:extLst>
        </c:ser>
        <c:ser>
          <c:idx val="7"/>
          <c:order val="7"/>
          <c:tx>
            <c:strRef>
              <c:f>Examples!$I$35</c:f>
              <c:strCache>
                <c:ptCount val="1"/>
                <c:pt idx="0">
                  <c:v>Data 8</c:v>
                </c:pt>
              </c:strCache>
            </c:strRef>
          </c:tx>
          <c:spPr>
            <a:solidFill>
              <a:srgbClr val="3373B3"/>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Examples!$I$36:$I$43</c:f>
              <c:numCache>
                <c:formatCode>General</c:formatCode>
                <c:ptCount val="8"/>
                <c:pt idx="0">
                  <c:v>13</c:v>
                </c:pt>
                <c:pt idx="1">
                  <c:v>15</c:v>
                </c:pt>
                <c:pt idx="2">
                  <c:v>16</c:v>
                </c:pt>
                <c:pt idx="3">
                  <c:v>17</c:v>
                </c:pt>
                <c:pt idx="4">
                  <c:v>19</c:v>
                </c:pt>
                <c:pt idx="5">
                  <c:v>13</c:v>
                </c:pt>
                <c:pt idx="6">
                  <c:v>18</c:v>
                </c:pt>
                <c:pt idx="7">
                  <c:v>22</c:v>
                </c:pt>
              </c:numCache>
            </c:numRef>
          </c:val>
          <c:extLst>
            <c:ext xmlns:c16="http://schemas.microsoft.com/office/drawing/2014/chart" uri="{C3380CC4-5D6E-409C-BE32-E72D297353CC}">
              <c16:uniqueId val="{00000007-AD81-4723-9E25-438731FF5873}"/>
            </c:ext>
          </c:extLst>
        </c:ser>
        <c:dLbls>
          <c:showLegendKey val="0"/>
          <c:showVal val="0"/>
          <c:showCatName val="0"/>
          <c:showSerName val="0"/>
          <c:showPercent val="0"/>
          <c:showBubbleSize val="0"/>
        </c:dLbls>
        <c:gapWidth val="150"/>
        <c:overlap val="100"/>
        <c:axId val="509223728"/>
        <c:axId val="509224120"/>
      </c:barChart>
      <c:catAx>
        <c:axId val="509223728"/>
        <c:scaling>
          <c:orientation val="minMax"/>
        </c:scaling>
        <c:delete val="0"/>
        <c:axPos val="b"/>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509224120"/>
        <c:crosses val="autoZero"/>
        <c:auto val="1"/>
        <c:lblAlgn val="ctr"/>
        <c:lblOffset val="100"/>
        <c:tickLblSkip val="1"/>
        <c:tickMarkSkip val="1"/>
        <c:noMultiLvlLbl val="0"/>
      </c:catAx>
      <c:valAx>
        <c:axId val="509224120"/>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50922372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Raleway" panose="020B0503030101060003" pitchFamily="34" charset="0"/>
          <a:ea typeface="Myriad Pro"/>
          <a:cs typeface="Arial" pitchFamily="34" charset="0"/>
        </a:defRPr>
      </a:pPr>
      <a:endParaRPr lang="en-US"/>
    </a:p>
  </c:txPr>
  <c:printSettings>
    <c:headerFooter alignWithMargins="0"/>
    <c:pageMargins b="0.98425196850393704" l="0.74803149606299213" r="0.74803149606299213" t="0.98425196850393704" header="0.51181102362204722" footer="0.51181102362204722"/>
    <c:pageSetup paperSize="9" orientation="portrait"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5421784559343046E-2"/>
          <c:y val="7.987260942800993E-2"/>
          <c:w val="0.93132694487765588"/>
          <c:h val="0.70067261102981382"/>
        </c:manualLayout>
      </c:layout>
      <c:barChart>
        <c:barDir val="col"/>
        <c:grouping val="clustered"/>
        <c:varyColors val="0"/>
        <c:ser>
          <c:idx val="0"/>
          <c:order val="0"/>
          <c:tx>
            <c:strRef>
              <c:f>Examples!$A$36</c:f>
              <c:strCache>
                <c:ptCount val="1"/>
                <c:pt idx="0">
                  <c:v>1975-76</c:v>
                </c:pt>
              </c:strCache>
            </c:strRef>
          </c:tx>
          <c:spPr>
            <a:solidFill>
              <a:srgbClr val="99A4B7"/>
            </a:solidFill>
            <a:ln w="9525">
              <a:solidFill>
                <a:schemeClr val="bg1"/>
              </a:solidFill>
            </a:ln>
            <a:effectLst/>
          </c:spPr>
          <c:invertIfNegative val="0"/>
          <c:cat>
            <c:strRef>
              <c:f>Examples!$B$35:$D$35</c:f>
              <c:strCache>
                <c:ptCount val="3"/>
                <c:pt idx="0">
                  <c:v>Data 1</c:v>
                </c:pt>
                <c:pt idx="1">
                  <c:v>Data 2</c:v>
                </c:pt>
                <c:pt idx="2">
                  <c:v>Data 3</c:v>
                </c:pt>
              </c:strCache>
            </c:strRef>
          </c:cat>
          <c:val>
            <c:numRef>
              <c:f>Examples!$B$36:$D$36</c:f>
              <c:numCache>
                <c:formatCode>General</c:formatCode>
                <c:ptCount val="3"/>
                <c:pt idx="0">
                  <c:v>36.19</c:v>
                </c:pt>
                <c:pt idx="1">
                  <c:v>36.880000000000003</c:v>
                </c:pt>
                <c:pt idx="2">
                  <c:v>21.56</c:v>
                </c:pt>
              </c:numCache>
            </c:numRef>
          </c:val>
          <c:extLst>
            <c:ext xmlns:c16="http://schemas.microsoft.com/office/drawing/2014/chart" uri="{C3380CC4-5D6E-409C-BE32-E72D297353CC}">
              <c16:uniqueId val="{00000000-3558-4AC7-90CB-BB3DD48DCFFB}"/>
            </c:ext>
          </c:extLst>
        </c:ser>
        <c:ser>
          <c:idx val="1"/>
          <c:order val="1"/>
          <c:tx>
            <c:strRef>
              <c:f>Examples!$A$37</c:f>
              <c:strCache>
                <c:ptCount val="1"/>
                <c:pt idx="0">
                  <c:v>1983-84</c:v>
                </c:pt>
              </c:strCache>
            </c:strRef>
          </c:tx>
          <c:spPr>
            <a:solidFill>
              <a:srgbClr val="77869F"/>
            </a:solidFill>
            <a:ln w="9525">
              <a:solidFill>
                <a:schemeClr val="bg1"/>
              </a:solidFill>
            </a:ln>
            <a:effectLst/>
          </c:spPr>
          <c:invertIfNegative val="0"/>
          <c:cat>
            <c:strRef>
              <c:f>Examples!$B$35:$D$35</c:f>
              <c:strCache>
                <c:ptCount val="3"/>
                <c:pt idx="0">
                  <c:v>Data 1</c:v>
                </c:pt>
                <c:pt idx="1">
                  <c:v>Data 2</c:v>
                </c:pt>
                <c:pt idx="2">
                  <c:v>Data 3</c:v>
                </c:pt>
              </c:strCache>
            </c:strRef>
          </c:cat>
          <c:val>
            <c:numRef>
              <c:f>Examples!$B$37:$D$37</c:f>
              <c:numCache>
                <c:formatCode>General</c:formatCode>
                <c:ptCount val="3"/>
                <c:pt idx="0">
                  <c:v>39.39</c:v>
                </c:pt>
                <c:pt idx="1">
                  <c:v>32.020000000000003</c:v>
                </c:pt>
                <c:pt idx="2">
                  <c:v>21.6</c:v>
                </c:pt>
              </c:numCache>
            </c:numRef>
          </c:val>
          <c:extLst>
            <c:ext xmlns:c16="http://schemas.microsoft.com/office/drawing/2014/chart" uri="{C3380CC4-5D6E-409C-BE32-E72D297353CC}">
              <c16:uniqueId val="{00000001-3558-4AC7-90CB-BB3DD48DCFFB}"/>
            </c:ext>
          </c:extLst>
        </c:ser>
        <c:ser>
          <c:idx val="2"/>
          <c:order val="2"/>
          <c:tx>
            <c:strRef>
              <c:f>Examples!$A$38</c:f>
              <c:strCache>
                <c:ptCount val="1"/>
                <c:pt idx="0">
                  <c:v>1988-89</c:v>
                </c:pt>
              </c:strCache>
            </c:strRef>
          </c:tx>
          <c:spPr>
            <a:solidFill>
              <a:srgbClr val="5DA4C1"/>
            </a:solidFill>
            <a:ln w="9525">
              <a:solidFill>
                <a:schemeClr val="bg1"/>
              </a:solidFill>
            </a:ln>
            <a:effectLst/>
          </c:spPr>
          <c:invertIfNegative val="0"/>
          <c:cat>
            <c:strRef>
              <c:f>Examples!$B$35:$D$35</c:f>
              <c:strCache>
                <c:ptCount val="3"/>
                <c:pt idx="0">
                  <c:v>Data 1</c:v>
                </c:pt>
                <c:pt idx="1">
                  <c:v>Data 2</c:v>
                </c:pt>
                <c:pt idx="2">
                  <c:v>Data 3</c:v>
                </c:pt>
              </c:strCache>
            </c:strRef>
          </c:cat>
          <c:val>
            <c:numRef>
              <c:f>Examples!$B$38:$D$38</c:f>
              <c:numCache>
                <c:formatCode>General</c:formatCode>
                <c:ptCount val="3"/>
                <c:pt idx="0">
                  <c:v>42.78</c:v>
                </c:pt>
                <c:pt idx="1">
                  <c:v>29.91</c:v>
                </c:pt>
                <c:pt idx="2">
                  <c:v>18.350000000000001</c:v>
                </c:pt>
              </c:numCache>
            </c:numRef>
          </c:val>
          <c:extLst>
            <c:ext xmlns:c16="http://schemas.microsoft.com/office/drawing/2014/chart" uri="{C3380CC4-5D6E-409C-BE32-E72D297353CC}">
              <c16:uniqueId val="{00000002-3558-4AC7-90CB-BB3DD48DCFFB}"/>
            </c:ext>
          </c:extLst>
        </c:ser>
        <c:ser>
          <c:idx val="3"/>
          <c:order val="3"/>
          <c:tx>
            <c:strRef>
              <c:f>Examples!$A$39</c:f>
              <c:strCache>
                <c:ptCount val="1"/>
                <c:pt idx="0">
                  <c:v>1993-94</c:v>
                </c:pt>
              </c:strCache>
            </c:strRef>
          </c:tx>
          <c:spPr>
            <a:solidFill>
              <a:schemeClr val="accent6"/>
            </a:solidFill>
            <a:ln>
              <a:solidFill>
                <a:schemeClr val="bg1"/>
              </a:solidFill>
            </a:ln>
            <a:effectLst/>
          </c:spPr>
          <c:invertIfNegative val="0"/>
          <c:cat>
            <c:strRef>
              <c:f>Examples!$B$35:$D$35</c:f>
              <c:strCache>
                <c:ptCount val="3"/>
                <c:pt idx="0">
                  <c:v>Data 1</c:v>
                </c:pt>
                <c:pt idx="1">
                  <c:v>Data 2</c:v>
                </c:pt>
                <c:pt idx="2">
                  <c:v>Data 3</c:v>
                </c:pt>
              </c:strCache>
            </c:strRef>
          </c:cat>
          <c:val>
            <c:numRef>
              <c:f>Examples!$B$39:$D$39</c:f>
              <c:numCache>
                <c:formatCode>General</c:formatCode>
                <c:ptCount val="3"/>
                <c:pt idx="0">
                  <c:v>42.13</c:v>
                </c:pt>
                <c:pt idx="1">
                  <c:v>26.53</c:v>
                </c:pt>
                <c:pt idx="2">
                  <c:v>21.6</c:v>
                </c:pt>
              </c:numCache>
            </c:numRef>
          </c:val>
          <c:extLst>
            <c:ext xmlns:c16="http://schemas.microsoft.com/office/drawing/2014/chart" uri="{C3380CC4-5D6E-409C-BE32-E72D297353CC}">
              <c16:uniqueId val="{00000003-3558-4AC7-90CB-BB3DD48DCFFB}"/>
            </c:ext>
          </c:extLst>
        </c:ser>
        <c:ser>
          <c:idx val="4"/>
          <c:order val="4"/>
          <c:tx>
            <c:strRef>
              <c:f>Examples!$A$40</c:f>
              <c:strCache>
                <c:ptCount val="1"/>
                <c:pt idx="0">
                  <c:v>1996-97</c:v>
                </c:pt>
              </c:strCache>
            </c:strRef>
          </c:tx>
          <c:spPr>
            <a:solidFill>
              <a:srgbClr val="009EDB"/>
            </a:solidFill>
            <a:ln>
              <a:solidFill>
                <a:schemeClr val="bg1"/>
              </a:solidFill>
            </a:ln>
            <a:effectLst/>
          </c:spPr>
          <c:invertIfNegative val="0"/>
          <c:cat>
            <c:strRef>
              <c:f>Examples!$B$35:$D$35</c:f>
              <c:strCache>
                <c:ptCount val="3"/>
                <c:pt idx="0">
                  <c:v>Data 1</c:v>
                </c:pt>
                <c:pt idx="1">
                  <c:v>Data 2</c:v>
                </c:pt>
                <c:pt idx="2">
                  <c:v>Data 3</c:v>
                </c:pt>
              </c:strCache>
            </c:strRef>
          </c:cat>
          <c:val>
            <c:numRef>
              <c:f>Examples!$B$40:$D$40</c:f>
              <c:numCache>
                <c:formatCode>General</c:formatCode>
                <c:ptCount val="3"/>
                <c:pt idx="0">
                  <c:v>41.69</c:v>
                </c:pt>
                <c:pt idx="1">
                  <c:v>24.76</c:v>
                </c:pt>
                <c:pt idx="2">
                  <c:v>23.98</c:v>
                </c:pt>
              </c:numCache>
            </c:numRef>
          </c:val>
          <c:extLst>
            <c:ext xmlns:c16="http://schemas.microsoft.com/office/drawing/2014/chart" uri="{C3380CC4-5D6E-409C-BE32-E72D297353CC}">
              <c16:uniqueId val="{00000004-3558-4AC7-90CB-BB3DD48DCFFB}"/>
            </c:ext>
          </c:extLst>
        </c:ser>
        <c:ser>
          <c:idx val="5"/>
          <c:order val="5"/>
          <c:tx>
            <c:strRef>
              <c:f>Examples!$A$41</c:f>
              <c:strCache>
                <c:ptCount val="1"/>
                <c:pt idx="0">
                  <c:v>1997-98</c:v>
                </c:pt>
              </c:strCache>
            </c:strRef>
          </c:tx>
          <c:spPr>
            <a:solidFill>
              <a:srgbClr val="66C5EA"/>
            </a:solidFill>
            <a:ln>
              <a:solidFill>
                <a:schemeClr val="bg1"/>
              </a:solidFill>
            </a:ln>
            <a:effectLst/>
          </c:spPr>
          <c:invertIfNegative val="0"/>
          <c:cat>
            <c:strRef>
              <c:f>Examples!$B$35:$D$35</c:f>
              <c:strCache>
                <c:ptCount val="3"/>
                <c:pt idx="0">
                  <c:v>Data 1</c:v>
                </c:pt>
                <c:pt idx="1">
                  <c:v>Data 2</c:v>
                </c:pt>
                <c:pt idx="2">
                  <c:v>Data 3</c:v>
                </c:pt>
              </c:strCache>
            </c:strRef>
          </c:cat>
          <c:val>
            <c:numRef>
              <c:f>Examples!$B$41:$D$41</c:f>
              <c:numCache>
                <c:formatCode>General</c:formatCode>
                <c:ptCount val="3"/>
                <c:pt idx="0">
                  <c:v>39.39</c:v>
                </c:pt>
                <c:pt idx="1">
                  <c:v>32.020000000000003</c:v>
                </c:pt>
                <c:pt idx="2">
                  <c:v>21.6</c:v>
                </c:pt>
              </c:numCache>
            </c:numRef>
          </c:val>
          <c:extLst>
            <c:ext xmlns:c16="http://schemas.microsoft.com/office/drawing/2014/chart" uri="{C3380CC4-5D6E-409C-BE32-E72D297353CC}">
              <c16:uniqueId val="{00000005-3558-4AC7-90CB-BB3DD48DCFFB}"/>
            </c:ext>
          </c:extLst>
        </c:ser>
        <c:ser>
          <c:idx val="6"/>
          <c:order val="6"/>
          <c:tx>
            <c:strRef>
              <c:f>Examples!$A$42</c:f>
              <c:strCache>
                <c:ptCount val="1"/>
                <c:pt idx="0">
                  <c:v>1998-99</c:v>
                </c:pt>
              </c:strCache>
            </c:strRef>
          </c:tx>
          <c:spPr>
            <a:solidFill>
              <a:srgbClr val="0352A1"/>
            </a:solidFill>
            <a:ln>
              <a:solidFill>
                <a:schemeClr val="bg1"/>
              </a:solidFill>
            </a:ln>
            <a:effectLst/>
          </c:spPr>
          <c:invertIfNegative val="0"/>
          <c:cat>
            <c:strRef>
              <c:f>Examples!$B$35:$D$35</c:f>
              <c:strCache>
                <c:ptCount val="3"/>
                <c:pt idx="0">
                  <c:v>Data 1</c:v>
                </c:pt>
                <c:pt idx="1">
                  <c:v>Data 2</c:v>
                </c:pt>
                <c:pt idx="2">
                  <c:v>Data 3</c:v>
                </c:pt>
              </c:strCache>
            </c:strRef>
          </c:cat>
          <c:val>
            <c:numRef>
              <c:f>Examples!$B$42:$D$42</c:f>
              <c:numCache>
                <c:formatCode>General</c:formatCode>
                <c:ptCount val="3"/>
                <c:pt idx="0">
                  <c:v>42.13</c:v>
                </c:pt>
                <c:pt idx="1">
                  <c:v>26.53</c:v>
                </c:pt>
                <c:pt idx="2">
                  <c:v>21.6</c:v>
                </c:pt>
              </c:numCache>
            </c:numRef>
          </c:val>
          <c:extLst>
            <c:ext xmlns:c16="http://schemas.microsoft.com/office/drawing/2014/chart" uri="{C3380CC4-5D6E-409C-BE32-E72D297353CC}">
              <c16:uniqueId val="{00000006-3558-4AC7-90CB-BB3DD48DCFFB}"/>
            </c:ext>
          </c:extLst>
        </c:ser>
        <c:ser>
          <c:idx val="7"/>
          <c:order val="7"/>
          <c:tx>
            <c:strRef>
              <c:f>Examples!$A$43</c:f>
              <c:strCache>
                <c:ptCount val="1"/>
                <c:pt idx="0">
                  <c:v>1999-00</c:v>
                </c:pt>
              </c:strCache>
            </c:strRef>
          </c:tx>
          <c:spPr>
            <a:solidFill>
              <a:srgbClr val="3373B3"/>
            </a:solidFill>
            <a:ln>
              <a:solidFill>
                <a:schemeClr val="bg1"/>
              </a:solidFill>
            </a:ln>
            <a:effectLst/>
          </c:spPr>
          <c:invertIfNegative val="0"/>
          <c:cat>
            <c:strRef>
              <c:f>Examples!$B$35:$D$35</c:f>
              <c:strCache>
                <c:ptCount val="3"/>
                <c:pt idx="0">
                  <c:v>Data 1</c:v>
                </c:pt>
                <c:pt idx="1">
                  <c:v>Data 2</c:v>
                </c:pt>
                <c:pt idx="2">
                  <c:v>Data 3</c:v>
                </c:pt>
              </c:strCache>
            </c:strRef>
          </c:cat>
          <c:val>
            <c:numRef>
              <c:f>Examples!$B$43:$D$43</c:f>
              <c:numCache>
                <c:formatCode>General</c:formatCode>
                <c:ptCount val="3"/>
                <c:pt idx="0">
                  <c:v>45</c:v>
                </c:pt>
                <c:pt idx="1">
                  <c:v>22</c:v>
                </c:pt>
                <c:pt idx="2">
                  <c:v>26</c:v>
                </c:pt>
              </c:numCache>
            </c:numRef>
          </c:val>
          <c:extLst>
            <c:ext xmlns:c16="http://schemas.microsoft.com/office/drawing/2014/chart" uri="{C3380CC4-5D6E-409C-BE32-E72D297353CC}">
              <c16:uniqueId val="{00000007-3558-4AC7-90CB-BB3DD48DCFFB}"/>
            </c:ext>
          </c:extLst>
        </c:ser>
        <c:dLbls>
          <c:showLegendKey val="0"/>
          <c:showVal val="0"/>
          <c:showCatName val="0"/>
          <c:showSerName val="0"/>
          <c:showPercent val="0"/>
          <c:showBubbleSize val="0"/>
        </c:dLbls>
        <c:gapWidth val="150"/>
        <c:axId val="671083280"/>
        <c:axId val="671079360"/>
      </c:barChart>
      <c:catAx>
        <c:axId val="671083280"/>
        <c:scaling>
          <c:orientation val="minMax"/>
        </c:scaling>
        <c:delete val="0"/>
        <c:axPos val="b"/>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mn-lt"/>
                <a:ea typeface="Myriad Pro"/>
                <a:cs typeface="Arial" pitchFamily="34" charset="0"/>
              </a:defRPr>
            </a:pPr>
            <a:endParaRPr lang="en-US"/>
          </a:p>
        </c:txPr>
        <c:crossAx val="671079360"/>
        <c:crosses val="autoZero"/>
        <c:auto val="1"/>
        <c:lblAlgn val="ctr"/>
        <c:lblOffset val="100"/>
        <c:tickLblSkip val="1"/>
        <c:tickMarkSkip val="1"/>
        <c:noMultiLvlLbl val="0"/>
      </c:catAx>
      <c:valAx>
        <c:axId val="671079360"/>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mj-lt"/>
                <a:ea typeface="Myriad Pro"/>
                <a:cs typeface="Arial" pitchFamily="34" charset="0"/>
              </a:defRPr>
            </a:pPr>
            <a:endParaRPr lang="en-US"/>
          </a:p>
        </c:txPr>
        <c:crossAx val="671083280"/>
        <c:crosses val="autoZero"/>
        <c:crossBetween val="between"/>
      </c:valAx>
      <c:spPr>
        <a:noFill/>
        <a:ln w="25400">
          <a:noFill/>
        </a:ln>
        <a:effectLst/>
      </c:spPr>
    </c:plotArea>
    <c:legend>
      <c:legendPos val="b"/>
      <c:layout>
        <c:manualLayout>
          <c:xMode val="edge"/>
          <c:yMode val="edge"/>
          <c:x val="5.7997398755681093E-3"/>
          <c:y val="0.89916346363548827"/>
          <c:w val="0.97804529931266793"/>
          <c:h val="8.9731333570575861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Arial" pitchFamily="34" charset="0"/>
          <a:ea typeface="Myriad Pro"/>
          <a:cs typeface="Arial" pitchFamily="34" charset="0"/>
        </a:defRPr>
      </a:pPr>
      <a:endParaRPr lang="en-US"/>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19073732526914E-2"/>
          <c:y val="3.6681034482758626E-2"/>
          <c:w val="0.92650765926379997"/>
          <c:h val="0.77206178160919547"/>
        </c:manualLayout>
      </c:layout>
      <c:scatterChart>
        <c:scatterStyle val="lineMarker"/>
        <c:varyColors val="0"/>
        <c:ser>
          <c:idx val="0"/>
          <c:order val="0"/>
          <c:tx>
            <c:strRef>
              <c:f>Examples!$T$35</c:f>
              <c:strCache>
                <c:ptCount val="1"/>
                <c:pt idx="0">
                  <c:v>1st Y value</c:v>
                </c:pt>
              </c:strCache>
            </c:strRef>
          </c:tx>
          <c:spPr>
            <a:ln w="28575" cap="rnd" cmpd="sng" algn="ctr">
              <a:noFill/>
              <a:prstDash val="solid"/>
              <a:round/>
            </a:ln>
            <a:effectLst/>
          </c:spPr>
          <c:marker>
            <c:symbol val="diamond"/>
            <c:size val="7"/>
            <c:spPr>
              <a:solidFill>
                <a:schemeClr val="accent6"/>
              </a:solidFill>
              <a:ln w="9525" cap="flat" cmpd="sng" algn="ctr">
                <a:solidFill>
                  <a:schemeClr val="accent6"/>
                </a:solidFill>
                <a:prstDash val="solid"/>
                <a:round/>
              </a:ln>
              <a:effectLst/>
            </c:spPr>
          </c:marker>
          <c:xVal>
            <c:numRef>
              <c:f>Examples!$S$36:$S$40</c:f>
              <c:numCache>
                <c:formatCode>General</c:formatCode>
                <c:ptCount val="5"/>
                <c:pt idx="0">
                  <c:v>1.8</c:v>
                </c:pt>
                <c:pt idx="1">
                  <c:v>2.2999999999999998</c:v>
                </c:pt>
                <c:pt idx="2">
                  <c:v>3.7</c:v>
                </c:pt>
                <c:pt idx="3">
                  <c:v>4.0999999999999996</c:v>
                </c:pt>
                <c:pt idx="4">
                  <c:v>5.5</c:v>
                </c:pt>
              </c:numCache>
            </c:numRef>
          </c:xVal>
          <c:yVal>
            <c:numRef>
              <c:f>Examples!$T$36:$T$40</c:f>
              <c:numCache>
                <c:formatCode>General</c:formatCode>
                <c:ptCount val="5"/>
                <c:pt idx="0">
                  <c:v>10</c:v>
                </c:pt>
                <c:pt idx="1">
                  <c:v>12</c:v>
                </c:pt>
                <c:pt idx="2">
                  <c:v>16</c:v>
                </c:pt>
                <c:pt idx="3">
                  <c:v>8</c:v>
                </c:pt>
                <c:pt idx="4">
                  <c:v>14</c:v>
                </c:pt>
              </c:numCache>
            </c:numRef>
          </c:yVal>
          <c:smooth val="0"/>
          <c:extLst>
            <c:ext xmlns:c16="http://schemas.microsoft.com/office/drawing/2014/chart" uri="{C3380CC4-5D6E-409C-BE32-E72D297353CC}">
              <c16:uniqueId val="{00000000-53EA-4C3E-A319-F64C11CCCF2E}"/>
            </c:ext>
          </c:extLst>
        </c:ser>
        <c:ser>
          <c:idx val="1"/>
          <c:order val="1"/>
          <c:tx>
            <c:strRef>
              <c:f>Examples!$U$35</c:f>
              <c:strCache>
                <c:ptCount val="1"/>
                <c:pt idx="0">
                  <c:v>2nd Y value</c:v>
                </c:pt>
              </c:strCache>
            </c:strRef>
          </c:tx>
          <c:spPr>
            <a:ln w="28575" cap="rnd" cmpd="sng" algn="ctr">
              <a:noFill/>
              <a:prstDash val="solid"/>
              <a:round/>
            </a:ln>
            <a:effectLst/>
          </c:spPr>
          <c:marker>
            <c:symbol val="square"/>
            <c:size val="6"/>
            <c:spPr>
              <a:solidFill>
                <a:schemeClr val="accent5"/>
              </a:solidFill>
              <a:ln w="9525" cap="flat" cmpd="sng" algn="ctr">
                <a:solidFill>
                  <a:schemeClr val="accent5"/>
                </a:solidFill>
                <a:prstDash val="solid"/>
                <a:round/>
              </a:ln>
              <a:effectLst/>
            </c:spPr>
          </c:marker>
          <c:xVal>
            <c:numRef>
              <c:f>Examples!$S$36:$S$40</c:f>
              <c:numCache>
                <c:formatCode>General</c:formatCode>
                <c:ptCount val="5"/>
                <c:pt idx="0">
                  <c:v>1.8</c:v>
                </c:pt>
                <c:pt idx="1">
                  <c:v>2.2999999999999998</c:v>
                </c:pt>
                <c:pt idx="2">
                  <c:v>3.7</c:v>
                </c:pt>
                <c:pt idx="3">
                  <c:v>4.0999999999999996</c:v>
                </c:pt>
                <c:pt idx="4">
                  <c:v>5.5</c:v>
                </c:pt>
              </c:numCache>
            </c:numRef>
          </c:xVal>
          <c:yVal>
            <c:numRef>
              <c:f>Examples!$U$36:$U$40</c:f>
              <c:numCache>
                <c:formatCode>General</c:formatCode>
                <c:ptCount val="5"/>
                <c:pt idx="0">
                  <c:v>17</c:v>
                </c:pt>
                <c:pt idx="1">
                  <c:v>9</c:v>
                </c:pt>
                <c:pt idx="2">
                  <c:v>14</c:v>
                </c:pt>
                <c:pt idx="3">
                  <c:v>23</c:v>
                </c:pt>
                <c:pt idx="4">
                  <c:v>27</c:v>
                </c:pt>
              </c:numCache>
            </c:numRef>
          </c:yVal>
          <c:smooth val="0"/>
          <c:extLst>
            <c:ext xmlns:c16="http://schemas.microsoft.com/office/drawing/2014/chart" uri="{C3380CC4-5D6E-409C-BE32-E72D297353CC}">
              <c16:uniqueId val="{00000001-53EA-4C3E-A319-F64C11CCCF2E}"/>
            </c:ext>
          </c:extLst>
        </c:ser>
        <c:dLbls>
          <c:showLegendKey val="0"/>
          <c:showVal val="0"/>
          <c:showCatName val="0"/>
          <c:showSerName val="0"/>
          <c:showPercent val="0"/>
          <c:showBubbleSize val="0"/>
        </c:dLbls>
        <c:axId val="671083672"/>
        <c:axId val="671075440"/>
      </c:scatterChart>
      <c:valAx>
        <c:axId val="671083672"/>
        <c:scaling>
          <c:orientation val="minMax"/>
        </c:scaling>
        <c:delete val="0"/>
        <c:axPos val="b"/>
        <c:numFmt formatCode="General" sourceLinked="1"/>
        <c:majorTickMark val="out"/>
        <c:minorTickMark val="none"/>
        <c:tickLblPos val="nextTo"/>
        <c:spPr>
          <a:noFill/>
          <a:ln w="12700" cap="flat" cmpd="sng" algn="ctr">
            <a:solidFill>
              <a:schemeClr val="bg2">
                <a:lumMod val="20000"/>
                <a:lumOff val="80000"/>
              </a:scheme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671075440"/>
        <c:crosses val="autoZero"/>
        <c:crossBetween val="midCat"/>
      </c:valAx>
      <c:valAx>
        <c:axId val="671075440"/>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671083672"/>
        <c:crosses val="autoZero"/>
        <c:crossBetween val="midCat"/>
      </c:valAx>
      <c:spPr>
        <a:noFill/>
        <a:ln w="25400">
          <a:noFill/>
        </a:ln>
        <a:effectLst/>
      </c:spPr>
    </c:plotArea>
    <c:legend>
      <c:legendPos val="b"/>
      <c:layout>
        <c:manualLayout>
          <c:xMode val="edge"/>
          <c:yMode val="edge"/>
          <c:x val="0.38976601822857532"/>
          <c:y val="0.92588282247765008"/>
          <c:w val="0.3299749945672566"/>
          <c:h val="6.9744300623659536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rgbClr val="000000"/>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626605962807025E-2"/>
          <c:y val="3.219370275276031E-2"/>
          <c:w val="0.92771248066726397"/>
          <c:h val="0.77850214088987335"/>
        </c:manualLayout>
      </c:layout>
      <c:scatterChart>
        <c:scatterStyle val="lineMarker"/>
        <c:varyColors val="0"/>
        <c:ser>
          <c:idx val="0"/>
          <c:order val="0"/>
          <c:tx>
            <c:strRef>
              <c:f>Examples!$T$35</c:f>
              <c:strCache>
                <c:ptCount val="1"/>
                <c:pt idx="0">
                  <c:v>1st Y value</c:v>
                </c:pt>
              </c:strCache>
            </c:strRef>
          </c:tx>
          <c:spPr>
            <a:ln w="25400" cap="rnd" cmpd="sng" algn="ctr">
              <a:solidFill>
                <a:schemeClr val="accent6"/>
              </a:solidFill>
              <a:prstDash val="solid"/>
              <a:round/>
            </a:ln>
            <a:effectLst/>
          </c:spPr>
          <c:marker>
            <c:symbol val="diamond"/>
            <c:size val="7"/>
            <c:spPr>
              <a:solidFill>
                <a:schemeClr val="accent6"/>
              </a:solidFill>
              <a:ln w="3175" cap="flat" cmpd="sng" algn="ctr">
                <a:solidFill>
                  <a:srgbClr val="0352A1"/>
                </a:solidFill>
                <a:prstDash val="solid"/>
                <a:round/>
              </a:ln>
              <a:effectLst/>
            </c:spPr>
          </c:marker>
          <c:xVal>
            <c:numRef>
              <c:f>Examples!$S$36:$S$40</c:f>
              <c:numCache>
                <c:formatCode>General</c:formatCode>
                <c:ptCount val="5"/>
                <c:pt idx="0">
                  <c:v>1.8</c:v>
                </c:pt>
                <c:pt idx="1">
                  <c:v>2.2999999999999998</c:v>
                </c:pt>
                <c:pt idx="2">
                  <c:v>3.7</c:v>
                </c:pt>
                <c:pt idx="3">
                  <c:v>4.0999999999999996</c:v>
                </c:pt>
                <c:pt idx="4">
                  <c:v>5.5</c:v>
                </c:pt>
              </c:numCache>
            </c:numRef>
          </c:xVal>
          <c:yVal>
            <c:numRef>
              <c:f>Examples!$T$36:$T$40</c:f>
              <c:numCache>
                <c:formatCode>General</c:formatCode>
                <c:ptCount val="5"/>
                <c:pt idx="0">
                  <c:v>10</c:v>
                </c:pt>
                <c:pt idx="1">
                  <c:v>12</c:v>
                </c:pt>
                <c:pt idx="2">
                  <c:v>16</c:v>
                </c:pt>
                <c:pt idx="3">
                  <c:v>8</c:v>
                </c:pt>
                <c:pt idx="4">
                  <c:v>14</c:v>
                </c:pt>
              </c:numCache>
            </c:numRef>
          </c:yVal>
          <c:smooth val="0"/>
          <c:extLst>
            <c:ext xmlns:c16="http://schemas.microsoft.com/office/drawing/2014/chart" uri="{C3380CC4-5D6E-409C-BE32-E72D297353CC}">
              <c16:uniqueId val="{00000000-3D97-45B0-8D93-CE41D2E54883}"/>
            </c:ext>
          </c:extLst>
        </c:ser>
        <c:ser>
          <c:idx val="1"/>
          <c:order val="1"/>
          <c:tx>
            <c:strRef>
              <c:f>Examples!$U$35</c:f>
              <c:strCache>
                <c:ptCount val="1"/>
                <c:pt idx="0">
                  <c:v>2nd Y value</c:v>
                </c:pt>
              </c:strCache>
            </c:strRef>
          </c:tx>
          <c:spPr>
            <a:ln w="25400" cap="rnd" cmpd="sng" algn="ctr">
              <a:solidFill>
                <a:schemeClr val="accent5"/>
              </a:solidFill>
              <a:prstDash val="solid"/>
              <a:round/>
            </a:ln>
            <a:effectLst/>
          </c:spPr>
          <c:marker>
            <c:symbol val="square"/>
            <c:size val="5"/>
            <c:spPr>
              <a:solidFill>
                <a:schemeClr val="accent5"/>
              </a:solidFill>
              <a:ln w="3175" cap="flat" cmpd="sng" algn="ctr">
                <a:solidFill>
                  <a:schemeClr val="accent5"/>
                </a:solidFill>
                <a:prstDash val="solid"/>
                <a:round/>
              </a:ln>
              <a:effectLst/>
            </c:spPr>
          </c:marker>
          <c:xVal>
            <c:numRef>
              <c:f>Examples!$S$36:$S$40</c:f>
              <c:numCache>
                <c:formatCode>General</c:formatCode>
                <c:ptCount val="5"/>
                <c:pt idx="0">
                  <c:v>1.8</c:v>
                </c:pt>
                <c:pt idx="1">
                  <c:v>2.2999999999999998</c:v>
                </c:pt>
                <c:pt idx="2">
                  <c:v>3.7</c:v>
                </c:pt>
                <c:pt idx="3">
                  <c:v>4.0999999999999996</c:v>
                </c:pt>
                <c:pt idx="4">
                  <c:v>5.5</c:v>
                </c:pt>
              </c:numCache>
            </c:numRef>
          </c:xVal>
          <c:yVal>
            <c:numRef>
              <c:f>Examples!$U$36:$U$40</c:f>
              <c:numCache>
                <c:formatCode>General</c:formatCode>
                <c:ptCount val="5"/>
                <c:pt idx="0">
                  <c:v>17</c:v>
                </c:pt>
                <c:pt idx="1">
                  <c:v>9</c:v>
                </c:pt>
                <c:pt idx="2">
                  <c:v>14</c:v>
                </c:pt>
                <c:pt idx="3">
                  <c:v>23</c:v>
                </c:pt>
                <c:pt idx="4">
                  <c:v>27</c:v>
                </c:pt>
              </c:numCache>
            </c:numRef>
          </c:yVal>
          <c:smooth val="0"/>
          <c:extLst>
            <c:ext xmlns:c16="http://schemas.microsoft.com/office/drawing/2014/chart" uri="{C3380CC4-5D6E-409C-BE32-E72D297353CC}">
              <c16:uniqueId val="{00000001-3D97-45B0-8D93-CE41D2E54883}"/>
            </c:ext>
          </c:extLst>
        </c:ser>
        <c:dLbls>
          <c:showLegendKey val="0"/>
          <c:showVal val="0"/>
          <c:showCatName val="0"/>
          <c:showSerName val="0"/>
          <c:showPercent val="0"/>
          <c:showBubbleSize val="0"/>
        </c:dLbls>
        <c:axId val="671077792"/>
        <c:axId val="671084064"/>
      </c:scatterChart>
      <c:valAx>
        <c:axId val="671077792"/>
        <c:scaling>
          <c:orientation val="minMax"/>
        </c:scaling>
        <c:delete val="0"/>
        <c:axPos val="b"/>
        <c:numFmt formatCode="General" sourceLinked="1"/>
        <c:majorTickMark val="out"/>
        <c:minorTickMark val="none"/>
        <c:tickLblPos val="nextTo"/>
        <c:spPr>
          <a:noFill/>
          <a:ln w="12700" cap="flat" cmpd="sng" algn="ctr">
            <a:solidFill>
              <a:schemeClr val="bg2">
                <a:lumMod val="20000"/>
                <a:lumOff val="80000"/>
              </a:scheme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671084064"/>
        <c:crosses val="autoZero"/>
        <c:crossBetween val="midCat"/>
      </c:valAx>
      <c:valAx>
        <c:axId val="671084064"/>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General" sourceLinked="1"/>
        <c:majorTickMark val="out"/>
        <c:minorTickMark val="none"/>
        <c:tickLblPos val="nextTo"/>
        <c:spPr>
          <a:noFill/>
          <a:ln w="12700" cap="flat" cmpd="sng" algn="ctr">
            <a:solidFill>
              <a:schemeClr val="bg2">
                <a:lumMod val="20000"/>
                <a:lumOff val="80000"/>
              </a:scheme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671077792"/>
        <c:crosses val="autoZero"/>
        <c:crossBetween val="midCat"/>
      </c:valAx>
      <c:spPr>
        <a:noFill/>
        <a:ln w="25400">
          <a:noFill/>
        </a:ln>
        <a:effectLst/>
      </c:spPr>
    </c:plotArea>
    <c:legend>
      <c:legendPos val="r"/>
      <c:layout>
        <c:manualLayout>
          <c:xMode val="edge"/>
          <c:yMode val="edge"/>
          <c:x val="0.32959049714296068"/>
          <c:y val="0.91053641309964006"/>
          <c:w val="0.37981962697125554"/>
          <c:h val="7.6923407983041536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rgbClr val="000000"/>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paperSize="9" orientation="landscape" horizontalDpi="-3"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590427788076153"/>
          <c:y val="0.23397536594841806"/>
          <c:w val="0.24819320911357973"/>
          <c:h val="0.6602592518544399"/>
        </c:manualLayout>
      </c:layout>
      <c:pieChart>
        <c:varyColors val="1"/>
        <c:ser>
          <c:idx val="2"/>
          <c:order val="0"/>
          <c:tx>
            <c:strRef>
              <c:f>Examples!$A$36</c:f>
              <c:strCache>
                <c:ptCount val="1"/>
                <c:pt idx="0">
                  <c:v>1975-76</c:v>
                </c:pt>
              </c:strCache>
            </c:strRef>
          </c:tx>
          <c:spPr>
            <a:ln>
              <a:solidFill>
                <a:schemeClr val="bg1"/>
              </a:solidFill>
            </a:ln>
          </c:spPr>
          <c:dPt>
            <c:idx val="0"/>
            <c:bubble3D val="0"/>
            <c:spPr>
              <a:solidFill>
                <a:srgbClr val="99A4B7"/>
              </a:solidFill>
              <a:ln>
                <a:solidFill>
                  <a:schemeClr val="bg1"/>
                </a:solidFill>
              </a:ln>
              <a:effectLst/>
            </c:spPr>
            <c:extLst>
              <c:ext xmlns:c16="http://schemas.microsoft.com/office/drawing/2014/chart" uri="{C3380CC4-5D6E-409C-BE32-E72D297353CC}">
                <c16:uniqueId val="{00000001-4EA1-4D42-ABAE-EE028EFC6472}"/>
              </c:ext>
            </c:extLst>
          </c:dPt>
          <c:dPt>
            <c:idx val="1"/>
            <c:bubble3D val="0"/>
            <c:spPr>
              <a:solidFill>
                <a:srgbClr val="77869F"/>
              </a:solidFill>
              <a:ln>
                <a:solidFill>
                  <a:schemeClr val="bg1"/>
                </a:solidFill>
              </a:ln>
              <a:effectLst/>
            </c:spPr>
            <c:extLst>
              <c:ext xmlns:c16="http://schemas.microsoft.com/office/drawing/2014/chart" uri="{C3380CC4-5D6E-409C-BE32-E72D297353CC}">
                <c16:uniqueId val="{00000003-4EA1-4D42-ABAE-EE028EFC6472}"/>
              </c:ext>
            </c:extLst>
          </c:dPt>
          <c:dPt>
            <c:idx val="2"/>
            <c:bubble3D val="0"/>
            <c:spPr>
              <a:solidFill>
                <a:srgbClr val="5DA4C1"/>
              </a:solidFill>
              <a:ln>
                <a:solidFill>
                  <a:schemeClr val="bg1"/>
                </a:solidFill>
              </a:ln>
              <a:effectLst/>
            </c:spPr>
            <c:extLst>
              <c:ext xmlns:c16="http://schemas.microsoft.com/office/drawing/2014/chart" uri="{C3380CC4-5D6E-409C-BE32-E72D297353CC}">
                <c16:uniqueId val="{00000005-4EA1-4D42-ABAE-EE028EFC6472}"/>
              </c:ext>
            </c:extLst>
          </c:dPt>
          <c:dPt>
            <c:idx val="3"/>
            <c:bubble3D val="0"/>
            <c:spPr>
              <a:solidFill>
                <a:schemeClr val="accent6"/>
              </a:solidFill>
              <a:ln>
                <a:solidFill>
                  <a:schemeClr val="bg1"/>
                </a:solidFill>
              </a:ln>
              <a:effectLst/>
            </c:spPr>
            <c:extLst>
              <c:ext xmlns:c16="http://schemas.microsoft.com/office/drawing/2014/chart" uri="{C3380CC4-5D6E-409C-BE32-E72D297353CC}">
                <c16:uniqueId val="{00000007-4EA1-4D42-ABAE-EE028EFC6472}"/>
              </c:ext>
            </c:extLst>
          </c:dPt>
          <c:dPt>
            <c:idx val="4"/>
            <c:bubble3D val="0"/>
            <c:spPr>
              <a:solidFill>
                <a:srgbClr val="009EDB"/>
              </a:solidFill>
              <a:ln>
                <a:solidFill>
                  <a:schemeClr val="bg1"/>
                </a:solidFill>
              </a:ln>
              <a:effectLst/>
            </c:spPr>
            <c:extLst>
              <c:ext xmlns:c16="http://schemas.microsoft.com/office/drawing/2014/chart" uri="{C3380CC4-5D6E-409C-BE32-E72D297353CC}">
                <c16:uniqueId val="{00000009-4EA1-4D42-ABAE-EE028EFC6472}"/>
              </c:ext>
            </c:extLst>
          </c:dPt>
          <c:dPt>
            <c:idx val="5"/>
            <c:bubble3D val="0"/>
            <c:spPr>
              <a:solidFill>
                <a:srgbClr val="66C5EA"/>
              </a:solidFill>
              <a:ln>
                <a:solidFill>
                  <a:schemeClr val="bg1"/>
                </a:solidFill>
              </a:ln>
              <a:effectLst/>
            </c:spPr>
            <c:extLst>
              <c:ext xmlns:c16="http://schemas.microsoft.com/office/drawing/2014/chart" uri="{C3380CC4-5D6E-409C-BE32-E72D297353CC}">
                <c16:uniqueId val="{0000000B-4EA1-4D42-ABAE-EE028EFC6472}"/>
              </c:ext>
            </c:extLst>
          </c:dPt>
          <c:dPt>
            <c:idx val="6"/>
            <c:bubble3D val="0"/>
            <c:spPr>
              <a:solidFill>
                <a:srgbClr val="0352A1"/>
              </a:solidFill>
              <a:ln>
                <a:solidFill>
                  <a:schemeClr val="bg1"/>
                </a:solidFill>
              </a:ln>
              <a:effectLst/>
            </c:spPr>
            <c:extLst>
              <c:ext xmlns:c16="http://schemas.microsoft.com/office/drawing/2014/chart" uri="{C3380CC4-5D6E-409C-BE32-E72D297353CC}">
                <c16:uniqueId val="{0000000D-4EA1-4D42-ABAE-EE028EFC6472}"/>
              </c:ext>
            </c:extLst>
          </c:dPt>
          <c:dPt>
            <c:idx val="7"/>
            <c:bubble3D val="0"/>
            <c:spPr>
              <a:solidFill>
                <a:srgbClr val="3373B3"/>
              </a:solidFill>
              <a:ln>
                <a:solidFill>
                  <a:schemeClr val="bg1"/>
                </a:solidFill>
              </a:ln>
              <a:effectLst/>
            </c:spPr>
            <c:extLst>
              <c:ext xmlns:c16="http://schemas.microsoft.com/office/drawing/2014/chart" uri="{C3380CC4-5D6E-409C-BE32-E72D297353CC}">
                <c16:uniqueId val="{0000000F-4EA1-4D42-ABAE-EE028EFC6472}"/>
              </c:ext>
            </c:extLst>
          </c:dPt>
          <c:dLbls>
            <c:dLbl>
              <c:idx val="0"/>
              <c:layout>
                <c:manualLayout>
                  <c:x val="4.4341647261246378E-3"/>
                  <c:y val="1.814435144257395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EA1-4D42-ABAE-EE028EFC6472}"/>
                </c:ext>
              </c:extLst>
            </c:dLbl>
            <c:dLbl>
              <c:idx val="1"/>
              <c:layout>
                <c:manualLayout>
                  <c:x val="5.4371159168353965E-2"/>
                  <c:y val="-0.1035137987606718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EA1-4D42-ABAE-EE028EFC6472}"/>
                </c:ext>
              </c:extLst>
            </c:dLbl>
            <c:dLbl>
              <c:idx val="2"/>
              <c:layout>
                <c:manualLayout>
                  <c:x val="-2.5373162064614652E-2"/>
                  <c:y val="-1.89414506201866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EA1-4D42-ABAE-EE028EFC6472}"/>
                </c:ext>
              </c:extLst>
            </c:dLbl>
            <c:dLbl>
              <c:idx val="7"/>
              <c:layout>
                <c:manualLayout>
                  <c:x val="2.5304284483772636E-2"/>
                  <c:y val="-1.81759243053016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4EA1-4D42-ABAE-EE028EFC6472}"/>
                </c:ext>
              </c:extLst>
            </c:dLbl>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Raleway" panose="020B0503030101060003" pitchFamily="34" charset="0"/>
                    <a:ea typeface="Myriad Pro"/>
                    <a:cs typeface="Myriad Pro"/>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Examples!$B$36:$I$36</c:f>
              <c:numCache>
                <c:formatCode>General</c:formatCode>
                <c:ptCount val="8"/>
                <c:pt idx="0">
                  <c:v>36.19</c:v>
                </c:pt>
                <c:pt idx="1">
                  <c:v>36.880000000000003</c:v>
                </c:pt>
                <c:pt idx="2">
                  <c:v>21.56</c:v>
                </c:pt>
                <c:pt idx="3">
                  <c:v>5.36</c:v>
                </c:pt>
                <c:pt idx="4">
                  <c:v>3.01</c:v>
                </c:pt>
                <c:pt idx="5">
                  <c:v>10</c:v>
                </c:pt>
                <c:pt idx="6">
                  <c:v>5.2</c:v>
                </c:pt>
                <c:pt idx="7">
                  <c:v>13</c:v>
                </c:pt>
              </c:numCache>
            </c:numRef>
          </c:val>
          <c:extLst>
            <c:ext xmlns:c16="http://schemas.microsoft.com/office/drawing/2014/chart" uri="{C3380CC4-5D6E-409C-BE32-E72D297353CC}">
              <c16:uniqueId val="{00000010-4EA1-4D42-ABAE-EE028EFC6472}"/>
            </c:ext>
          </c:extLst>
        </c:ser>
        <c:ser>
          <c:idx val="3"/>
          <c:order val="1"/>
          <c:tx>
            <c:strRef>
              <c:f>Examples!$A$37</c:f>
              <c:strCache>
                <c:ptCount val="1"/>
                <c:pt idx="0">
                  <c:v>1983-84</c:v>
                </c:pt>
              </c:strCache>
            </c:strRef>
          </c:tx>
          <c:dPt>
            <c:idx val="0"/>
            <c:bubble3D val="0"/>
            <c:spPr>
              <a:solidFill>
                <a:srgbClr val="1C355E"/>
              </a:solidFill>
              <a:ln>
                <a:noFill/>
              </a:ln>
              <a:effectLst/>
            </c:spPr>
            <c:extLst>
              <c:ext xmlns:c16="http://schemas.microsoft.com/office/drawing/2014/chart" uri="{C3380CC4-5D6E-409C-BE32-E72D297353CC}">
                <c16:uniqueId val="{00000012-4EA1-4D42-ABAE-EE028EFC6472}"/>
              </c:ext>
            </c:extLst>
          </c:dPt>
          <c:dPt>
            <c:idx val="1"/>
            <c:bubble3D val="0"/>
            <c:spPr>
              <a:solidFill>
                <a:srgbClr val="77869F"/>
              </a:solidFill>
              <a:ln>
                <a:noFill/>
              </a:ln>
              <a:effectLst/>
            </c:spPr>
            <c:extLst>
              <c:ext xmlns:c16="http://schemas.microsoft.com/office/drawing/2014/chart" uri="{C3380CC4-5D6E-409C-BE32-E72D297353CC}">
                <c16:uniqueId val="{00000014-4EA1-4D42-ABAE-EE028EFC6472}"/>
              </c:ext>
            </c:extLst>
          </c:dPt>
          <c:dPt>
            <c:idx val="2"/>
            <c:bubble3D val="0"/>
            <c:spPr>
              <a:solidFill>
                <a:srgbClr val="009DDB"/>
              </a:solidFill>
              <a:ln>
                <a:noFill/>
              </a:ln>
              <a:effectLst/>
            </c:spPr>
            <c:extLst>
              <c:ext xmlns:c16="http://schemas.microsoft.com/office/drawing/2014/chart" uri="{C3380CC4-5D6E-409C-BE32-E72D297353CC}">
                <c16:uniqueId val="{00000016-4EA1-4D42-ABAE-EE028EFC6472}"/>
              </c:ext>
            </c:extLst>
          </c:dPt>
          <c:dPt>
            <c:idx val="3"/>
            <c:bubble3D val="0"/>
            <c:spPr>
              <a:solidFill>
                <a:srgbClr val="66C5EA"/>
              </a:solidFill>
              <a:ln>
                <a:noFill/>
              </a:ln>
              <a:effectLst/>
            </c:spPr>
            <c:extLst>
              <c:ext xmlns:c16="http://schemas.microsoft.com/office/drawing/2014/chart" uri="{C3380CC4-5D6E-409C-BE32-E72D297353CC}">
                <c16:uniqueId val="{00000018-4EA1-4D42-ABAE-EE028EFC6472}"/>
              </c:ext>
            </c:extLst>
          </c:dPt>
          <c:dPt>
            <c:idx val="4"/>
            <c:bubble3D val="0"/>
            <c:spPr>
              <a:solidFill>
                <a:srgbClr val="115F7E"/>
              </a:solidFill>
              <a:ln>
                <a:noFill/>
              </a:ln>
              <a:effectLst/>
            </c:spPr>
            <c:extLst>
              <c:ext xmlns:c16="http://schemas.microsoft.com/office/drawing/2014/chart" uri="{C3380CC4-5D6E-409C-BE32-E72D297353CC}">
                <c16:uniqueId val="{0000001A-4EA1-4D42-ABAE-EE028EFC6472}"/>
              </c:ext>
            </c:extLst>
          </c:dPt>
          <c:dPt>
            <c:idx val="5"/>
            <c:bubble3D val="0"/>
            <c:spPr>
              <a:solidFill>
                <a:srgbClr val="AED2E0"/>
              </a:solidFill>
              <a:ln>
                <a:noFill/>
              </a:ln>
              <a:effectLst/>
            </c:spPr>
            <c:extLst>
              <c:ext xmlns:c16="http://schemas.microsoft.com/office/drawing/2014/chart" uri="{C3380CC4-5D6E-409C-BE32-E72D297353CC}">
                <c16:uniqueId val="{0000001C-4EA1-4D42-ABAE-EE028EFC6472}"/>
              </c:ext>
            </c:extLst>
          </c:dPt>
          <c:dPt>
            <c:idx val="6"/>
            <c:bubble3D val="0"/>
            <c:spPr>
              <a:solidFill>
                <a:srgbClr val="D8DDE4"/>
              </a:solidFill>
              <a:ln>
                <a:noFill/>
              </a:ln>
              <a:effectLst/>
            </c:spPr>
            <c:extLst>
              <c:ext xmlns:c16="http://schemas.microsoft.com/office/drawing/2014/chart" uri="{C3380CC4-5D6E-409C-BE32-E72D297353CC}">
                <c16:uniqueId val="{0000001E-4EA1-4D42-ABAE-EE028EFC6472}"/>
              </c:ext>
            </c:extLst>
          </c:dPt>
          <c:dPt>
            <c:idx val="7"/>
            <c:bubble3D val="0"/>
            <c:spPr>
              <a:solidFill>
                <a:srgbClr val="FFFFFF"/>
              </a:solidFill>
              <a:ln>
                <a:noFill/>
              </a:ln>
              <a:effectLst/>
            </c:spPr>
            <c:extLst>
              <c:ext xmlns:c16="http://schemas.microsoft.com/office/drawing/2014/chart" uri="{C3380CC4-5D6E-409C-BE32-E72D297353CC}">
                <c16:uniqueId val="{00000020-4EA1-4D42-ABAE-EE028EFC6472}"/>
              </c:ext>
            </c:extLst>
          </c:dPt>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Examples!$B$37:$I$37</c:f>
              <c:numCache>
                <c:formatCode>General</c:formatCode>
                <c:ptCount val="8"/>
                <c:pt idx="0">
                  <c:v>39.39</c:v>
                </c:pt>
                <c:pt idx="1">
                  <c:v>32.020000000000003</c:v>
                </c:pt>
                <c:pt idx="2">
                  <c:v>21.6</c:v>
                </c:pt>
                <c:pt idx="3">
                  <c:v>7.01</c:v>
                </c:pt>
                <c:pt idx="4">
                  <c:v>3.36</c:v>
                </c:pt>
                <c:pt idx="5">
                  <c:v>12</c:v>
                </c:pt>
                <c:pt idx="6">
                  <c:v>6.6</c:v>
                </c:pt>
                <c:pt idx="7">
                  <c:v>15</c:v>
                </c:pt>
              </c:numCache>
            </c:numRef>
          </c:val>
          <c:extLst>
            <c:ext xmlns:c16="http://schemas.microsoft.com/office/drawing/2014/chart" uri="{C3380CC4-5D6E-409C-BE32-E72D297353CC}">
              <c16:uniqueId val="{00000021-4EA1-4D42-ABAE-EE028EFC6472}"/>
            </c:ext>
          </c:extLst>
        </c:ser>
        <c:ser>
          <c:idx val="1"/>
          <c:order val="2"/>
          <c:tx>
            <c:strRef>
              <c:f>Examples!$A$38</c:f>
              <c:strCache>
                <c:ptCount val="1"/>
                <c:pt idx="0">
                  <c:v>1988-89</c:v>
                </c:pt>
              </c:strCache>
            </c:strRef>
          </c:tx>
          <c:dPt>
            <c:idx val="0"/>
            <c:bubble3D val="0"/>
            <c:spPr>
              <a:solidFill>
                <a:srgbClr val="1C355E"/>
              </a:solidFill>
              <a:ln>
                <a:noFill/>
              </a:ln>
              <a:effectLst/>
            </c:spPr>
            <c:extLst>
              <c:ext xmlns:c16="http://schemas.microsoft.com/office/drawing/2014/chart" uri="{C3380CC4-5D6E-409C-BE32-E72D297353CC}">
                <c16:uniqueId val="{00000023-4EA1-4D42-ABAE-EE028EFC6472}"/>
              </c:ext>
            </c:extLst>
          </c:dPt>
          <c:dPt>
            <c:idx val="1"/>
            <c:bubble3D val="0"/>
            <c:spPr>
              <a:solidFill>
                <a:srgbClr val="77869F"/>
              </a:solidFill>
              <a:ln>
                <a:noFill/>
              </a:ln>
              <a:effectLst/>
            </c:spPr>
            <c:extLst>
              <c:ext xmlns:c16="http://schemas.microsoft.com/office/drawing/2014/chart" uri="{C3380CC4-5D6E-409C-BE32-E72D297353CC}">
                <c16:uniqueId val="{00000025-4EA1-4D42-ABAE-EE028EFC6472}"/>
              </c:ext>
            </c:extLst>
          </c:dPt>
          <c:dPt>
            <c:idx val="2"/>
            <c:bubble3D val="0"/>
            <c:spPr>
              <a:solidFill>
                <a:srgbClr val="009DDB"/>
              </a:solidFill>
              <a:ln>
                <a:noFill/>
              </a:ln>
              <a:effectLst/>
            </c:spPr>
            <c:extLst>
              <c:ext xmlns:c16="http://schemas.microsoft.com/office/drawing/2014/chart" uri="{C3380CC4-5D6E-409C-BE32-E72D297353CC}">
                <c16:uniqueId val="{00000027-4EA1-4D42-ABAE-EE028EFC6472}"/>
              </c:ext>
            </c:extLst>
          </c:dPt>
          <c:dPt>
            <c:idx val="3"/>
            <c:bubble3D val="0"/>
            <c:spPr>
              <a:solidFill>
                <a:srgbClr val="66C5EA"/>
              </a:solidFill>
              <a:ln>
                <a:noFill/>
              </a:ln>
              <a:effectLst/>
            </c:spPr>
            <c:extLst>
              <c:ext xmlns:c16="http://schemas.microsoft.com/office/drawing/2014/chart" uri="{C3380CC4-5D6E-409C-BE32-E72D297353CC}">
                <c16:uniqueId val="{00000029-4EA1-4D42-ABAE-EE028EFC6472}"/>
              </c:ext>
            </c:extLst>
          </c:dPt>
          <c:dPt>
            <c:idx val="4"/>
            <c:bubble3D val="0"/>
            <c:spPr>
              <a:solidFill>
                <a:srgbClr val="115F7E"/>
              </a:solidFill>
              <a:ln>
                <a:noFill/>
              </a:ln>
              <a:effectLst/>
            </c:spPr>
            <c:extLst>
              <c:ext xmlns:c16="http://schemas.microsoft.com/office/drawing/2014/chart" uri="{C3380CC4-5D6E-409C-BE32-E72D297353CC}">
                <c16:uniqueId val="{0000002B-4EA1-4D42-ABAE-EE028EFC6472}"/>
              </c:ext>
            </c:extLst>
          </c:dPt>
          <c:dPt>
            <c:idx val="5"/>
            <c:bubble3D val="0"/>
            <c:spPr>
              <a:solidFill>
                <a:srgbClr val="AED2E0"/>
              </a:solidFill>
              <a:ln>
                <a:noFill/>
              </a:ln>
              <a:effectLst/>
            </c:spPr>
            <c:extLst>
              <c:ext xmlns:c16="http://schemas.microsoft.com/office/drawing/2014/chart" uri="{C3380CC4-5D6E-409C-BE32-E72D297353CC}">
                <c16:uniqueId val="{0000002D-4EA1-4D42-ABAE-EE028EFC6472}"/>
              </c:ext>
            </c:extLst>
          </c:dPt>
          <c:dPt>
            <c:idx val="6"/>
            <c:bubble3D val="0"/>
            <c:spPr>
              <a:solidFill>
                <a:srgbClr val="D8DDE4"/>
              </a:solidFill>
              <a:ln>
                <a:noFill/>
              </a:ln>
              <a:effectLst/>
            </c:spPr>
            <c:extLst>
              <c:ext xmlns:c16="http://schemas.microsoft.com/office/drawing/2014/chart" uri="{C3380CC4-5D6E-409C-BE32-E72D297353CC}">
                <c16:uniqueId val="{0000002F-4EA1-4D42-ABAE-EE028EFC6472}"/>
              </c:ext>
            </c:extLst>
          </c:dPt>
          <c:dPt>
            <c:idx val="7"/>
            <c:bubble3D val="0"/>
            <c:spPr>
              <a:solidFill>
                <a:srgbClr val="FFFFFF"/>
              </a:solidFill>
              <a:ln>
                <a:noFill/>
              </a:ln>
              <a:effectLst/>
            </c:spPr>
            <c:extLst>
              <c:ext xmlns:c16="http://schemas.microsoft.com/office/drawing/2014/chart" uri="{C3380CC4-5D6E-409C-BE32-E72D297353CC}">
                <c16:uniqueId val="{00000031-4EA1-4D42-ABAE-EE028EFC6472}"/>
              </c:ext>
            </c:extLst>
          </c:dPt>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Examples!$B$38:$I$38</c:f>
              <c:numCache>
                <c:formatCode>General</c:formatCode>
                <c:ptCount val="8"/>
                <c:pt idx="0">
                  <c:v>42.78</c:v>
                </c:pt>
                <c:pt idx="1">
                  <c:v>29.91</c:v>
                </c:pt>
                <c:pt idx="2">
                  <c:v>18.350000000000001</c:v>
                </c:pt>
                <c:pt idx="3">
                  <c:v>6.33</c:v>
                </c:pt>
                <c:pt idx="4">
                  <c:v>2.63</c:v>
                </c:pt>
                <c:pt idx="5">
                  <c:v>14</c:v>
                </c:pt>
                <c:pt idx="6">
                  <c:v>5.7</c:v>
                </c:pt>
                <c:pt idx="7">
                  <c:v>16</c:v>
                </c:pt>
              </c:numCache>
            </c:numRef>
          </c:val>
          <c:extLst>
            <c:ext xmlns:c16="http://schemas.microsoft.com/office/drawing/2014/chart" uri="{C3380CC4-5D6E-409C-BE32-E72D297353CC}">
              <c16:uniqueId val="{00000032-4EA1-4D42-ABAE-EE028EFC6472}"/>
            </c:ext>
          </c:extLst>
        </c:ser>
        <c:ser>
          <c:idx val="0"/>
          <c:order val="3"/>
          <c:tx>
            <c:strRef>
              <c:f>Examples!$A$39</c:f>
              <c:strCache>
                <c:ptCount val="1"/>
                <c:pt idx="0">
                  <c:v>1993-94</c:v>
                </c:pt>
              </c:strCache>
            </c:strRef>
          </c:tx>
          <c:dPt>
            <c:idx val="0"/>
            <c:bubble3D val="0"/>
            <c:spPr>
              <a:solidFill>
                <a:srgbClr val="1C355E"/>
              </a:solidFill>
              <a:ln>
                <a:noFill/>
              </a:ln>
              <a:effectLst/>
            </c:spPr>
            <c:extLst>
              <c:ext xmlns:c16="http://schemas.microsoft.com/office/drawing/2014/chart" uri="{C3380CC4-5D6E-409C-BE32-E72D297353CC}">
                <c16:uniqueId val="{00000034-4EA1-4D42-ABAE-EE028EFC6472}"/>
              </c:ext>
            </c:extLst>
          </c:dPt>
          <c:dPt>
            <c:idx val="1"/>
            <c:bubble3D val="0"/>
            <c:spPr>
              <a:solidFill>
                <a:srgbClr val="77869F"/>
              </a:solidFill>
              <a:ln>
                <a:noFill/>
              </a:ln>
              <a:effectLst/>
            </c:spPr>
            <c:extLst>
              <c:ext xmlns:c16="http://schemas.microsoft.com/office/drawing/2014/chart" uri="{C3380CC4-5D6E-409C-BE32-E72D297353CC}">
                <c16:uniqueId val="{00000036-4EA1-4D42-ABAE-EE028EFC6472}"/>
              </c:ext>
            </c:extLst>
          </c:dPt>
          <c:dPt>
            <c:idx val="2"/>
            <c:bubble3D val="0"/>
            <c:spPr>
              <a:solidFill>
                <a:srgbClr val="009DDB"/>
              </a:solidFill>
              <a:ln>
                <a:noFill/>
              </a:ln>
              <a:effectLst/>
            </c:spPr>
            <c:extLst>
              <c:ext xmlns:c16="http://schemas.microsoft.com/office/drawing/2014/chart" uri="{C3380CC4-5D6E-409C-BE32-E72D297353CC}">
                <c16:uniqueId val="{00000038-4EA1-4D42-ABAE-EE028EFC6472}"/>
              </c:ext>
            </c:extLst>
          </c:dPt>
          <c:dPt>
            <c:idx val="3"/>
            <c:bubble3D val="0"/>
            <c:spPr>
              <a:solidFill>
                <a:srgbClr val="66C5EA"/>
              </a:solidFill>
              <a:ln>
                <a:noFill/>
              </a:ln>
              <a:effectLst/>
            </c:spPr>
            <c:extLst>
              <c:ext xmlns:c16="http://schemas.microsoft.com/office/drawing/2014/chart" uri="{C3380CC4-5D6E-409C-BE32-E72D297353CC}">
                <c16:uniqueId val="{0000003A-4EA1-4D42-ABAE-EE028EFC6472}"/>
              </c:ext>
            </c:extLst>
          </c:dPt>
          <c:dPt>
            <c:idx val="4"/>
            <c:bubble3D val="0"/>
            <c:spPr>
              <a:solidFill>
                <a:srgbClr val="115F7E"/>
              </a:solidFill>
              <a:ln>
                <a:noFill/>
              </a:ln>
              <a:effectLst/>
            </c:spPr>
            <c:extLst>
              <c:ext xmlns:c16="http://schemas.microsoft.com/office/drawing/2014/chart" uri="{C3380CC4-5D6E-409C-BE32-E72D297353CC}">
                <c16:uniqueId val="{0000003C-4EA1-4D42-ABAE-EE028EFC6472}"/>
              </c:ext>
            </c:extLst>
          </c:dPt>
          <c:dPt>
            <c:idx val="5"/>
            <c:bubble3D val="0"/>
            <c:spPr>
              <a:solidFill>
                <a:srgbClr val="AED2E0"/>
              </a:solidFill>
              <a:ln>
                <a:noFill/>
              </a:ln>
              <a:effectLst/>
            </c:spPr>
            <c:extLst>
              <c:ext xmlns:c16="http://schemas.microsoft.com/office/drawing/2014/chart" uri="{C3380CC4-5D6E-409C-BE32-E72D297353CC}">
                <c16:uniqueId val="{0000003E-4EA1-4D42-ABAE-EE028EFC6472}"/>
              </c:ext>
            </c:extLst>
          </c:dPt>
          <c:dPt>
            <c:idx val="6"/>
            <c:bubble3D val="0"/>
            <c:spPr>
              <a:solidFill>
                <a:srgbClr val="D8DDE4"/>
              </a:solidFill>
              <a:ln>
                <a:noFill/>
              </a:ln>
              <a:effectLst/>
            </c:spPr>
            <c:extLst>
              <c:ext xmlns:c16="http://schemas.microsoft.com/office/drawing/2014/chart" uri="{C3380CC4-5D6E-409C-BE32-E72D297353CC}">
                <c16:uniqueId val="{00000040-4EA1-4D42-ABAE-EE028EFC6472}"/>
              </c:ext>
            </c:extLst>
          </c:dPt>
          <c:dPt>
            <c:idx val="7"/>
            <c:bubble3D val="0"/>
            <c:spPr>
              <a:solidFill>
                <a:srgbClr val="FFFFFF"/>
              </a:solidFill>
              <a:ln>
                <a:noFill/>
              </a:ln>
              <a:effectLst/>
            </c:spPr>
            <c:extLst>
              <c:ext xmlns:c16="http://schemas.microsoft.com/office/drawing/2014/chart" uri="{C3380CC4-5D6E-409C-BE32-E72D297353CC}">
                <c16:uniqueId val="{00000042-4EA1-4D42-ABAE-EE028EFC6472}"/>
              </c:ext>
            </c:extLst>
          </c:dPt>
          <c:dLbls>
            <c:dLbl>
              <c:idx val="1"/>
              <c:layout>
                <c:manualLayout>
                  <c:x val="2.779921010822416E-2"/>
                  <c:y val="-5.10012674271229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36-4EA1-4D42-ABAE-EE028EFC6472}"/>
                </c:ext>
              </c:extLst>
            </c:dLbl>
            <c:dLbl>
              <c:idx val="7"/>
              <c:layout>
                <c:manualLayout>
                  <c:x val="1.9893319786639576E-2"/>
                  <c:y val="-1.79276069578755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2-4EA1-4D42-ABAE-EE028EFC6472}"/>
                </c:ext>
              </c:extLst>
            </c:dLbl>
            <c:numFmt formatCode="0.0%" sourceLinked="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Examples!$B$39:$I$39</c:f>
              <c:numCache>
                <c:formatCode>General</c:formatCode>
                <c:ptCount val="8"/>
                <c:pt idx="0">
                  <c:v>42.13</c:v>
                </c:pt>
                <c:pt idx="1">
                  <c:v>26.53</c:v>
                </c:pt>
                <c:pt idx="2">
                  <c:v>21.6</c:v>
                </c:pt>
                <c:pt idx="3">
                  <c:v>7.01</c:v>
                </c:pt>
                <c:pt idx="4">
                  <c:v>2.72</c:v>
                </c:pt>
                <c:pt idx="5">
                  <c:v>16</c:v>
                </c:pt>
                <c:pt idx="6">
                  <c:v>3</c:v>
                </c:pt>
                <c:pt idx="7">
                  <c:v>17</c:v>
                </c:pt>
              </c:numCache>
            </c:numRef>
          </c:val>
          <c:extLst>
            <c:ext xmlns:c16="http://schemas.microsoft.com/office/drawing/2014/chart" uri="{C3380CC4-5D6E-409C-BE32-E72D297353CC}">
              <c16:uniqueId val="{00000043-4EA1-4D42-ABAE-EE028EFC6472}"/>
            </c:ext>
          </c:extLst>
        </c:ser>
        <c:ser>
          <c:idx val="4"/>
          <c:order val="4"/>
          <c:tx>
            <c:strRef>
              <c:f>Examples!$A$40</c:f>
              <c:strCache>
                <c:ptCount val="1"/>
                <c:pt idx="0">
                  <c:v>1996-97</c:v>
                </c:pt>
              </c:strCache>
            </c:strRef>
          </c:tx>
          <c:dPt>
            <c:idx val="0"/>
            <c:bubble3D val="0"/>
            <c:spPr>
              <a:solidFill>
                <a:srgbClr val="1C355E"/>
              </a:solidFill>
              <a:ln>
                <a:noFill/>
              </a:ln>
              <a:effectLst/>
            </c:spPr>
            <c:extLst>
              <c:ext xmlns:c16="http://schemas.microsoft.com/office/drawing/2014/chart" uri="{C3380CC4-5D6E-409C-BE32-E72D297353CC}">
                <c16:uniqueId val="{00000045-4EA1-4D42-ABAE-EE028EFC6472}"/>
              </c:ext>
            </c:extLst>
          </c:dPt>
          <c:dPt>
            <c:idx val="1"/>
            <c:bubble3D val="0"/>
            <c:spPr>
              <a:solidFill>
                <a:srgbClr val="77869F"/>
              </a:solidFill>
              <a:ln>
                <a:noFill/>
              </a:ln>
              <a:effectLst/>
            </c:spPr>
            <c:extLst>
              <c:ext xmlns:c16="http://schemas.microsoft.com/office/drawing/2014/chart" uri="{C3380CC4-5D6E-409C-BE32-E72D297353CC}">
                <c16:uniqueId val="{00000047-4EA1-4D42-ABAE-EE028EFC6472}"/>
              </c:ext>
            </c:extLst>
          </c:dPt>
          <c:dPt>
            <c:idx val="2"/>
            <c:bubble3D val="0"/>
            <c:spPr>
              <a:solidFill>
                <a:srgbClr val="009DDB"/>
              </a:solidFill>
              <a:ln>
                <a:noFill/>
              </a:ln>
              <a:effectLst/>
            </c:spPr>
            <c:extLst>
              <c:ext xmlns:c16="http://schemas.microsoft.com/office/drawing/2014/chart" uri="{C3380CC4-5D6E-409C-BE32-E72D297353CC}">
                <c16:uniqueId val="{00000049-4EA1-4D42-ABAE-EE028EFC6472}"/>
              </c:ext>
            </c:extLst>
          </c:dPt>
          <c:dPt>
            <c:idx val="3"/>
            <c:bubble3D val="0"/>
            <c:spPr>
              <a:solidFill>
                <a:srgbClr val="66C5EA"/>
              </a:solidFill>
              <a:ln>
                <a:noFill/>
              </a:ln>
              <a:effectLst/>
            </c:spPr>
            <c:extLst>
              <c:ext xmlns:c16="http://schemas.microsoft.com/office/drawing/2014/chart" uri="{C3380CC4-5D6E-409C-BE32-E72D297353CC}">
                <c16:uniqueId val="{0000004B-4EA1-4D42-ABAE-EE028EFC6472}"/>
              </c:ext>
            </c:extLst>
          </c:dPt>
          <c:dPt>
            <c:idx val="4"/>
            <c:bubble3D val="0"/>
            <c:spPr>
              <a:solidFill>
                <a:srgbClr val="115F7E"/>
              </a:solidFill>
              <a:ln>
                <a:noFill/>
              </a:ln>
              <a:effectLst/>
            </c:spPr>
            <c:extLst>
              <c:ext xmlns:c16="http://schemas.microsoft.com/office/drawing/2014/chart" uri="{C3380CC4-5D6E-409C-BE32-E72D297353CC}">
                <c16:uniqueId val="{0000004D-4EA1-4D42-ABAE-EE028EFC6472}"/>
              </c:ext>
            </c:extLst>
          </c:dPt>
          <c:dPt>
            <c:idx val="5"/>
            <c:bubble3D val="0"/>
            <c:spPr>
              <a:solidFill>
                <a:srgbClr val="AED2E0"/>
              </a:solidFill>
              <a:ln>
                <a:noFill/>
              </a:ln>
              <a:effectLst/>
            </c:spPr>
            <c:extLst>
              <c:ext xmlns:c16="http://schemas.microsoft.com/office/drawing/2014/chart" uri="{C3380CC4-5D6E-409C-BE32-E72D297353CC}">
                <c16:uniqueId val="{0000004F-4EA1-4D42-ABAE-EE028EFC6472}"/>
              </c:ext>
            </c:extLst>
          </c:dPt>
          <c:dPt>
            <c:idx val="6"/>
            <c:bubble3D val="0"/>
            <c:spPr>
              <a:solidFill>
                <a:srgbClr val="D8DDE4"/>
              </a:solidFill>
              <a:ln>
                <a:noFill/>
              </a:ln>
              <a:effectLst/>
            </c:spPr>
            <c:extLst>
              <c:ext xmlns:c16="http://schemas.microsoft.com/office/drawing/2014/chart" uri="{C3380CC4-5D6E-409C-BE32-E72D297353CC}">
                <c16:uniqueId val="{00000051-4EA1-4D42-ABAE-EE028EFC6472}"/>
              </c:ext>
            </c:extLst>
          </c:dPt>
          <c:dPt>
            <c:idx val="7"/>
            <c:bubble3D val="0"/>
            <c:spPr>
              <a:solidFill>
                <a:srgbClr val="FFFFFF"/>
              </a:solidFill>
              <a:ln>
                <a:noFill/>
              </a:ln>
              <a:effectLst/>
            </c:spPr>
            <c:extLst>
              <c:ext xmlns:c16="http://schemas.microsoft.com/office/drawing/2014/chart" uri="{C3380CC4-5D6E-409C-BE32-E72D297353CC}">
                <c16:uniqueId val="{00000053-4EA1-4D42-ABAE-EE028EFC6472}"/>
              </c:ext>
            </c:extLst>
          </c:dPt>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Examples!$B$40:$I$40</c:f>
              <c:numCache>
                <c:formatCode>General</c:formatCode>
                <c:ptCount val="8"/>
                <c:pt idx="0">
                  <c:v>41.69</c:v>
                </c:pt>
                <c:pt idx="1">
                  <c:v>24.76</c:v>
                </c:pt>
                <c:pt idx="2">
                  <c:v>23.98</c:v>
                </c:pt>
                <c:pt idx="3">
                  <c:v>7</c:v>
                </c:pt>
                <c:pt idx="4">
                  <c:v>2.57</c:v>
                </c:pt>
                <c:pt idx="5">
                  <c:v>18</c:v>
                </c:pt>
                <c:pt idx="6">
                  <c:v>3.5</c:v>
                </c:pt>
                <c:pt idx="7">
                  <c:v>19</c:v>
                </c:pt>
              </c:numCache>
            </c:numRef>
          </c:val>
          <c:extLst>
            <c:ext xmlns:c16="http://schemas.microsoft.com/office/drawing/2014/chart" uri="{C3380CC4-5D6E-409C-BE32-E72D297353CC}">
              <c16:uniqueId val="{00000054-4EA1-4D42-ABAE-EE028EFC6472}"/>
            </c:ext>
          </c:extLst>
        </c:ser>
        <c:ser>
          <c:idx val="5"/>
          <c:order val="5"/>
          <c:tx>
            <c:strRef>
              <c:f>Examples!$A$41</c:f>
              <c:strCache>
                <c:ptCount val="1"/>
                <c:pt idx="0">
                  <c:v>1997-98</c:v>
                </c:pt>
              </c:strCache>
            </c:strRef>
          </c:tx>
          <c:dPt>
            <c:idx val="0"/>
            <c:bubble3D val="0"/>
            <c:spPr>
              <a:solidFill>
                <a:srgbClr val="1C355E"/>
              </a:solidFill>
              <a:ln>
                <a:noFill/>
              </a:ln>
              <a:effectLst/>
            </c:spPr>
            <c:extLst>
              <c:ext xmlns:c16="http://schemas.microsoft.com/office/drawing/2014/chart" uri="{C3380CC4-5D6E-409C-BE32-E72D297353CC}">
                <c16:uniqueId val="{00000056-4EA1-4D42-ABAE-EE028EFC6472}"/>
              </c:ext>
            </c:extLst>
          </c:dPt>
          <c:dPt>
            <c:idx val="1"/>
            <c:bubble3D val="0"/>
            <c:spPr>
              <a:solidFill>
                <a:srgbClr val="77869F"/>
              </a:solidFill>
              <a:ln>
                <a:noFill/>
              </a:ln>
              <a:effectLst/>
            </c:spPr>
            <c:extLst>
              <c:ext xmlns:c16="http://schemas.microsoft.com/office/drawing/2014/chart" uri="{C3380CC4-5D6E-409C-BE32-E72D297353CC}">
                <c16:uniqueId val="{00000058-4EA1-4D42-ABAE-EE028EFC6472}"/>
              </c:ext>
            </c:extLst>
          </c:dPt>
          <c:dPt>
            <c:idx val="2"/>
            <c:bubble3D val="0"/>
            <c:spPr>
              <a:solidFill>
                <a:srgbClr val="009DDB"/>
              </a:solidFill>
              <a:ln>
                <a:noFill/>
              </a:ln>
              <a:effectLst/>
            </c:spPr>
            <c:extLst>
              <c:ext xmlns:c16="http://schemas.microsoft.com/office/drawing/2014/chart" uri="{C3380CC4-5D6E-409C-BE32-E72D297353CC}">
                <c16:uniqueId val="{0000005A-4EA1-4D42-ABAE-EE028EFC6472}"/>
              </c:ext>
            </c:extLst>
          </c:dPt>
          <c:dPt>
            <c:idx val="3"/>
            <c:bubble3D val="0"/>
            <c:spPr>
              <a:solidFill>
                <a:srgbClr val="66C5EA"/>
              </a:solidFill>
              <a:ln>
                <a:noFill/>
              </a:ln>
              <a:effectLst/>
            </c:spPr>
            <c:extLst>
              <c:ext xmlns:c16="http://schemas.microsoft.com/office/drawing/2014/chart" uri="{C3380CC4-5D6E-409C-BE32-E72D297353CC}">
                <c16:uniqueId val="{0000005C-4EA1-4D42-ABAE-EE028EFC6472}"/>
              </c:ext>
            </c:extLst>
          </c:dPt>
          <c:dPt>
            <c:idx val="4"/>
            <c:bubble3D val="0"/>
            <c:spPr>
              <a:solidFill>
                <a:srgbClr val="115F7E"/>
              </a:solidFill>
              <a:ln>
                <a:noFill/>
              </a:ln>
              <a:effectLst/>
            </c:spPr>
            <c:extLst>
              <c:ext xmlns:c16="http://schemas.microsoft.com/office/drawing/2014/chart" uri="{C3380CC4-5D6E-409C-BE32-E72D297353CC}">
                <c16:uniqueId val="{0000005E-4EA1-4D42-ABAE-EE028EFC6472}"/>
              </c:ext>
            </c:extLst>
          </c:dPt>
          <c:dPt>
            <c:idx val="5"/>
            <c:bubble3D val="0"/>
            <c:spPr>
              <a:solidFill>
                <a:srgbClr val="AED2E0"/>
              </a:solidFill>
              <a:ln>
                <a:noFill/>
              </a:ln>
              <a:effectLst/>
            </c:spPr>
            <c:extLst>
              <c:ext xmlns:c16="http://schemas.microsoft.com/office/drawing/2014/chart" uri="{C3380CC4-5D6E-409C-BE32-E72D297353CC}">
                <c16:uniqueId val="{00000060-4EA1-4D42-ABAE-EE028EFC6472}"/>
              </c:ext>
            </c:extLst>
          </c:dPt>
          <c:dPt>
            <c:idx val="6"/>
            <c:bubble3D val="0"/>
            <c:spPr>
              <a:solidFill>
                <a:srgbClr val="D8DDE4"/>
              </a:solidFill>
              <a:ln>
                <a:noFill/>
              </a:ln>
              <a:effectLst/>
            </c:spPr>
            <c:extLst>
              <c:ext xmlns:c16="http://schemas.microsoft.com/office/drawing/2014/chart" uri="{C3380CC4-5D6E-409C-BE32-E72D297353CC}">
                <c16:uniqueId val="{00000062-4EA1-4D42-ABAE-EE028EFC6472}"/>
              </c:ext>
            </c:extLst>
          </c:dPt>
          <c:dPt>
            <c:idx val="7"/>
            <c:bubble3D val="0"/>
            <c:spPr>
              <a:solidFill>
                <a:srgbClr val="FFFFFF"/>
              </a:solidFill>
              <a:ln>
                <a:noFill/>
              </a:ln>
              <a:effectLst/>
            </c:spPr>
            <c:extLst>
              <c:ext xmlns:c16="http://schemas.microsoft.com/office/drawing/2014/chart" uri="{C3380CC4-5D6E-409C-BE32-E72D297353CC}">
                <c16:uniqueId val="{00000064-4EA1-4D42-ABAE-EE028EFC6472}"/>
              </c:ext>
            </c:extLst>
          </c:dPt>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Examples!$B$41:$I$41</c:f>
              <c:numCache>
                <c:formatCode>General</c:formatCode>
                <c:ptCount val="8"/>
                <c:pt idx="0">
                  <c:v>39.39</c:v>
                </c:pt>
                <c:pt idx="1">
                  <c:v>32.020000000000003</c:v>
                </c:pt>
                <c:pt idx="2">
                  <c:v>21.6</c:v>
                </c:pt>
                <c:pt idx="3">
                  <c:v>7.01</c:v>
                </c:pt>
                <c:pt idx="4">
                  <c:v>3.36</c:v>
                </c:pt>
                <c:pt idx="5">
                  <c:v>12</c:v>
                </c:pt>
                <c:pt idx="6">
                  <c:v>3.8</c:v>
                </c:pt>
                <c:pt idx="7">
                  <c:v>13</c:v>
                </c:pt>
              </c:numCache>
            </c:numRef>
          </c:val>
          <c:extLst>
            <c:ext xmlns:c16="http://schemas.microsoft.com/office/drawing/2014/chart" uri="{C3380CC4-5D6E-409C-BE32-E72D297353CC}">
              <c16:uniqueId val="{00000065-4EA1-4D42-ABAE-EE028EFC6472}"/>
            </c:ext>
          </c:extLst>
        </c:ser>
        <c:ser>
          <c:idx val="6"/>
          <c:order val="6"/>
          <c:tx>
            <c:strRef>
              <c:f>Examples!$A$42</c:f>
              <c:strCache>
                <c:ptCount val="1"/>
                <c:pt idx="0">
                  <c:v>1998-99</c:v>
                </c:pt>
              </c:strCache>
            </c:strRef>
          </c:tx>
          <c:dPt>
            <c:idx val="0"/>
            <c:bubble3D val="0"/>
            <c:spPr>
              <a:solidFill>
                <a:srgbClr val="1C355E"/>
              </a:solidFill>
              <a:ln>
                <a:noFill/>
              </a:ln>
              <a:effectLst/>
            </c:spPr>
            <c:extLst>
              <c:ext xmlns:c16="http://schemas.microsoft.com/office/drawing/2014/chart" uri="{C3380CC4-5D6E-409C-BE32-E72D297353CC}">
                <c16:uniqueId val="{00000067-4EA1-4D42-ABAE-EE028EFC6472}"/>
              </c:ext>
            </c:extLst>
          </c:dPt>
          <c:dPt>
            <c:idx val="1"/>
            <c:bubble3D val="0"/>
            <c:spPr>
              <a:solidFill>
                <a:srgbClr val="77869F"/>
              </a:solidFill>
              <a:ln>
                <a:noFill/>
              </a:ln>
              <a:effectLst/>
            </c:spPr>
            <c:extLst>
              <c:ext xmlns:c16="http://schemas.microsoft.com/office/drawing/2014/chart" uri="{C3380CC4-5D6E-409C-BE32-E72D297353CC}">
                <c16:uniqueId val="{00000069-4EA1-4D42-ABAE-EE028EFC6472}"/>
              </c:ext>
            </c:extLst>
          </c:dPt>
          <c:dPt>
            <c:idx val="2"/>
            <c:bubble3D val="0"/>
            <c:spPr>
              <a:solidFill>
                <a:srgbClr val="009DDB"/>
              </a:solidFill>
              <a:ln>
                <a:noFill/>
              </a:ln>
              <a:effectLst/>
            </c:spPr>
            <c:extLst>
              <c:ext xmlns:c16="http://schemas.microsoft.com/office/drawing/2014/chart" uri="{C3380CC4-5D6E-409C-BE32-E72D297353CC}">
                <c16:uniqueId val="{0000006B-4EA1-4D42-ABAE-EE028EFC6472}"/>
              </c:ext>
            </c:extLst>
          </c:dPt>
          <c:dPt>
            <c:idx val="3"/>
            <c:bubble3D val="0"/>
            <c:spPr>
              <a:solidFill>
                <a:srgbClr val="66C5EA"/>
              </a:solidFill>
              <a:ln>
                <a:noFill/>
              </a:ln>
              <a:effectLst/>
            </c:spPr>
            <c:extLst>
              <c:ext xmlns:c16="http://schemas.microsoft.com/office/drawing/2014/chart" uri="{C3380CC4-5D6E-409C-BE32-E72D297353CC}">
                <c16:uniqueId val="{0000006D-4EA1-4D42-ABAE-EE028EFC6472}"/>
              </c:ext>
            </c:extLst>
          </c:dPt>
          <c:dPt>
            <c:idx val="4"/>
            <c:bubble3D val="0"/>
            <c:spPr>
              <a:solidFill>
                <a:srgbClr val="115F7E"/>
              </a:solidFill>
              <a:ln>
                <a:noFill/>
              </a:ln>
              <a:effectLst/>
            </c:spPr>
            <c:extLst>
              <c:ext xmlns:c16="http://schemas.microsoft.com/office/drawing/2014/chart" uri="{C3380CC4-5D6E-409C-BE32-E72D297353CC}">
                <c16:uniqueId val="{0000006F-4EA1-4D42-ABAE-EE028EFC6472}"/>
              </c:ext>
            </c:extLst>
          </c:dPt>
          <c:dPt>
            <c:idx val="5"/>
            <c:bubble3D val="0"/>
            <c:spPr>
              <a:solidFill>
                <a:srgbClr val="AED2E0"/>
              </a:solidFill>
              <a:ln>
                <a:noFill/>
              </a:ln>
              <a:effectLst/>
            </c:spPr>
            <c:extLst>
              <c:ext xmlns:c16="http://schemas.microsoft.com/office/drawing/2014/chart" uri="{C3380CC4-5D6E-409C-BE32-E72D297353CC}">
                <c16:uniqueId val="{00000071-4EA1-4D42-ABAE-EE028EFC6472}"/>
              </c:ext>
            </c:extLst>
          </c:dPt>
          <c:dPt>
            <c:idx val="6"/>
            <c:bubble3D val="0"/>
            <c:spPr>
              <a:solidFill>
                <a:srgbClr val="D8DDE4"/>
              </a:solidFill>
              <a:ln>
                <a:noFill/>
              </a:ln>
              <a:effectLst/>
            </c:spPr>
            <c:extLst>
              <c:ext xmlns:c16="http://schemas.microsoft.com/office/drawing/2014/chart" uri="{C3380CC4-5D6E-409C-BE32-E72D297353CC}">
                <c16:uniqueId val="{00000073-4EA1-4D42-ABAE-EE028EFC6472}"/>
              </c:ext>
            </c:extLst>
          </c:dPt>
          <c:dPt>
            <c:idx val="7"/>
            <c:bubble3D val="0"/>
            <c:spPr>
              <a:solidFill>
                <a:srgbClr val="FFFFFF"/>
              </a:solidFill>
              <a:ln>
                <a:noFill/>
              </a:ln>
              <a:effectLst/>
            </c:spPr>
            <c:extLst>
              <c:ext xmlns:c16="http://schemas.microsoft.com/office/drawing/2014/chart" uri="{C3380CC4-5D6E-409C-BE32-E72D297353CC}">
                <c16:uniqueId val="{00000075-4EA1-4D42-ABAE-EE028EFC6472}"/>
              </c:ext>
            </c:extLst>
          </c:dPt>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Examples!$B$42:$I$42</c:f>
              <c:numCache>
                <c:formatCode>General</c:formatCode>
                <c:ptCount val="8"/>
                <c:pt idx="0">
                  <c:v>42.13</c:v>
                </c:pt>
                <c:pt idx="1">
                  <c:v>26.53</c:v>
                </c:pt>
                <c:pt idx="2">
                  <c:v>21.6</c:v>
                </c:pt>
                <c:pt idx="3">
                  <c:v>7.01</c:v>
                </c:pt>
                <c:pt idx="4">
                  <c:v>2.72</c:v>
                </c:pt>
                <c:pt idx="5">
                  <c:v>16</c:v>
                </c:pt>
                <c:pt idx="6">
                  <c:v>3.2</c:v>
                </c:pt>
                <c:pt idx="7">
                  <c:v>18</c:v>
                </c:pt>
              </c:numCache>
            </c:numRef>
          </c:val>
          <c:extLst>
            <c:ext xmlns:c16="http://schemas.microsoft.com/office/drawing/2014/chart" uri="{C3380CC4-5D6E-409C-BE32-E72D297353CC}">
              <c16:uniqueId val="{00000076-4EA1-4D42-ABAE-EE028EFC6472}"/>
            </c:ext>
          </c:extLst>
        </c:ser>
        <c:ser>
          <c:idx val="7"/>
          <c:order val="7"/>
          <c:tx>
            <c:strRef>
              <c:f>Examples!$A$43</c:f>
              <c:strCache>
                <c:ptCount val="1"/>
                <c:pt idx="0">
                  <c:v>1999-00</c:v>
                </c:pt>
              </c:strCache>
            </c:strRef>
          </c:tx>
          <c:dPt>
            <c:idx val="0"/>
            <c:bubble3D val="0"/>
            <c:spPr>
              <a:solidFill>
                <a:srgbClr val="1C355E"/>
              </a:solidFill>
              <a:ln>
                <a:noFill/>
              </a:ln>
              <a:effectLst/>
            </c:spPr>
            <c:extLst>
              <c:ext xmlns:c16="http://schemas.microsoft.com/office/drawing/2014/chart" uri="{C3380CC4-5D6E-409C-BE32-E72D297353CC}">
                <c16:uniqueId val="{00000078-4EA1-4D42-ABAE-EE028EFC6472}"/>
              </c:ext>
            </c:extLst>
          </c:dPt>
          <c:dPt>
            <c:idx val="1"/>
            <c:bubble3D val="0"/>
            <c:spPr>
              <a:solidFill>
                <a:srgbClr val="77869F"/>
              </a:solidFill>
              <a:ln>
                <a:noFill/>
              </a:ln>
              <a:effectLst/>
            </c:spPr>
            <c:extLst>
              <c:ext xmlns:c16="http://schemas.microsoft.com/office/drawing/2014/chart" uri="{C3380CC4-5D6E-409C-BE32-E72D297353CC}">
                <c16:uniqueId val="{0000007A-4EA1-4D42-ABAE-EE028EFC6472}"/>
              </c:ext>
            </c:extLst>
          </c:dPt>
          <c:dPt>
            <c:idx val="2"/>
            <c:bubble3D val="0"/>
            <c:spPr>
              <a:solidFill>
                <a:srgbClr val="009DDB"/>
              </a:solidFill>
              <a:ln>
                <a:noFill/>
              </a:ln>
              <a:effectLst/>
            </c:spPr>
            <c:extLst>
              <c:ext xmlns:c16="http://schemas.microsoft.com/office/drawing/2014/chart" uri="{C3380CC4-5D6E-409C-BE32-E72D297353CC}">
                <c16:uniqueId val="{0000007C-4EA1-4D42-ABAE-EE028EFC6472}"/>
              </c:ext>
            </c:extLst>
          </c:dPt>
          <c:dPt>
            <c:idx val="3"/>
            <c:bubble3D val="0"/>
            <c:spPr>
              <a:solidFill>
                <a:srgbClr val="66C5EA"/>
              </a:solidFill>
              <a:ln>
                <a:noFill/>
              </a:ln>
              <a:effectLst/>
            </c:spPr>
            <c:extLst>
              <c:ext xmlns:c16="http://schemas.microsoft.com/office/drawing/2014/chart" uri="{C3380CC4-5D6E-409C-BE32-E72D297353CC}">
                <c16:uniqueId val="{0000007E-4EA1-4D42-ABAE-EE028EFC6472}"/>
              </c:ext>
            </c:extLst>
          </c:dPt>
          <c:dPt>
            <c:idx val="4"/>
            <c:bubble3D val="0"/>
            <c:spPr>
              <a:solidFill>
                <a:srgbClr val="115F7E"/>
              </a:solidFill>
              <a:ln>
                <a:noFill/>
              </a:ln>
              <a:effectLst/>
            </c:spPr>
            <c:extLst>
              <c:ext xmlns:c16="http://schemas.microsoft.com/office/drawing/2014/chart" uri="{C3380CC4-5D6E-409C-BE32-E72D297353CC}">
                <c16:uniqueId val="{00000080-4EA1-4D42-ABAE-EE028EFC6472}"/>
              </c:ext>
            </c:extLst>
          </c:dPt>
          <c:dPt>
            <c:idx val="5"/>
            <c:bubble3D val="0"/>
            <c:spPr>
              <a:solidFill>
                <a:srgbClr val="AED2E0"/>
              </a:solidFill>
              <a:ln>
                <a:noFill/>
              </a:ln>
              <a:effectLst/>
            </c:spPr>
            <c:extLst>
              <c:ext xmlns:c16="http://schemas.microsoft.com/office/drawing/2014/chart" uri="{C3380CC4-5D6E-409C-BE32-E72D297353CC}">
                <c16:uniqueId val="{00000082-4EA1-4D42-ABAE-EE028EFC6472}"/>
              </c:ext>
            </c:extLst>
          </c:dPt>
          <c:dPt>
            <c:idx val="6"/>
            <c:bubble3D val="0"/>
            <c:spPr>
              <a:solidFill>
                <a:srgbClr val="D8DDE4"/>
              </a:solidFill>
              <a:ln>
                <a:noFill/>
              </a:ln>
              <a:effectLst/>
            </c:spPr>
            <c:extLst>
              <c:ext xmlns:c16="http://schemas.microsoft.com/office/drawing/2014/chart" uri="{C3380CC4-5D6E-409C-BE32-E72D297353CC}">
                <c16:uniqueId val="{00000084-4EA1-4D42-ABAE-EE028EFC6472}"/>
              </c:ext>
            </c:extLst>
          </c:dPt>
          <c:dPt>
            <c:idx val="7"/>
            <c:bubble3D val="0"/>
            <c:spPr>
              <a:solidFill>
                <a:srgbClr val="FFFFFF"/>
              </a:solidFill>
              <a:ln>
                <a:noFill/>
              </a:ln>
              <a:effectLst/>
            </c:spPr>
            <c:extLst>
              <c:ext xmlns:c16="http://schemas.microsoft.com/office/drawing/2014/chart" uri="{C3380CC4-5D6E-409C-BE32-E72D297353CC}">
                <c16:uniqueId val="{00000086-4EA1-4D42-ABAE-EE028EFC6472}"/>
              </c:ext>
            </c:extLst>
          </c:dPt>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Examples!$B$43:$I$43</c:f>
              <c:numCache>
                <c:formatCode>General</c:formatCode>
                <c:ptCount val="8"/>
                <c:pt idx="0">
                  <c:v>45</c:v>
                </c:pt>
                <c:pt idx="1">
                  <c:v>22</c:v>
                </c:pt>
                <c:pt idx="2">
                  <c:v>26</c:v>
                </c:pt>
                <c:pt idx="3">
                  <c:v>8</c:v>
                </c:pt>
                <c:pt idx="4">
                  <c:v>2</c:v>
                </c:pt>
                <c:pt idx="5">
                  <c:v>20</c:v>
                </c:pt>
                <c:pt idx="6">
                  <c:v>4</c:v>
                </c:pt>
                <c:pt idx="7">
                  <c:v>22</c:v>
                </c:pt>
              </c:numCache>
            </c:numRef>
          </c:val>
          <c:extLst>
            <c:ext xmlns:c16="http://schemas.microsoft.com/office/drawing/2014/chart" uri="{C3380CC4-5D6E-409C-BE32-E72D297353CC}">
              <c16:uniqueId val="{00000087-4EA1-4D42-ABAE-EE028EFC6472}"/>
            </c:ext>
          </c:extLst>
        </c:ser>
        <c:dLbls>
          <c:showLegendKey val="0"/>
          <c:showVal val="0"/>
          <c:showCatName val="1"/>
          <c:showSerName val="0"/>
          <c:showPercent val="1"/>
          <c:showBubbleSize val="0"/>
          <c:showLeaderLines val="0"/>
        </c:dLbls>
        <c:firstSliceAng val="0"/>
      </c:pie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sz="900" b="0" i="0" u="none" strike="noStrike" baseline="0">
          <a:solidFill>
            <a:srgbClr val="000000"/>
          </a:solidFill>
          <a:latin typeface="+mn-lt"/>
          <a:ea typeface="Myriad Pro"/>
          <a:cs typeface="Myriad Pro"/>
        </a:defRPr>
      </a:pPr>
      <a:endParaRPr lang="en-US"/>
    </a:p>
  </c:txPr>
  <c:printSettings>
    <c:headerFooter alignWithMargins="0"/>
    <c:pageMargins b="1" l="0.75" r="0.75" t="1" header="0.5" footer="0.5"/>
    <c:pageSetup paperSize="9" orientation="portrait" horizontalDpi="-3"/>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38411260844425"/>
          <c:y val="4.4274026181353773E-2"/>
          <c:w val="0.75496944444444447"/>
          <c:h val="0.91309586526181374"/>
        </c:manualLayout>
      </c:layout>
      <c:ofPieChart>
        <c:ofPieType val="pie"/>
        <c:varyColors val="1"/>
        <c:ser>
          <c:idx val="0"/>
          <c:order val="0"/>
          <c:tx>
            <c:strRef>
              <c:f>Examples!$A$36</c:f>
              <c:strCache>
                <c:ptCount val="1"/>
                <c:pt idx="0">
                  <c:v>1975-76</c:v>
                </c:pt>
              </c:strCache>
            </c:strRef>
          </c:tx>
          <c:spPr>
            <a:ln>
              <a:solidFill>
                <a:schemeClr val="bg1"/>
              </a:solidFill>
            </a:ln>
          </c:spPr>
          <c:dPt>
            <c:idx val="0"/>
            <c:bubble3D val="0"/>
            <c:spPr>
              <a:solidFill>
                <a:srgbClr val="3373B3"/>
              </a:solidFill>
              <a:ln>
                <a:solidFill>
                  <a:schemeClr val="bg1"/>
                </a:solidFill>
              </a:ln>
              <a:effectLst/>
            </c:spPr>
            <c:extLst>
              <c:ext xmlns:c16="http://schemas.microsoft.com/office/drawing/2014/chart" uri="{C3380CC4-5D6E-409C-BE32-E72D297353CC}">
                <c16:uniqueId val="{00000001-BE62-44FA-B32F-D173B289F6C6}"/>
              </c:ext>
            </c:extLst>
          </c:dPt>
          <c:dPt>
            <c:idx val="1"/>
            <c:bubble3D val="0"/>
            <c:spPr>
              <a:solidFill>
                <a:srgbClr val="66C5EA"/>
              </a:solidFill>
              <a:ln>
                <a:solidFill>
                  <a:schemeClr val="bg1"/>
                </a:solidFill>
              </a:ln>
              <a:effectLst/>
            </c:spPr>
            <c:extLst>
              <c:ext xmlns:c16="http://schemas.microsoft.com/office/drawing/2014/chart" uri="{C3380CC4-5D6E-409C-BE32-E72D297353CC}">
                <c16:uniqueId val="{00000003-BE62-44FA-B32F-D173B289F6C6}"/>
              </c:ext>
            </c:extLst>
          </c:dPt>
          <c:dPt>
            <c:idx val="2"/>
            <c:bubble3D val="0"/>
            <c:spPr>
              <a:solidFill>
                <a:schemeClr val="accent5"/>
              </a:solidFill>
              <a:ln>
                <a:solidFill>
                  <a:schemeClr val="bg1"/>
                </a:solidFill>
              </a:ln>
              <a:effectLst/>
            </c:spPr>
            <c:extLst>
              <c:ext xmlns:c16="http://schemas.microsoft.com/office/drawing/2014/chart" uri="{C3380CC4-5D6E-409C-BE32-E72D297353CC}">
                <c16:uniqueId val="{00000005-BE62-44FA-B32F-D173B289F6C6}"/>
              </c:ext>
            </c:extLst>
          </c:dPt>
          <c:dPt>
            <c:idx val="3"/>
            <c:bubble3D val="0"/>
            <c:spPr>
              <a:solidFill>
                <a:schemeClr val="accent6"/>
              </a:solidFill>
              <a:ln>
                <a:solidFill>
                  <a:schemeClr val="bg1"/>
                </a:solidFill>
              </a:ln>
              <a:effectLst/>
            </c:spPr>
            <c:extLst>
              <c:ext xmlns:c16="http://schemas.microsoft.com/office/drawing/2014/chart" uri="{C3380CC4-5D6E-409C-BE32-E72D297353CC}">
                <c16:uniqueId val="{00000007-BE62-44FA-B32F-D173B289F6C6}"/>
              </c:ext>
            </c:extLst>
          </c:dPt>
          <c:dPt>
            <c:idx val="4"/>
            <c:bubble3D val="0"/>
            <c:spPr>
              <a:solidFill>
                <a:srgbClr val="66C5EA"/>
              </a:solidFill>
              <a:ln>
                <a:solidFill>
                  <a:schemeClr val="bg1"/>
                </a:solidFill>
              </a:ln>
              <a:effectLst/>
            </c:spPr>
            <c:extLst>
              <c:ext xmlns:c16="http://schemas.microsoft.com/office/drawing/2014/chart" uri="{C3380CC4-5D6E-409C-BE32-E72D297353CC}">
                <c16:uniqueId val="{00000009-BE62-44FA-B32F-D173B289F6C6}"/>
              </c:ext>
            </c:extLst>
          </c:dPt>
          <c:dPt>
            <c:idx val="5"/>
            <c:bubble3D val="0"/>
            <c:spPr>
              <a:solidFill>
                <a:srgbClr val="427EB9"/>
              </a:solidFill>
              <a:ln>
                <a:solidFill>
                  <a:schemeClr val="bg1"/>
                </a:solidFill>
              </a:ln>
              <a:effectLst/>
            </c:spPr>
            <c:extLst>
              <c:ext xmlns:c16="http://schemas.microsoft.com/office/drawing/2014/chart" uri="{C3380CC4-5D6E-409C-BE32-E72D297353CC}">
                <c16:uniqueId val="{0000000B-BE62-44FA-B32F-D173B289F6C6}"/>
              </c:ext>
            </c:extLst>
          </c:dPt>
          <c:dPt>
            <c:idx val="6"/>
            <c:bubble3D val="0"/>
            <c:spPr>
              <a:solidFill>
                <a:srgbClr val="81A8D0"/>
              </a:solidFill>
              <a:ln>
                <a:solidFill>
                  <a:schemeClr val="bg1"/>
                </a:solidFill>
              </a:ln>
              <a:effectLst/>
            </c:spPr>
            <c:extLst>
              <c:ext xmlns:c16="http://schemas.microsoft.com/office/drawing/2014/chart" uri="{C3380CC4-5D6E-409C-BE32-E72D297353CC}">
                <c16:uniqueId val="{0000000D-BE62-44FA-B32F-D173B289F6C6}"/>
              </c:ext>
            </c:extLst>
          </c:dPt>
          <c:dPt>
            <c:idx val="7"/>
            <c:bubble3D val="0"/>
            <c:spPr>
              <a:solidFill>
                <a:srgbClr val="C1D4E7"/>
              </a:solidFill>
              <a:ln>
                <a:solidFill>
                  <a:schemeClr val="bg1"/>
                </a:solidFill>
              </a:ln>
              <a:effectLst/>
            </c:spPr>
            <c:extLst>
              <c:ext xmlns:c16="http://schemas.microsoft.com/office/drawing/2014/chart" uri="{C3380CC4-5D6E-409C-BE32-E72D297353CC}">
                <c16:uniqueId val="{0000000F-BE62-44FA-B32F-D173B289F6C6}"/>
              </c:ext>
            </c:extLst>
          </c:dPt>
          <c:dPt>
            <c:idx val="8"/>
            <c:bubble3D val="0"/>
            <c:spPr>
              <a:solidFill>
                <a:srgbClr val="0352A1"/>
              </a:solidFill>
              <a:ln>
                <a:solidFill>
                  <a:schemeClr val="bg1"/>
                </a:solidFill>
              </a:ln>
              <a:effectLst/>
            </c:spPr>
            <c:extLst>
              <c:ext xmlns:c16="http://schemas.microsoft.com/office/drawing/2014/chart" uri="{C3380CC4-5D6E-409C-BE32-E72D297353CC}">
                <c16:uniqueId val="{00000011-BE62-44FA-B32F-D173B289F6C6}"/>
              </c:ext>
            </c:extLst>
          </c:dPt>
          <c:dLbls>
            <c:dLbl>
              <c:idx val="3"/>
              <c:layout>
                <c:manualLayout>
                  <c:x val="-1.7742956255928952E-2"/>
                  <c:y val="-2.5343231162196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E62-44FA-B32F-D173B289F6C6}"/>
                </c:ext>
              </c:extLst>
            </c:dLbl>
            <c:dLbl>
              <c:idx val="4"/>
              <c:layout>
                <c:manualLayout>
                  <c:x val="8.8714781279644363E-3"/>
                  <c:y val="-5.068646232439335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E62-44FA-B32F-D173B289F6C6}"/>
                </c:ext>
              </c:extLst>
            </c:dLbl>
            <c:numFmt formatCode="0%" sourceLinked="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Examples!$B$36:$I$36</c:f>
              <c:numCache>
                <c:formatCode>General</c:formatCode>
                <c:ptCount val="8"/>
                <c:pt idx="0">
                  <c:v>36.19</c:v>
                </c:pt>
                <c:pt idx="1">
                  <c:v>36.880000000000003</c:v>
                </c:pt>
                <c:pt idx="2">
                  <c:v>21.56</c:v>
                </c:pt>
                <c:pt idx="3">
                  <c:v>5.36</c:v>
                </c:pt>
                <c:pt idx="4">
                  <c:v>3.01</c:v>
                </c:pt>
                <c:pt idx="5">
                  <c:v>10</c:v>
                </c:pt>
                <c:pt idx="6">
                  <c:v>5.2</c:v>
                </c:pt>
                <c:pt idx="7">
                  <c:v>13</c:v>
                </c:pt>
              </c:numCache>
            </c:numRef>
          </c:val>
          <c:extLst>
            <c:ext xmlns:c16="http://schemas.microsoft.com/office/drawing/2014/chart" uri="{C3380CC4-5D6E-409C-BE32-E72D297353CC}">
              <c16:uniqueId val="{00000012-BE62-44FA-B32F-D173B289F6C6}"/>
            </c:ext>
          </c:extLst>
        </c:ser>
        <c:ser>
          <c:idx val="1"/>
          <c:order val="1"/>
          <c:tx>
            <c:strRef>
              <c:f>Examples!$A$37</c:f>
              <c:strCache>
                <c:ptCount val="1"/>
                <c:pt idx="0">
                  <c:v>1983-84</c:v>
                </c:pt>
              </c:strCache>
            </c:strRef>
          </c:tx>
          <c:dPt>
            <c:idx val="0"/>
            <c:bubble3D val="0"/>
            <c:spPr>
              <a:solidFill>
                <a:srgbClr val="1C355E"/>
              </a:solidFill>
              <a:ln>
                <a:noFill/>
              </a:ln>
              <a:effectLst/>
            </c:spPr>
            <c:extLst>
              <c:ext xmlns:c16="http://schemas.microsoft.com/office/drawing/2014/chart" uri="{C3380CC4-5D6E-409C-BE32-E72D297353CC}">
                <c16:uniqueId val="{00000014-BE62-44FA-B32F-D173B289F6C6}"/>
              </c:ext>
            </c:extLst>
          </c:dPt>
          <c:dPt>
            <c:idx val="1"/>
            <c:bubble3D val="0"/>
            <c:spPr>
              <a:solidFill>
                <a:srgbClr val="177DA6"/>
              </a:solidFill>
              <a:ln>
                <a:noFill/>
              </a:ln>
              <a:effectLst/>
            </c:spPr>
            <c:extLst>
              <c:ext xmlns:c16="http://schemas.microsoft.com/office/drawing/2014/chart" uri="{C3380CC4-5D6E-409C-BE32-E72D297353CC}">
                <c16:uniqueId val="{00000016-BE62-44FA-B32F-D173B289F6C6}"/>
              </c:ext>
            </c:extLst>
          </c:dPt>
          <c:dPt>
            <c:idx val="2"/>
            <c:bubble3D val="0"/>
            <c:spPr>
              <a:solidFill>
                <a:srgbClr val="77869F"/>
              </a:solidFill>
              <a:ln>
                <a:noFill/>
              </a:ln>
              <a:effectLst/>
            </c:spPr>
            <c:extLst>
              <c:ext xmlns:c16="http://schemas.microsoft.com/office/drawing/2014/chart" uri="{C3380CC4-5D6E-409C-BE32-E72D297353CC}">
                <c16:uniqueId val="{00000018-BE62-44FA-B32F-D173B289F6C6}"/>
              </c:ext>
            </c:extLst>
          </c:dPt>
          <c:dPt>
            <c:idx val="3"/>
            <c:bubble3D val="0"/>
            <c:spPr>
              <a:solidFill>
                <a:srgbClr val="009DDB"/>
              </a:solidFill>
              <a:ln>
                <a:noFill/>
              </a:ln>
              <a:effectLst/>
            </c:spPr>
            <c:extLst>
              <c:ext xmlns:c16="http://schemas.microsoft.com/office/drawing/2014/chart" uri="{C3380CC4-5D6E-409C-BE32-E72D297353CC}">
                <c16:uniqueId val="{0000001A-BE62-44FA-B32F-D173B289F6C6}"/>
              </c:ext>
            </c:extLst>
          </c:dPt>
          <c:dPt>
            <c:idx val="4"/>
            <c:bubble3D val="0"/>
            <c:spPr>
              <a:solidFill>
                <a:srgbClr val="66C5EA"/>
              </a:solidFill>
              <a:ln>
                <a:noFill/>
              </a:ln>
              <a:effectLst/>
            </c:spPr>
            <c:extLst>
              <c:ext xmlns:c16="http://schemas.microsoft.com/office/drawing/2014/chart" uri="{C3380CC4-5D6E-409C-BE32-E72D297353CC}">
                <c16:uniqueId val="{0000001C-BE62-44FA-B32F-D173B289F6C6}"/>
              </c:ext>
            </c:extLst>
          </c:dPt>
          <c:dPt>
            <c:idx val="5"/>
            <c:bubble3D val="0"/>
            <c:spPr>
              <a:solidFill>
                <a:srgbClr val="AED2E0"/>
              </a:solidFill>
              <a:ln>
                <a:noFill/>
              </a:ln>
              <a:effectLst/>
            </c:spPr>
            <c:extLst>
              <c:ext xmlns:c16="http://schemas.microsoft.com/office/drawing/2014/chart" uri="{C3380CC4-5D6E-409C-BE32-E72D297353CC}">
                <c16:uniqueId val="{0000001E-BE62-44FA-B32F-D173B289F6C6}"/>
              </c:ext>
            </c:extLst>
          </c:dPt>
          <c:dPt>
            <c:idx val="6"/>
            <c:bubble3D val="0"/>
            <c:spPr>
              <a:solidFill>
                <a:srgbClr val="D8DDE4"/>
              </a:solidFill>
              <a:ln>
                <a:noFill/>
              </a:ln>
              <a:effectLst/>
            </c:spPr>
            <c:extLst>
              <c:ext xmlns:c16="http://schemas.microsoft.com/office/drawing/2014/chart" uri="{C3380CC4-5D6E-409C-BE32-E72D297353CC}">
                <c16:uniqueId val="{00000020-BE62-44FA-B32F-D173B289F6C6}"/>
              </c:ext>
            </c:extLst>
          </c:dPt>
          <c:dPt>
            <c:idx val="7"/>
            <c:bubble3D val="0"/>
            <c:spPr>
              <a:solidFill>
                <a:srgbClr val="FFFFFF"/>
              </a:solidFill>
              <a:ln>
                <a:noFill/>
              </a:ln>
              <a:effectLst/>
            </c:spPr>
            <c:extLst>
              <c:ext xmlns:c16="http://schemas.microsoft.com/office/drawing/2014/chart" uri="{C3380CC4-5D6E-409C-BE32-E72D297353CC}">
                <c16:uniqueId val="{00000022-BE62-44FA-B32F-D173B289F6C6}"/>
              </c:ext>
            </c:extLst>
          </c:dPt>
          <c:dPt>
            <c:idx val="8"/>
            <c:bubble3D val="0"/>
            <c:spPr>
              <a:solidFill>
                <a:srgbClr val="115F7E"/>
              </a:solidFill>
              <a:ln>
                <a:noFill/>
              </a:ln>
              <a:effectLst/>
            </c:spPr>
            <c:extLst>
              <c:ext xmlns:c16="http://schemas.microsoft.com/office/drawing/2014/chart" uri="{C3380CC4-5D6E-409C-BE32-E72D297353CC}">
                <c16:uniqueId val="{00000024-BE62-44FA-B32F-D173B289F6C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yriad Pro"/>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Examples!$B$37:$I$37</c:f>
              <c:numCache>
                <c:formatCode>General</c:formatCode>
                <c:ptCount val="8"/>
                <c:pt idx="0">
                  <c:v>39.39</c:v>
                </c:pt>
                <c:pt idx="1">
                  <c:v>32.020000000000003</c:v>
                </c:pt>
                <c:pt idx="2">
                  <c:v>21.6</c:v>
                </c:pt>
                <c:pt idx="3">
                  <c:v>7.01</c:v>
                </c:pt>
                <c:pt idx="4">
                  <c:v>3.36</c:v>
                </c:pt>
                <c:pt idx="5">
                  <c:v>12</c:v>
                </c:pt>
                <c:pt idx="6">
                  <c:v>6.6</c:v>
                </c:pt>
                <c:pt idx="7">
                  <c:v>15</c:v>
                </c:pt>
              </c:numCache>
            </c:numRef>
          </c:val>
          <c:extLst>
            <c:ext xmlns:c16="http://schemas.microsoft.com/office/drawing/2014/chart" uri="{C3380CC4-5D6E-409C-BE32-E72D297353CC}">
              <c16:uniqueId val="{00000025-BE62-44FA-B32F-D173B289F6C6}"/>
            </c:ext>
          </c:extLst>
        </c:ser>
        <c:ser>
          <c:idx val="2"/>
          <c:order val="2"/>
          <c:tx>
            <c:strRef>
              <c:f>Examples!$A$38</c:f>
              <c:strCache>
                <c:ptCount val="1"/>
                <c:pt idx="0">
                  <c:v>1988-89</c:v>
                </c:pt>
              </c:strCache>
            </c:strRef>
          </c:tx>
          <c:dPt>
            <c:idx val="0"/>
            <c:bubble3D val="0"/>
            <c:spPr>
              <a:solidFill>
                <a:srgbClr val="1C355E"/>
              </a:solidFill>
              <a:ln>
                <a:noFill/>
              </a:ln>
              <a:effectLst/>
            </c:spPr>
            <c:extLst>
              <c:ext xmlns:c16="http://schemas.microsoft.com/office/drawing/2014/chart" uri="{C3380CC4-5D6E-409C-BE32-E72D297353CC}">
                <c16:uniqueId val="{00000027-BE62-44FA-B32F-D173B289F6C6}"/>
              </c:ext>
            </c:extLst>
          </c:dPt>
          <c:dPt>
            <c:idx val="1"/>
            <c:bubble3D val="0"/>
            <c:spPr>
              <a:solidFill>
                <a:srgbClr val="177DA6"/>
              </a:solidFill>
              <a:ln>
                <a:noFill/>
              </a:ln>
              <a:effectLst/>
            </c:spPr>
            <c:extLst>
              <c:ext xmlns:c16="http://schemas.microsoft.com/office/drawing/2014/chart" uri="{C3380CC4-5D6E-409C-BE32-E72D297353CC}">
                <c16:uniqueId val="{00000029-BE62-44FA-B32F-D173B289F6C6}"/>
              </c:ext>
            </c:extLst>
          </c:dPt>
          <c:dPt>
            <c:idx val="2"/>
            <c:bubble3D val="0"/>
            <c:spPr>
              <a:solidFill>
                <a:srgbClr val="77869F"/>
              </a:solidFill>
              <a:ln>
                <a:noFill/>
              </a:ln>
              <a:effectLst/>
            </c:spPr>
            <c:extLst>
              <c:ext xmlns:c16="http://schemas.microsoft.com/office/drawing/2014/chart" uri="{C3380CC4-5D6E-409C-BE32-E72D297353CC}">
                <c16:uniqueId val="{0000002B-BE62-44FA-B32F-D173B289F6C6}"/>
              </c:ext>
            </c:extLst>
          </c:dPt>
          <c:dPt>
            <c:idx val="3"/>
            <c:bubble3D val="0"/>
            <c:spPr>
              <a:solidFill>
                <a:srgbClr val="009DDB"/>
              </a:solidFill>
              <a:ln>
                <a:noFill/>
              </a:ln>
              <a:effectLst/>
            </c:spPr>
            <c:extLst>
              <c:ext xmlns:c16="http://schemas.microsoft.com/office/drawing/2014/chart" uri="{C3380CC4-5D6E-409C-BE32-E72D297353CC}">
                <c16:uniqueId val="{0000002D-BE62-44FA-B32F-D173B289F6C6}"/>
              </c:ext>
            </c:extLst>
          </c:dPt>
          <c:dPt>
            <c:idx val="4"/>
            <c:bubble3D val="0"/>
            <c:spPr>
              <a:solidFill>
                <a:srgbClr val="66C5EA"/>
              </a:solidFill>
              <a:ln>
                <a:noFill/>
              </a:ln>
              <a:effectLst/>
            </c:spPr>
            <c:extLst>
              <c:ext xmlns:c16="http://schemas.microsoft.com/office/drawing/2014/chart" uri="{C3380CC4-5D6E-409C-BE32-E72D297353CC}">
                <c16:uniqueId val="{0000002F-BE62-44FA-B32F-D173B289F6C6}"/>
              </c:ext>
            </c:extLst>
          </c:dPt>
          <c:dPt>
            <c:idx val="5"/>
            <c:bubble3D val="0"/>
            <c:spPr>
              <a:solidFill>
                <a:srgbClr val="AED2E0"/>
              </a:solidFill>
              <a:ln>
                <a:noFill/>
              </a:ln>
              <a:effectLst/>
            </c:spPr>
            <c:extLst>
              <c:ext xmlns:c16="http://schemas.microsoft.com/office/drawing/2014/chart" uri="{C3380CC4-5D6E-409C-BE32-E72D297353CC}">
                <c16:uniqueId val="{00000031-BE62-44FA-B32F-D173B289F6C6}"/>
              </c:ext>
            </c:extLst>
          </c:dPt>
          <c:dPt>
            <c:idx val="6"/>
            <c:bubble3D val="0"/>
            <c:spPr>
              <a:solidFill>
                <a:srgbClr val="D8DDE4"/>
              </a:solidFill>
              <a:ln>
                <a:noFill/>
              </a:ln>
              <a:effectLst/>
            </c:spPr>
            <c:extLst>
              <c:ext xmlns:c16="http://schemas.microsoft.com/office/drawing/2014/chart" uri="{C3380CC4-5D6E-409C-BE32-E72D297353CC}">
                <c16:uniqueId val="{00000033-BE62-44FA-B32F-D173B289F6C6}"/>
              </c:ext>
            </c:extLst>
          </c:dPt>
          <c:dPt>
            <c:idx val="7"/>
            <c:bubble3D val="0"/>
            <c:spPr>
              <a:solidFill>
                <a:srgbClr val="FFFFFF"/>
              </a:solidFill>
              <a:ln>
                <a:noFill/>
              </a:ln>
              <a:effectLst/>
            </c:spPr>
            <c:extLst>
              <c:ext xmlns:c16="http://schemas.microsoft.com/office/drawing/2014/chart" uri="{C3380CC4-5D6E-409C-BE32-E72D297353CC}">
                <c16:uniqueId val="{00000035-BE62-44FA-B32F-D173B289F6C6}"/>
              </c:ext>
            </c:extLst>
          </c:dPt>
          <c:dPt>
            <c:idx val="8"/>
            <c:bubble3D val="0"/>
            <c:spPr>
              <a:solidFill>
                <a:srgbClr val="115F7E"/>
              </a:solidFill>
              <a:ln>
                <a:noFill/>
              </a:ln>
              <a:effectLst/>
            </c:spPr>
            <c:extLst>
              <c:ext xmlns:c16="http://schemas.microsoft.com/office/drawing/2014/chart" uri="{C3380CC4-5D6E-409C-BE32-E72D297353CC}">
                <c16:uniqueId val="{00000037-BE62-44FA-B32F-D173B289F6C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yriad Pro"/>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Examples!$B$38:$I$38</c:f>
              <c:numCache>
                <c:formatCode>General</c:formatCode>
                <c:ptCount val="8"/>
                <c:pt idx="0">
                  <c:v>42.78</c:v>
                </c:pt>
                <c:pt idx="1">
                  <c:v>29.91</c:v>
                </c:pt>
                <c:pt idx="2">
                  <c:v>18.350000000000001</c:v>
                </c:pt>
                <c:pt idx="3">
                  <c:v>6.33</c:v>
                </c:pt>
                <c:pt idx="4">
                  <c:v>2.63</c:v>
                </c:pt>
                <c:pt idx="5">
                  <c:v>14</c:v>
                </c:pt>
                <c:pt idx="6">
                  <c:v>5.7</c:v>
                </c:pt>
                <c:pt idx="7">
                  <c:v>16</c:v>
                </c:pt>
              </c:numCache>
            </c:numRef>
          </c:val>
          <c:extLst>
            <c:ext xmlns:c16="http://schemas.microsoft.com/office/drawing/2014/chart" uri="{C3380CC4-5D6E-409C-BE32-E72D297353CC}">
              <c16:uniqueId val="{00000038-BE62-44FA-B32F-D173B289F6C6}"/>
            </c:ext>
          </c:extLst>
        </c:ser>
        <c:ser>
          <c:idx val="3"/>
          <c:order val="3"/>
          <c:tx>
            <c:strRef>
              <c:f>Examples!$A$39</c:f>
              <c:strCache>
                <c:ptCount val="1"/>
                <c:pt idx="0">
                  <c:v>1993-94</c:v>
                </c:pt>
              </c:strCache>
            </c:strRef>
          </c:tx>
          <c:dPt>
            <c:idx val="0"/>
            <c:bubble3D val="0"/>
            <c:spPr>
              <a:solidFill>
                <a:srgbClr val="1C355E"/>
              </a:solidFill>
              <a:ln>
                <a:noFill/>
              </a:ln>
              <a:effectLst/>
            </c:spPr>
            <c:extLst>
              <c:ext xmlns:c16="http://schemas.microsoft.com/office/drawing/2014/chart" uri="{C3380CC4-5D6E-409C-BE32-E72D297353CC}">
                <c16:uniqueId val="{0000003A-BE62-44FA-B32F-D173B289F6C6}"/>
              </c:ext>
            </c:extLst>
          </c:dPt>
          <c:dPt>
            <c:idx val="1"/>
            <c:bubble3D val="0"/>
            <c:spPr>
              <a:solidFill>
                <a:srgbClr val="177DA6"/>
              </a:solidFill>
              <a:ln>
                <a:noFill/>
              </a:ln>
              <a:effectLst/>
            </c:spPr>
            <c:extLst>
              <c:ext xmlns:c16="http://schemas.microsoft.com/office/drawing/2014/chart" uri="{C3380CC4-5D6E-409C-BE32-E72D297353CC}">
                <c16:uniqueId val="{0000003C-BE62-44FA-B32F-D173B289F6C6}"/>
              </c:ext>
            </c:extLst>
          </c:dPt>
          <c:dPt>
            <c:idx val="2"/>
            <c:bubble3D val="0"/>
            <c:spPr>
              <a:solidFill>
                <a:srgbClr val="77869F"/>
              </a:solidFill>
              <a:ln>
                <a:noFill/>
              </a:ln>
              <a:effectLst/>
            </c:spPr>
            <c:extLst>
              <c:ext xmlns:c16="http://schemas.microsoft.com/office/drawing/2014/chart" uri="{C3380CC4-5D6E-409C-BE32-E72D297353CC}">
                <c16:uniqueId val="{0000003E-BE62-44FA-B32F-D173B289F6C6}"/>
              </c:ext>
            </c:extLst>
          </c:dPt>
          <c:dPt>
            <c:idx val="3"/>
            <c:bubble3D val="0"/>
            <c:spPr>
              <a:solidFill>
                <a:srgbClr val="009DDB"/>
              </a:solidFill>
              <a:ln>
                <a:noFill/>
              </a:ln>
              <a:effectLst/>
            </c:spPr>
            <c:extLst>
              <c:ext xmlns:c16="http://schemas.microsoft.com/office/drawing/2014/chart" uri="{C3380CC4-5D6E-409C-BE32-E72D297353CC}">
                <c16:uniqueId val="{00000040-BE62-44FA-B32F-D173B289F6C6}"/>
              </c:ext>
            </c:extLst>
          </c:dPt>
          <c:dPt>
            <c:idx val="4"/>
            <c:bubble3D val="0"/>
            <c:spPr>
              <a:solidFill>
                <a:srgbClr val="66C5EA"/>
              </a:solidFill>
              <a:ln>
                <a:noFill/>
              </a:ln>
              <a:effectLst/>
            </c:spPr>
            <c:extLst>
              <c:ext xmlns:c16="http://schemas.microsoft.com/office/drawing/2014/chart" uri="{C3380CC4-5D6E-409C-BE32-E72D297353CC}">
                <c16:uniqueId val="{00000042-BE62-44FA-B32F-D173B289F6C6}"/>
              </c:ext>
            </c:extLst>
          </c:dPt>
          <c:dPt>
            <c:idx val="5"/>
            <c:bubble3D val="0"/>
            <c:spPr>
              <a:solidFill>
                <a:srgbClr val="AED2E0"/>
              </a:solidFill>
              <a:ln>
                <a:noFill/>
              </a:ln>
              <a:effectLst/>
            </c:spPr>
            <c:extLst>
              <c:ext xmlns:c16="http://schemas.microsoft.com/office/drawing/2014/chart" uri="{C3380CC4-5D6E-409C-BE32-E72D297353CC}">
                <c16:uniqueId val="{00000044-BE62-44FA-B32F-D173B289F6C6}"/>
              </c:ext>
            </c:extLst>
          </c:dPt>
          <c:dPt>
            <c:idx val="6"/>
            <c:bubble3D val="0"/>
            <c:spPr>
              <a:solidFill>
                <a:srgbClr val="D8DDE4"/>
              </a:solidFill>
              <a:ln>
                <a:noFill/>
              </a:ln>
              <a:effectLst/>
            </c:spPr>
            <c:extLst>
              <c:ext xmlns:c16="http://schemas.microsoft.com/office/drawing/2014/chart" uri="{C3380CC4-5D6E-409C-BE32-E72D297353CC}">
                <c16:uniqueId val="{00000046-BE62-44FA-B32F-D173B289F6C6}"/>
              </c:ext>
            </c:extLst>
          </c:dPt>
          <c:dPt>
            <c:idx val="7"/>
            <c:bubble3D val="0"/>
            <c:spPr>
              <a:solidFill>
                <a:srgbClr val="FFFFFF"/>
              </a:solidFill>
              <a:ln>
                <a:noFill/>
              </a:ln>
              <a:effectLst/>
            </c:spPr>
            <c:extLst>
              <c:ext xmlns:c16="http://schemas.microsoft.com/office/drawing/2014/chart" uri="{C3380CC4-5D6E-409C-BE32-E72D297353CC}">
                <c16:uniqueId val="{00000048-BE62-44FA-B32F-D173B289F6C6}"/>
              </c:ext>
            </c:extLst>
          </c:dPt>
          <c:dPt>
            <c:idx val="8"/>
            <c:bubble3D val="0"/>
            <c:spPr>
              <a:solidFill>
                <a:srgbClr val="115F7E"/>
              </a:solidFill>
              <a:ln>
                <a:noFill/>
              </a:ln>
              <a:effectLst/>
            </c:spPr>
            <c:extLst>
              <c:ext xmlns:c16="http://schemas.microsoft.com/office/drawing/2014/chart" uri="{C3380CC4-5D6E-409C-BE32-E72D297353CC}">
                <c16:uniqueId val="{0000004A-BE62-44FA-B32F-D173B289F6C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yriad Pro"/>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Examples!$B$39:$I$39</c:f>
              <c:numCache>
                <c:formatCode>General</c:formatCode>
                <c:ptCount val="8"/>
                <c:pt idx="0">
                  <c:v>42.13</c:v>
                </c:pt>
                <c:pt idx="1">
                  <c:v>26.53</c:v>
                </c:pt>
                <c:pt idx="2">
                  <c:v>21.6</c:v>
                </c:pt>
                <c:pt idx="3">
                  <c:v>7.01</c:v>
                </c:pt>
                <c:pt idx="4">
                  <c:v>2.72</c:v>
                </c:pt>
                <c:pt idx="5">
                  <c:v>16</c:v>
                </c:pt>
                <c:pt idx="6">
                  <c:v>3</c:v>
                </c:pt>
                <c:pt idx="7">
                  <c:v>17</c:v>
                </c:pt>
              </c:numCache>
            </c:numRef>
          </c:val>
          <c:extLst>
            <c:ext xmlns:c16="http://schemas.microsoft.com/office/drawing/2014/chart" uri="{C3380CC4-5D6E-409C-BE32-E72D297353CC}">
              <c16:uniqueId val="{0000004B-BE62-44FA-B32F-D173B289F6C6}"/>
            </c:ext>
          </c:extLst>
        </c:ser>
        <c:ser>
          <c:idx val="4"/>
          <c:order val="4"/>
          <c:tx>
            <c:strRef>
              <c:f>Examples!$A$40</c:f>
              <c:strCache>
                <c:ptCount val="1"/>
                <c:pt idx="0">
                  <c:v>1996-97</c:v>
                </c:pt>
              </c:strCache>
            </c:strRef>
          </c:tx>
          <c:dPt>
            <c:idx val="0"/>
            <c:bubble3D val="0"/>
            <c:spPr>
              <a:solidFill>
                <a:srgbClr val="1C355E"/>
              </a:solidFill>
              <a:ln>
                <a:noFill/>
              </a:ln>
              <a:effectLst/>
            </c:spPr>
            <c:extLst>
              <c:ext xmlns:c16="http://schemas.microsoft.com/office/drawing/2014/chart" uri="{C3380CC4-5D6E-409C-BE32-E72D297353CC}">
                <c16:uniqueId val="{0000004D-BE62-44FA-B32F-D173B289F6C6}"/>
              </c:ext>
            </c:extLst>
          </c:dPt>
          <c:dPt>
            <c:idx val="1"/>
            <c:bubble3D val="0"/>
            <c:spPr>
              <a:solidFill>
                <a:srgbClr val="177DA6"/>
              </a:solidFill>
              <a:ln>
                <a:noFill/>
              </a:ln>
              <a:effectLst/>
            </c:spPr>
            <c:extLst>
              <c:ext xmlns:c16="http://schemas.microsoft.com/office/drawing/2014/chart" uri="{C3380CC4-5D6E-409C-BE32-E72D297353CC}">
                <c16:uniqueId val="{0000004F-BE62-44FA-B32F-D173B289F6C6}"/>
              </c:ext>
            </c:extLst>
          </c:dPt>
          <c:dPt>
            <c:idx val="2"/>
            <c:bubble3D val="0"/>
            <c:spPr>
              <a:solidFill>
                <a:srgbClr val="77869F"/>
              </a:solidFill>
              <a:ln>
                <a:noFill/>
              </a:ln>
              <a:effectLst/>
            </c:spPr>
            <c:extLst>
              <c:ext xmlns:c16="http://schemas.microsoft.com/office/drawing/2014/chart" uri="{C3380CC4-5D6E-409C-BE32-E72D297353CC}">
                <c16:uniqueId val="{00000051-BE62-44FA-B32F-D173B289F6C6}"/>
              </c:ext>
            </c:extLst>
          </c:dPt>
          <c:dPt>
            <c:idx val="3"/>
            <c:bubble3D val="0"/>
            <c:spPr>
              <a:solidFill>
                <a:srgbClr val="009DDB"/>
              </a:solidFill>
              <a:ln>
                <a:noFill/>
              </a:ln>
              <a:effectLst/>
            </c:spPr>
            <c:extLst>
              <c:ext xmlns:c16="http://schemas.microsoft.com/office/drawing/2014/chart" uri="{C3380CC4-5D6E-409C-BE32-E72D297353CC}">
                <c16:uniqueId val="{00000053-BE62-44FA-B32F-D173B289F6C6}"/>
              </c:ext>
            </c:extLst>
          </c:dPt>
          <c:dPt>
            <c:idx val="4"/>
            <c:bubble3D val="0"/>
            <c:spPr>
              <a:solidFill>
                <a:srgbClr val="66C5EA"/>
              </a:solidFill>
              <a:ln>
                <a:noFill/>
              </a:ln>
              <a:effectLst/>
            </c:spPr>
            <c:extLst>
              <c:ext xmlns:c16="http://schemas.microsoft.com/office/drawing/2014/chart" uri="{C3380CC4-5D6E-409C-BE32-E72D297353CC}">
                <c16:uniqueId val="{00000055-BE62-44FA-B32F-D173B289F6C6}"/>
              </c:ext>
            </c:extLst>
          </c:dPt>
          <c:dPt>
            <c:idx val="5"/>
            <c:bubble3D val="0"/>
            <c:spPr>
              <a:solidFill>
                <a:srgbClr val="AED2E0"/>
              </a:solidFill>
              <a:ln>
                <a:noFill/>
              </a:ln>
              <a:effectLst/>
            </c:spPr>
            <c:extLst>
              <c:ext xmlns:c16="http://schemas.microsoft.com/office/drawing/2014/chart" uri="{C3380CC4-5D6E-409C-BE32-E72D297353CC}">
                <c16:uniqueId val="{00000057-BE62-44FA-B32F-D173B289F6C6}"/>
              </c:ext>
            </c:extLst>
          </c:dPt>
          <c:dPt>
            <c:idx val="6"/>
            <c:bubble3D val="0"/>
            <c:spPr>
              <a:solidFill>
                <a:srgbClr val="D8DDE4"/>
              </a:solidFill>
              <a:ln>
                <a:noFill/>
              </a:ln>
              <a:effectLst/>
            </c:spPr>
            <c:extLst>
              <c:ext xmlns:c16="http://schemas.microsoft.com/office/drawing/2014/chart" uri="{C3380CC4-5D6E-409C-BE32-E72D297353CC}">
                <c16:uniqueId val="{00000059-BE62-44FA-B32F-D173B289F6C6}"/>
              </c:ext>
            </c:extLst>
          </c:dPt>
          <c:dPt>
            <c:idx val="7"/>
            <c:bubble3D val="0"/>
            <c:spPr>
              <a:solidFill>
                <a:srgbClr val="FFFFFF"/>
              </a:solidFill>
              <a:ln>
                <a:noFill/>
              </a:ln>
              <a:effectLst/>
            </c:spPr>
            <c:extLst>
              <c:ext xmlns:c16="http://schemas.microsoft.com/office/drawing/2014/chart" uri="{C3380CC4-5D6E-409C-BE32-E72D297353CC}">
                <c16:uniqueId val="{0000005B-BE62-44FA-B32F-D173B289F6C6}"/>
              </c:ext>
            </c:extLst>
          </c:dPt>
          <c:dPt>
            <c:idx val="8"/>
            <c:bubble3D val="0"/>
            <c:spPr>
              <a:solidFill>
                <a:srgbClr val="115F7E"/>
              </a:solidFill>
              <a:ln>
                <a:noFill/>
              </a:ln>
              <a:effectLst/>
            </c:spPr>
            <c:extLst>
              <c:ext xmlns:c16="http://schemas.microsoft.com/office/drawing/2014/chart" uri="{C3380CC4-5D6E-409C-BE32-E72D297353CC}">
                <c16:uniqueId val="{0000005D-BE62-44FA-B32F-D173B289F6C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yriad Pro"/>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Examples!$B$40:$I$40</c:f>
              <c:numCache>
                <c:formatCode>General</c:formatCode>
                <c:ptCount val="8"/>
                <c:pt idx="0">
                  <c:v>41.69</c:v>
                </c:pt>
                <c:pt idx="1">
                  <c:v>24.76</c:v>
                </c:pt>
                <c:pt idx="2">
                  <c:v>23.98</c:v>
                </c:pt>
                <c:pt idx="3">
                  <c:v>7</c:v>
                </c:pt>
                <c:pt idx="4">
                  <c:v>2.57</c:v>
                </c:pt>
                <c:pt idx="5">
                  <c:v>18</c:v>
                </c:pt>
                <c:pt idx="6">
                  <c:v>3.5</c:v>
                </c:pt>
                <c:pt idx="7">
                  <c:v>19</c:v>
                </c:pt>
              </c:numCache>
            </c:numRef>
          </c:val>
          <c:extLst>
            <c:ext xmlns:c16="http://schemas.microsoft.com/office/drawing/2014/chart" uri="{C3380CC4-5D6E-409C-BE32-E72D297353CC}">
              <c16:uniqueId val="{0000005E-BE62-44FA-B32F-D173B289F6C6}"/>
            </c:ext>
          </c:extLst>
        </c:ser>
        <c:ser>
          <c:idx val="5"/>
          <c:order val="5"/>
          <c:tx>
            <c:strRef>
              <c:f>Examples!$A$41</c:f>
              <c:strCache>
                <c:ptCount val="1"/>
                <c:pt idx="0">
                  <c:v>1997-98</c:v>
                </c:pt>
              </c:strCache>
            </c:strRef>
          </c:tx>
          <c:dPt>
            <c:idx val="0"/>
            <c:bubble3D val="0"/>
            <c:spPr>
              <a:solidFill>
                <a:srgbClr val="1C355E"/>
              </a:solidFill>
              <a:ln>
                <a:noFill/>
              </a:ln>
              <a:effectLst/>
            </c:spPr>
            <c:extLst>
              <c:ext xmlns:c16="http://schemas.microsoft.com/office/drawing/2014/chart" uri="{C3380CC4-5D6E-409C-BE32-E72D297353CC}">
                <c16:uniqueId val="{00000060-BE62-44FA-B32F-D173B289F6C6}"/>
              </c:ext>
            </c:extLst>
          </c:dPt>
          <c:dPt>
            <c:idx val="1"/>
            <c:bubble3D val="0"/>
            <c:spPr>
              <a:solidFill>
                <a:srgbClr val="177DA6"/>
              </a:solidFill>
              <a:ln>
                <a:noFill/>
              </a:ln>
              <a:effectLst/>
            </c:spPr>
            <c:extLst>
              <c:ext xmlns:c16="http://schemas.microsoft.com/office/drawing/2014/chart" uri="{C3380CC4-5D6E-409C-BE32-E72D297353CC}">
                <c16:uniqueId val="{00000062-BE62-44FA-B32F-D173B289F6C6}"/>
              </c:ext>
            </c:extLst>
          </c:dPt>
          <c:dPt>
            <c:idx val="2"/>
            <c:bubble3D val="0"/>
            <c:spPr>
              <a:solidFill>
                <a:srgbClr val="77869F"/>
              </a:solidFill>
              <a:ln>
                <a:noFill/>
              </a:ln>
              <a:effectLst/>
            </c:spPr>
            <c:extLst>
              <c:ext xmlns:c16="http://schemas.microsoft.com/office/drawing/2014/chart" uri="{C3380CC4-5D6E-409C-BE32-E72D297353CC}">
                <c16:uniqueId val="{00000064-BE62-44FA-B32F-D173B289F6C6}"/>
              </c:ext>
            </c:extLst>
          </c:dPt>
          <c:dPt>
            <c:idx val="3"/>
            <c:bubble3D val="0"/>
            <c:spPr>
              <a:solidFill>
                <a:srgbClr val="009DDB"/>
              </a:solidFill>
              <a:ln>
                <a:noFill/>
              </a:ln>
              <a:effectLst/>
            </c:spPr>
            <c:extLst>
              <c:ext xmlns:c16="http://schemas.microsoft.com/office/drawing/2014/chart" uri="{C3380CC4-5D6E-409C-BE32-E72D297353CC}">
                <c16:uniqueId val="{00000066-BE62-44FA-B32F-D173B289F6C6}"/>
              </c:ext>
            </c:extLst>
          </c:dPt>
          <c:dPt>
            <c:idx val="4"/>
            <c:bubble3D val="0"/>
            <c:spPr>
              <a:solidFill>
                <a:srgbClr val="66C5EA"/>
              </a:solidFill>
              <a:ln>
                <a:noFill/>
              </a:ln>
              <a:effectLst/>
            </c:spPr>
            <c:extLst>
              <c:ext xmlns:c16="http://schemas.microsoft.com/office/drawing/2014/chart" uri="{C3380CC4-5D6E-409C-BE32-E72D297353CC}">
                <c16:uniqueId val="{00000068-BE62-44FA-B32F-D173B289F6C6}"/>
              </c:ext>
            </c:extLst>
          </c:dPt>
          <c:dPt>
            <c:idx val="5"/>
            <c:bubble3D val="0"/>
            <c:spPr>
              <a:solidFill>
                <a:srgbClr val="AED2E0"/>
              </a:solidFill>
              <a:ln>
                <a:noFill/>
              </a:ln>
              <a:effectLst/>
            </c:spPr>
            <c:extLst>
              <c:ext xmlns:c16="http://schemas.microsoft.com/office/drawing/2014/chart" uri="{C3380CC4-5D6E-409C-BE32-E72D297353CC}">
                <c16:uniqueId val="{0000006A-BE62-44FA-B32F-D173B289F6C6}"/>
              </c:ext>
            </c:extLst>
          </c:dPt>
          <c:dPt>
            <c:idx val="6"/>
            <c:bubble3D val="0"/>
            <c:spPr>
              <a:solidFill>
                <a:srgbClr val="D8DDE4"/>
              </a:solidFill>
              <a:ln>
                <a:noFill/>
              </a:ln>
              <a:effectLst/>
            </c:spPr>
            <c:extLst>
              <c:ext xmlns:c16="http://schemas.microsoft.com/office/drawing/2014/chart" uri="{C3380CC4-5D6E-409C-BE32-E72D297353CC}">
                <c16:uniqueId val="{0000006C-BE62-44FA-B32F-D173B289F6C6}"/>
              </c:ext>
            </c:extLst>
          </c:dPt>
          <c:dPt>
            <c:idx val="7"/>
            <c:bubble3D val="0"/>
            <c:spPr>
              <a:solidFill>
                <a:srgbClr val="FFFFFF"/>
              </a:solidFill>
              <a:ln>
                <a:noFill/>
              </a:ln>
              <a:effectLst/>
            </c:spPr>
            <c:extLst>
              <c:ext xmlns:c16="http://schemas.microsoft.com/office/drawing/2014/chart" uri="{C3380CC4-5D6E-409C-BE32-E72D297353CC}">
                <c16:uniqueId val="{0000006E-BE62-44FA-B32F-D173B289F6C6}"/>
              </c:ext>
            </c:extLst>
          </c:dPt>
          <c:dPt>
            <c:idx val="8"/>
            <c:bubble3D val="0"/>
            <c:spPr>
              <a:solidFill>
                <a:srgbClr val="115F7E"/>
              </a:solidFill>
              <a:ln>
                <a:noFill/>
              </a:ln>
              <a:effectLst/>
            </c:spPr>
            <c:extLst>
              <c:ext xmlns:c16="http://schemas.microsoft.com/office/drawing/2014/chart" uri="{C3380CC4-5D6E-409C-BE32-E72D297353CC}">
                <c16:uniqueId val="{00000070-BE62-44FA-B32F-D173B289F6C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yriad Pro"/>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Examples!$B$41:$I$41</c:f>
              <c:numCache>
                <c:formatCode>General</c:formatCode>
                <c:ptCount val="8"/>
                <c:pt idx="0">
                  <c:v>39.39</c:v>
                </c:pt>
                <c:pt idx="1">
                  <c:v>32.020000000000003</c:v>
                </c:pt>
                <c:pt idx="2">
                  <c:v>21.6</c:v>
                </c:pt>
                <c:pt idx="3">
                  <c:v>7.01</c:v>
                </c:pt>
                <c:pt idx="4">
                  <c:v>3.36</c:v>
                </c:pt>
                <c:pt idx="5">
                  <c:v>12</c:v>
                </c:pt>
                <c:pt idx="6">
                  <c:v>3.8</c:v>
                </c:pt>
                <c:pt idx="7">
                  <c:v>13</c:v>
                </c:pt>
              </c:numCache>
            </c:numRef>
          </c:val>
          <c:extLst>
            <c:ext xmlns:c16="http://schemas.microsoft.com/office/drawing/2014/chart" uri="{C3380CC4-5D6E-409C-BE32-E72D297353CC}">
              <c16:uniqueId val="{00000071-BE62-44FA-B32F-D173B289F6C6}"/>
            </c:ext>
          </c:extLst>
        </c:ser>
        <c:ser>
          <c:idx val="6"/>
          <c:order val="6"/>
          <c:tx>
            <c:strRef>
              <c:f>Examples!$A$42</c:f>
              <c:strCache>
                <c:ptCount val="1"/>
                <c:pt idx="0">
                  <c:v>1998-99</c:v>
                </c:pt>
              </c:strCache>
            </c:strRef>
          </c:tx>
          <c:dPt>
            <c:idx val="0"/>
            <c:bubble3D val="0"/>
            <c:spPr>
              <a:solidFill>
                <a:srgbClr val="1C355E"/>
              </a:solidFill>
              <a:ln>
                <a:noFill/>
              </a:ln>
              <a:effectLst/>
            </c:spPr>
            <c:extLst>
              <c:ext xmlns:c16="http://schemas.microsoft.com/office/drawing/2014/chart" uri="{C3380CC4-5D6E-409C-BE32-E72D297353CC}">
                <c16:uniqueId val="{00000073-BE62-44FA-B32F-D173B289F6C6}"/>
              </c:ext>
            </c:extLst>
          </c:dPt>
          <c:dPt>
            <c:idx val="1"/>
            <c:bubble3D val="0"/>
            <c:spPr>
              <a:solidFill>
                <a:srgbClr val="177DA6"/>
              </a:solidFill>
              <a:ln>
                <a:noFill/>
              </a:ln>
              <a:effectLst/>
            </c:spPr>
            <c:extLst>
              <c:ext xmlns:c16="http://schemas.microsoft.com/office/drawing/2014/chart" uri="{C3380CC4-5D6E-409C-BE32-E72D297353CC}">
                <c16:uniqueId val="{00000075-BE62-44FA-B32F-D173B289F6C6}"/>
              </c:ext>
            </c:extLst>
          </c:dPt>
          <c:dPt>
            <c:idx val="2"/>
            <c:bubble3D val="0"/>
            <c:spPr>
              <a:solidFill>
                <a:srgbClr val="77869F"/>
              </a:solidFill>
              <a:ln>
                <a:noFill/>
              </a:ln>
              <a:effectLst/>
            </c:spPr>
            <c:extLst>
              <c:ext xmlns:c16="http://schemas.microsoft.com/office/drawing/2014/chart" uri="{C3380CC4-5D6E-409C-BE32-E72D297353CC}">
                <c16:uniqueId val="{00000077-BE62-44FA-B32F-D173B289F6C6}"/>
              </c:ext>
            </c:extLst>
          </c:dPt>
          <c:dPt>
            <c:idx val="3"/>
            <c:bubble3D val="0"/>
            <c:spPr>
              <a:solidFill>
                <a:srgbClr val="009DDB"/>
              </a:solidFill>
              <a:ln>
                <a:noFill/>
              </a:ln>
              <a:effectLst/>
            </c:spPr>
            <c:extLst>
              <c:ext xmlns:c16="http://schemas.microsoft.com/office/drawing/2014/chart" uri="{C3380CC4-5D6E-409C-BE32-E72D297353CC}">
                <c16:uniqueId val="{00000079-BE62-44FA-B32F-D173B289F6C6}"/>
              </c:ext>
            </c:extLst>
          </c:dPt>
          <c:dPt>
            <c:idx val="4"/>
            <c:bubble3D val="0"/>
            <c:spPr>
              <a:solidFill>
                <a:srgbClr val="66C5EA"/>
              </a:solidFill>
              <a:ln>
                <a:noFill/>
              </a:ln>
              <a:effectLst/>
            </c:spPr>
            <c:extLst>
              <c:ext xmlns:c16="http://schemas.microsoft.com/office/drawing/2014/chart" uri="{C3380CC4-5D6E-409C-BE32-E72D297353CC}">
                <c16:uniqueId val="{0000007B-BE62-44FA-B32F-D173B289F6C6}"/>
              </c:ext>
            </c:extLst>
          </c:dPt>
          <c:dPt>
            <c:idx val="5"/>
            <c:bubble3D val="0"/>
            <c:spPr>
              <a:solidFill>
                <a:srgbClr val="AED2E0"/>
              </a:solidFill>
              <a:ln>
                <a:noFill/>
              </a:ln>
              <a:effectLst/>
            </c:spPr>
            <c:extLst>
              <c:ext xmlns:c16="http://schemas.microsoft.com/office/drawing/2014/chart" uri="{C3380CC4-5D6E-409C-BE32-E72D297353CC}">
                <c16:uniqueId val="{0000007D-BE62-44FA-B32F-D173B289F6C6}"/>
              </c:ext>
            </c:extLst>
          </c:dPt>
          <c:dPt>
            <c:idx val="6"/>
            <c:bubble3D val="0"/>
            <c:spPr>
              <a:solidFill>
                <a:srgbClr val="D8DDE4"/>
              </a:solidFill>
              <a:ln>
                <a:noFill/>
              </a:ln>
              <a:effectLst/>
            </c:spPr>
            <c:extLst>
              <c:ext xmlns:c16="http://schemas.microsoft.com/office/drawing/2014/chart" uri="{C3380CC4-5D6E-409C-BE32-E72D297353CC}">
                <c16:uniqueId val="{0000007F-BE62-44FA-B32F-D173B289F6C6}"/>
              </c:ext>
            </c:extLst>
          </c:dPt>
          <c:dPt>
            <c:idx val="7"/>
            <c:bubble3D val="0"/>
            <c:spPr>
              <a:solidFill>
                <a:srgbClr val="FFFFFF"/>
              </a:solidFill>
              <a:ln>
                <a:noFill/>
              </a:ln>
              <a:effectLst/>
            </c:spPr>
            <c:extLst>
              <c:ext xmlns:c16="http://schemas.microsoft.com/office/drawing/2014/chart" uri="{C3380CC4-5D6E-409C-BE32-E72D297353CC}">
                <c16:uniqueId val="{00000081-BE62-44FA-B32F-D173B289F6C6}"/>
              </c:ext>
            </c:extLst>
          </c:dPt>
          <c:dPt>
            <c:idx val="8"/>
            <c:bubble3D val="0"/>
            <c:spPr>
              <a:solidFill>
                <a:srgbClr val="115F7E"/>
              </a:solidFill>
              <a:ln>
                <a:noFill/>
              </a:ln>
              <a:effectLst/>
            </c:spPr>
            <c:extLst>
              <c:ext xmlns:c16="http://schemas.microsoft.com/office/drawing/2014/chart" uri="{C3380CC4-5D6E-409C-BE32-E72D297353CC}">
                <c16:uniqueId val="{00000083-BE62-44FA-B32F-D173B289F6C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yriad Pro"/>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Examples!$B$42:$I$42</c:f>
              <c:numCache>
                <c:formatCode>General</c:formatCode>
                <c:ptCount val="8"/>
                <c:pt idx="0">
                  <c:v>42.13</c:v>
                </c:pt>
                <c:pt idx="1">
                  <c:v>26.53</c:v>
                </c:pt>
                <c:pt idx="2">
                  <c:v>21.6</c:v>
                </c:pt>
                <c:pt idx="3">
                  <c:v>7.01</c:v>
                </c:pt>
                <c:pt idx="4">
                  <c:v>2.72</c:v>
                </c:pt>
                <c:pt idx="5">
                  <c:v>16</c:v>
                </c:pt>
                <c:pt idx="6">
                  <c:v>3.2</c:v>
                </c:pt>
                <c:pt idx="7">
                  <c:v>18</c:v>
                </c:pt>
              </c:numCache>
            </c:numRef>
          </c:val>
          <c:extLst>
            <c:ext xmlns:c16="http://schemas.microsoft.com/office/drawing/2014/chart" uri="{C3380CC4-5D6E-409C-BE32-E72D297353CC}">
              <c16:uniqueId val="{00000084-BE62-44FA-B32F-D173B289F6C6}"/>
            </c:ext>
          </c:extLst>
        </c:ser>
        <c:ser>
          <c:idx val="7"/>
          <c:order val="7"/>
          <c:tx>
            <c:strRef>
              <c:f>Examples!$A$43</c:f>
              <c:strCache>
                <c:ptCount val="1"/>
                <c:pt idx="0">
                  <c:v>1999-00</c:v>
                </c:pt>
              </c:strCache>
            </c:strRef>
          </c:tx>
          <c:dPt>
            <c:idx val="0"/>
            <c:bubble3D val="0"/>
            <c:spPr>
              <a:solidFill>
                <a:srgbClr val="1C355E"/>
              </a:solidFill>
              <a:ln>
                <a:noFill/>
              </a:ln>
              <a:effectLst/>
            </c:spPr>
            <c:extLst>
              <c:ext xmlns:c16="http://schemas.microsoft.com/office/drawing/2014/chart" uri="{C3380CC4-5D6E-409C-BE32-E72D297353CC}">
                <c16:uniqueId val="{00000086-BE62-44FA-B32F-D173B289F6C6}"/>
              </c:ext>
            </c:extLst>
          </c:dPt>
          <c:dPt>
            <c:idx val="1"/>
            <c:bubble3D val="0"/>
            <c:spPr>
              <a:solidFill>
                <a:srgbClr val="177DA6"/>
              </a:solidFill>
              <a:ln>
                <a:noFill/>
              </a:ln>
              <a:effectLst/>
            </c:spPr>
            <c:extLst>
              <c:ext xmlns:c16="http://schemas.microsoft.com/office/drawing/2014/chart" uri="{C3380CC4-5D6E-409C-BE32-E72D297353CC}">
                <c16:uniqueId val="{00000088-BE62-44FA-B32F-D173B289F6C6}"/>
              </c:ext>
            </c:extLst>
          </c:dPt>
          <c:dPt>
            <c:idx val="2"/>
            <c:bubble3D val="0"/>
            <c:spPr>
              <a:solidFill>
                <a:srgbClr val="77869F"/>
              </a:solidFill>
              <a:ln>
                <a:noFill/>
              </a:ln>
              <a:effectLst/>
            </c:spPr>
            <c:extLst>
              <c:ext xmlns:c16="http://schemas.microsoft.com/office/drawing/2014/chart" uri="{C3380CC4-5D6E-409C-BE32-E72D297353CC}">
                <c16:uniqueId val="{0000008A-BE62-44FA-B32F-D173B289F6C6}"/>
              </c:ext>
            </c:extLst>
          </c:dPt>
          <c:dPt>
            <c:idx val="3"/>
            <c:bubble3D val="0"/>
            <c:spPr>
              <a:solidFill>
                <a:srgbClr val="009DDB"/>
              </a:solidFill>
              <a:ln>
                <a:noFill/>
              </a:ln>
              <a:effectLst/>
            </c:spPr>
            <c:extLst>
              <c:ext xmlns:c16="http://schemas.microsoft.com/office/drawing/2014/chart" uri="{C3380CC4-5D6E-409C-BE32-E72D297353CC}">
                <c16:uniqueId val="{0000008C-BE62-44FA-B32F-D173B289F6C6}"/>
              </c:ext>
            </c:extLst>
          </c:dPt>
          <c:dPt>
            <c:idx val="4"/>
            <c:bubble3D val="0"/>
            <c:spPr>
              <a:solidFill>
                <a:srgbClr val="66C5EA"/>
              </a:solidFill>
              <a:ln>
                <a:noFill/>
              </a:ln>
              <a:effectLst/>
            </c:spPr>
            <c:extLst>
              <c:ext xmlns:c16="http://schemas.microsoft.com/office/drawing/2014/chart" uri="{C3380CC4-5D6E-409C-BE32-E72D297353CC}">
                <c16:uniqueId val="{0000008E-BE62-44FA-B32F-D173B289F6C6}"/>
              </c:ext>
            </c:extLst>
          </c:dPt>
          <c:dPt>
            <c:idx val="5"/>
            <c:bubble3D val="0"/>
            <c:spPr>
              <a:solidFill>
                <a:srgbClr val="AED2E0"/>
              </a:solidFill>
              <a:ln>
                <a:noFill/>
              </a:ln>
              <a:effectLst/>
            </c:spPr>
            <c:extLst>
              <c:ext xmlns:c16="http://schemas.microsoft.com/office/drawing/2014/chart" uri="{C3380CC4-5D6E-409C-BE32-E72D297353CC}">
                <c16:uniqueId val="{00000090-BE62-44FA-B32F-D173B289F6C6}"/>
              </c:ext>
            </c:extLst>
          </c:dPt>
          <c:dPt>
            <c:idx val="6"/>
            <c:bubble3D val="0"/>
            <c:spPr>
              <a:solidFill>
                <a:srgbClr val="D8DDE4"/>
              </a:solidFill>
              <a:ln>
                <a:noFill/>
              </a:ln>
              <a:effectLst/>
            </c:spPr>
            <c:extLst>
              <c:ext xmlns:c16="http://schemas.microsoft.com/office/drawing/2014/chart" uri="{C3380CC4-5D6E-409C-BE32-E72D297353CC}">
                <c16:uniqueId val="{00000092-BE62-44FA-B32F-D173B289F6C6}"/>
              </c:ext>
            </c:extLst>
          </c:dPt>
          <c:dPt>
            <c:idx val="7"/>
            <c:bubble3D val="0"/>
            <c:spPr>
              <a:solidFill>
                <a:srgbClr val="FFFFFF"/>
              </a:solidFill>
              <a:ln>
                <a:noFill/>
              </a:ln>
              <a:effectLst/>
            </c:spPr>
            <c:extLst>
              <c:ext xmlns:c16="http://schemas.microsoft.com/office/drawing/2014/chart" uri="{C3380CC4-5D6E-409C-BE32-E72D297353CC}">
                <c16:uniqueId val="{00000094-BE62-44FA-B32F-D173B289F6C6}"/>
              </c:ext>
            </c:extLst>
          </c:dPt>
          <c:dPt>
            <c:idx val="8"/>
            <c:bubble3D val="0"/>
            <c:spPr>
              <a:solidFill>
                <a:srgbClr val="115F7E"/>
              </a:solidFill>
              <a:ln>
                <a:noFill/>
              </a:ln>
              <a:effectLst/>
            </c:spPr>
            <c:extLst>
              <c:ext xmlns:c16="http://schemas.microsoft.com/office/drawing/2014/chart" uri="{C3380CC4-5D6E-409C-BE32-E72D297353CC}">
                <c16:uniqueId val="{00000096-BE62-44FA-B32F-D173B289F6C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yriad Pro"/>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Examples!$B$43:$I$43</c:f>
              <c:numCache>
                <c:formatCode>General</c:formatCode>
                <c:ptCount val="8"/>
                <c:pt idx="0">
                  <c:v>45</c:v>
                </c:pt>
                <c:pt idx="1">
                  <c:v>22</c:v>
                </c:pt>
                <c:pt idx="2">
                  <c:v>26</c:v>
                </c:pt>
                <c:pt idx="3">
                  <c:v>8</c:v>
                </c:pt>
                <c:pt idx="4">
                  <c:v>2</c:v>
                </c:pt>
                <c:pt idx="5">
                  <c:v>20</c:v>
                </c:pt>
                <c:pt idx="6">
                  <c:v>4</c:v>
                </c:pt>
                <c:pt idx="7">
                  <c:v>22</c:v>
                </c:pt>
              </c:numCache>
            </c:numRef>
          </c:val>
          <c:extLst>
            <c:ext xmlns:c16="http://schemas.microsoft.com/office/drawing/2014/chart" uri="{C3380CC4-5D6E-409C-BE32-E72D297353CC}">
              <c16:uniqueId val="{00000097-BE62-44FA-B32F-D173B289F6C6}"/>
            </c:ext>
          </c:extLst>
        </c:ser>
        <c:dLbls>
          <c:showLegendKey val="0"/>
          <c:showVal val="0"/>
          <c:showCatName val="1"/>
          <c:showSerName val="0"/>
          <c:showPercent val="1"/>
          <c:showBubbleSize val="0"/>
          <c:showLeaderLines val="0"/>
        </c:dLbls>
        <c:gapWidth val="100"/>
        <c:splitType val="pos"/>
        <c:splitPos val="3"/>
        <c:secondPieSize val="70"/>
        <c:serLines>
          <c:spPr>
            <a:ln w="3175" cap="flat" cmpd="sng" algn="ctr">
              <a:solidFill>
                <a:srgbClr val="000000"/>
              </a:solidFill>
              <a:prstDash val="solid"/>
              <a:round/>
            </a:ln>
            <a:effectLst/>
          </c:spPr>
        </c:serLines>
      </c:ofPie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sz="900" b="0" i="0" u="none" strike="noStrike" baseline="0">
          <a:solidFill>
            <a:srgbClr val="000000"/>
          </a:solidFill>
          <a:latin typeface="Myriad Pro"/>
          <a:ea typeface="Myriad Pro"/>
          <a:cs typeface="Myriad Pro"/>
        </a:defRPr>
      </a:pPr>
      <a:endParaRPr lang="en-US"/>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195579</xdr:colOff>
      <xdr:row>46</xdr:row>
      <xdr:rowOff>74491</xdr:rowOff>
    </xdr:from>
    <xdr:to>
      <xdr:col>9</xdr:col>
      <xdr:colOff>716829</xdr:colOff>
      <xdr:row>60</xdr:row>
      <xdr:rowOff>117991</xdr:rowOff>
    </xdr:to>
    <xdr:graphicFrame macro="">
      <xdr:nvGraphicFramePr>
        <xdr:cNvPr id="2" name="1. Line">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2494</xdr:colOff>
      <xdr:row>190</xdr:row>
      <xdr:rowOff>50134</xdr:rowOff>
    </xdr:from>
    <xdr:to>
      <xdr:col>8</xdr:col>
      <xdr:colOff>523744</xdr:colOff>
      <xdr:row>204</xdr:row>
      <xdr:rowOff>93634</xdr:rowOff>
    </xdr:to>
    <xdr:graphicFrame macro="">
      <xdr:nvGraphicFramePr>
        <xdr:cNvPr id="3" name="10. Stacked column">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239122</xdr:colOff>
      <xdr:row>234</xdr:row>
      <xdr:rowOff>50173</xdr:rowOff>
    </xdr:from>
    <xdr:to>
      <xdr:col>8</xdr:col>
      <xdr:colOff>24350</xdr:colOff>
      <xdr:row>247</xdr:row>
      <xdr:rowOff>79273</xdr:rowOff>
    </xdr:to>
    <xdr:graphicFrame macro="">
      <xdr:nvGraphicFramePr>
        <xdr:cNvPr id="4" name="12. Line-column on 2 axes">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7392</xdr:colOff>
      <xdr:row>213</xdr:row>
      <xdr:rowOff>61428</xdr:rowOff>
    </xdr:from>
    <xdr:to>
      <xdr:col>8</xdr:col>
      <xdr:colOff>528642</xdr:colOff>
      <xdr:row>227</xdr:row>
      <xdr:rowOff>104928</xdr:rowOff>
    </xdr:to>
    <xdr:graphicFrame macro="">
      <xdr:nvGraphicFramePr>
        <xdr:cNvPr id="5" name="11. 100% Stacked column">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299944</xdr:colOff>
      <xdr:row>171</xdr:row>
      <xdr:rowOff>30541</xdr:rowOff>
    </xdr:from>
    <xdr:to>
      <xdr:col>8</xdr:col>
      <xdr:colOff>821194</xdr:colOff>
      <xdr:row>185</xdr:row>
      <xdr:rowOff>74041</xdr:rowOff>
    </xdr:to>
    <xdr:graphicFrame macro="">
      <xdr:nvGraphicFramePr>
        <xdr:cNvPr id="6" name="9. Cluster column">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787490</xdr:colOff>
      <xdr:row>248</xdr:row>
      <xdr:rowOff>17244</xdr:rowOff>
    </xdr:from>
    <xdr:to>
      <xdr:col>9</xdr:col>
      <xdr:colOff>762452</xdr:colOff>
      <xdr:row>249</xdr:row>
      <xdr:rowOff>44458</xdr:rowOff>
    </xdr:to>
    <xdr:sp macro="" textlink="">
      <xdr:nvSpPr>
        <xdr:cNvPr id="7" name="Text Box 51">
          <a:extLst>
            <a:ext uri="{FF2B5EF4-FFF2-40B4-BE49-F238E27FC236}">
              <a16:creationId xmlns:a16="http://schemas.microsoft.com/office/drawing/2014/main" id="{00000000-0008-0000-0000-000007000000}"/>
            </a:ext>
          </a:extLst>
        </xdr:cNvPr>
        <xdr:cNvSpPr txBox="1">
          <a:spLocks noChangeArrowheads="1"/>
        </xdr:cNvSpPr>
      </xdr:nvSpPr>
      <xdr:spPr bwMode="auto">
        <a:xfrm>
          <a:off x="1835240" y="39431694"/>
          <a:ext cx="8356962" cy="208189"/>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FF0000"/>
              </a:solidFill>
              <a:latin typeface="Arial Narrow"/>
            </a:rPr>
            <a:t>Don't forget to alter the value axes so that the grid aligns with the values on each side.</a:t>
          </a:r>
        </a:p>
      </xdr:txBody>
    </xdr:sp>
    <xdr:clientData/>
  </xdr:twoCellAnchor>
  <xdr:twoCellAnchor>
    <xdr:from>
      <xdr:col>4</xdr:col>
      <xdr:colOff>147334</xdr:colOff>
      <xdr:row>65</xdr:row>
      <xdr:rowOff>56307</xdr:rowOff>
    </xdr:from>
    <xdr:to>
      <xdr:col>9</xdr:col>
      <xdr:colOff>668584</xdr:colOff>
      <xdr:row>79</xdr:row>
      <xdr:rowOff>99807</xdr:rowOff>
    </xdr:to>
    <xdr:graphicFrame macro="">
      <xdr:nvGraphicFramePr>
        <xdr:cNvPr id="8" name="10. Stacked column">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766386</xdr:colOff>
      <xdr:row>65</xdr:row>
      <xdr:rowOff>2126</xdr:rowOff>
    </xdr:from>
    <xdr:to>
      <xdr:col>17</xdr:col>
      <xdr:colOff>239886</xdr:colOff>
      <xdr:row>79</xdr:row>
      <xdr:rowOff>45626</xdr:rowOff>
    </xdr:to>
    <xdr:graphicFrame macro="">
      <xdr:nvGraphicFramePr>
        <xdr:cNvPr id="9" name="3. Scatter connected by line">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782071</xdr:colOff>
      <xdr:row>255</xdr:row>
      <xdr:rowOff>10193</xdr:rowOff>
    </xdr:from>
    <xdr:to>
      <xdr:col>9</xdr:col>
      <xdr:colOff>749414</xdr:colOff>
      <xdr:row>270</xdr:row>
      <xdr:rowOff>49382</xdr:rowOff>
    </xdr:to>
    <xdr:graphicFrame macro="">
      <xdr:nvGraphicFramePr>
        <xdr:cNvPr id="10" name="6. Cluster bar">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187168</xdr:colOff>
      <xdr:row>283</xdr:row>
      <xdr:rowOff>94309</xdr:rowOff>
    </xdr:from>
    <xdr:to>
      <xdr:col>8</xdr:col>
      <xdr:colOff>1157453</xdr:colOff>
      <xdr:row>296</xdr:row>
      <xdr:rowOff>123409</xdr:rowOff>
    </xdr:to>
    <xdr:graphicFrame macro="">
      <xdr:nvGraphicFramePr>
        <xdr:cNvPr id="11" name="14. Pie of pie">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879994</xdr:colOff>
      <xdr:row>285</xdr:row>
      <xdr:rowOff>107568</xdr:rowOff>
    </xdr:from>
    <xdr:to>
      <xdr:col>16</xdr:col>
      <xdr:colOff>652851</xdr:colOff>
      <xdr:row>298</xdr:row>
      <xdr:rowOff>136668</xdr:rowOff>
    </xdr:to>
    <xdr:graphicFrame macro="">
      <xdr:nvGraphicFramePr>
        <xdr:cNvPr id="12" name="15. Bar of pie">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55153</xdr:colOff>
      <xdr:row>149</xdr:row>
      <xdr:rowOff>44284</xdr:rowOff>
    </xdr:from>
    <xdr:to>
      <xdr:col>8</xdr:col>
      <xdr:colOff>576403</xdr:colOff>
      <xdr:row>163</xdr:row>
      <xdr:rowOff>87784</xdr:rowOff>
    </xdr:to>
    <xdr:graphicFrame macro="">
      <xdr:nvGraphicFramePr>
        <xdr:cNvPr id="13" name="8. 100% Stacked bar">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589396</xdr:colOff>
      <xdr:row>44</xdr:row>
      <xdr:rowOff>5368</xdr:rowOff>
    </xdr:from>
    <xdr:to>
      <xdr:col>9</xdr:col>
      <xdr:colOff>261010</xdr:colOff>
      <xdr:row>45</xdr:row>
      <xdr:rowOff>136072</xdr:rowOff>
    </xdr:to>
    <xdr:sp macro="" textlink="">
      <xdr:nvSpPr>
        <xdr:cNvPr id="14" name="Text Box 121">
          <a:extLst>
            <a:ext uri="{FF2B5EF4-FFF2-40B4-BE49-F238E27FC236}">
              <a16:creationId xmlns:a16="http://schemas.microsoft.com/office/drawing/2014/main" id="{00000000-0008-0000-0000-00000E000000}"/>
            </a:ext>
          </a:extLst>
        </xdr:cNvPr>
        <xdr:cNvSpPr txBox="1">
          <a:spLocks noChangeArrowheads="1"/>
        </xdr:cNvSpPr>
      </xdr:nvSpPr>
      <xdr:spPr bwMode="auto">
        <a:xfrm>
          <a:off x="4780396" y="2500918"/>
          <a:ext cx="4910364" cy="311679"/>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 Line 6-8 data points</a:t>
          </a:r>
        </a:p>
        <a:p>
          <a:pPr algn="ctr" rtl="0">
            <a:defRPr sz="1000"/>
          </a:pPr>
          <a:r>
            <a:rPr lang="en-AU" sz="1000" b="1" i="0" strike="noStrike">
              <a:solidFill>
                <a:srgbClr val="000000"/>
              </a:solidFill>
              <a:latin typeface="Arial"/>
              <a:cs typeface="Arial"/>
            </a:rPr>
            <a:t>Line chart 6-8 data.crtx</a:t>
          </a:r>
        </a:p>
      </xdr:txBody>
    </xdr:sp>
    <xdr:clientData/>
  </xdr:twoCellAnchor>
  <xdr:twoCellAnchor>
    <xdr:from>
      <xdr:col>4</xdr:col>
      <xdr:colOff>238125</xdr:colOff>
      <xdr:row>62</xdr:row>
      <xdr:rowOff>86591</xdr:rowOff>
    </xdr:from>
    <xdr:to>
      <xdr:col>9</xdr:col>
      <xdr:colOff>1057275</xdr:colOff>
      <xdr:row>64</xdr:row>
      <xdr:rowOff>152400</xdr:rowOff>
    </xdr:to>
    <xdr:sp macro="" textlink="">
      <xdr:nvSpPr>
        <xdr:cNvPr id="15" name="Text Box 122">
          <a:extLst>
            <a:ext uri="{FF2B5EF4-FFF2-40B4-BE49-F238E27FC236}">
              <a16:creationId xmlns:a16="http://schemas.microsoft.com/office/drawing/2014/main" id="{00000000-0008-0000-0000-00000F000000}"/>
            </a:ext>
          </a:extLst>
        </xdr:cNvPr>
        <xdr:cNvSpPr txBox="1">
          <a:spLocks noChangeArrowheads="1"/>
        </xdr:cNvSpPr>
      </xdr:nvSpPr>
      <xdr:spPr bwMode="auto">
        <a:xfrm>
          <a:off x="4429125" y="5839691"/>
          <a:ext cx="6048375" cy="427759"/>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2. Scatter</a:t>
          </a:r>
        </a:p>
        <a:p>
          <a:pPr algn="ctr" rtl="0">
            <a:defRPr sz="1000"/>
          </a:pPr>
          <a:r>
            <a:rPr lang="en-AU" sz="1000" b="1" i="0" strike="noStrike">
              <a:solidFill>
                <a:srgbClr val="000000"/>
              </a:solidFill>
              <a:latin typeface="Arial"/>
              <a:cs typeface="Arial"/>
            </a:rPr>
            <a:t>Scatter chart.crtx</a:t>
          </a:r>
        </a:p>
      </xdr:txBody>
    </xdr:sp>
    <xdr:clientData/>
  </xdr:twoCellAnchor>
  <xdr:twoCellAnchor>
    <xdr:from>
      <xdr:col>11</xdr:col>
      <xdr:colOff>762577</xdr:colOff>
      <xdr:row>62</xdr:row>
      <xdr:rowOff>26075</xdr:rowOff>
    </xdr:from>
    <xdr:to>
      <xdr:col>16</xdr:col>
      <xdr:colOff>750795</xdr:colOff>
      <xdr:row>64</xdr:row>
      <xdr:rowOff>34637</xdr:rowOff>
    </xdr:to>
    <xdr:sp macro="" textlink="">
      <xdr:nvSpPr>
        <xdr:cNvPr id="16" name="Text Box 123">
          <a:extLst>
            <a:ext uri="{FF2B5EF4-FFF2-40B4-BE49-F238E27FC236}">
              <a16:creationId xmlns:a16="http://schemas.microsoft.com/office/drawing/2014/main" id="{00000000-0008-0000-0000-000010000000}"/>
            </a:ext>
          </a:extLst>
        </xdr:cNvPr>
        <xdr:cNvSpPr txBox="1">
          <a:spLocks noChangeArrowheads="1"/>
        </xdr:cNvSpPr>
      </xdr:nvSpPr>
      <xdr:spPr bwMode="auto">
        <a:xfrm>
          <a:off x="12287827" y="5779175"/>
          <a:ext cx="5226968" cy="3705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3. Scatter connected by line</a:t>
          </a:r>
        </a:p>
        <a:p>
          <a:pPr algn="ctr" rtl="0">
            <a:defRPr sz="1000"/>
          </a:pPr>
          <a:r>
            <a:rPr lang="en-AU" sz="1000" b="1" i="0" strike="noStrike">
              <a:solidFill>
                <a:srgbClr val="000000"/>
              </a:solidFill>
              <a:latin typeface="Arial"/>
              <a:cs typeface="Arial"/>
            </a:rPr>
            <a:t>Scatter line chart.crtx</a:t>
          </a:r>
        </a:p>
      </xdr:txBody>
    </xdr:sp>
    <xdr:clientData/>
  </xdr:twoCellAnchor>
  <xdr:twoCellAnchor>
    <xdr:from>
      <xdr:col>11</xdr:col>
      <xdr:colOff>505822</xdr:colOff>
      <xdr:row>83</xdr:row>
      <xdr:rowOff>176744</xdr:rowOff>
    </xdr:from>
    <xdr:to>
      <xdr:col>16</xdr:col>
      <xdr:colOff>86591</xdr:colOff>
      <xdr:row>85</xdr:row>
      <xdr:rowOff>128155</xdr:rowOff>
    </xdr:to>
    <xdr:sp macro="" textlink="">
      <xdr:nvSpPr>
        <xdr:cNvPr id="17" name="Text Box 124">
          <a:extLst>
            <a:ext uri="{FF2B5EF4-FFF2-40B4-BE49-F238E27FC236}">
              <a16:creationId xmlns:a16="http://schemas.microsoft.com/office/drawing/2014/main" id="{00000000-0008-0000-0000-000011000000}"/>
            </a:ext>
          </a:extLst>
        </xdr:cNvPr>
        <xdr:cNvSpPr txBox="1">
          <a:spLocks noChangeArrowheads="1"/>
        </xdr:cNvSpPr>
      </xdr:nvSpPr>
      <xdr:spPr bwMode="auto">
        <a:xfrm>
          <a:off x="12031072" y="9730319"/>
          <a:ext cx="4819519" cy="31336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5. Stacked area</a:t>
          </a:r>
        </a:p>
        <a:p>
          <a:pPr algn="ctr" rtl="0">
            <a:defRPr sz="1000"/>
          </a:pPr>
          <a:r>
            <a:rPr lang="en-AU" sz="1000" b="1" i="0" strike="noStrike">
              <a:solidFill>
                <a:srgbClr val="000000"/>
              </a:solidFill>
              <a:latin typeface="Arial"/>
              <a:cs typeface="Arial"/>
            </a:rPr>
            <a:t>Stack Area.crtx</a:t>
          </a:r>
        </a:p>
      </xdr:txBody>
    </xdr:sp>
    <xdr:clientData/>
  </xdr:twoCellAnchor>
  <xdr:twoCellAnchor>
    <xdr:from>
      <xdr:col>3</xdr:col>
      <xdr:colOff>935934</xdr:colOff>
      <xdr:row>83</xdr:row>
      <xdr:rowOff>163554</xdr:rowOff>
    </xdr:from>
    <xdr:to>
      <xdr:col>8</xdr:col>
      <xdr:colOff>182217</xdr:colOff>
      <xdr:row>85</xdr:row>
      <xdr:rowOff>173935</xdr:rowOff>
    </xdr:to>
    <xdr:sp macro="" textlink="">
      <xdr:nvSpPr>
        <xdr:cNvPr id="18" name="Text Box 125">
          <a:extLst>
            <a:ext uri="{FF2B5EF4-FFF2-40B4-BE49-F238E27FC236}">
              <a16:creationId xmlns:a16="http://schemas.microsoft.com/office/drawing/2014/main" id="{00000000-0008-0000-0000-000012000000}"/>
            </a:ext>
          </a:extLst>
        </xdr:cNvPr>
        <xdr:cNvSpPr txBox="1">
          <a:spLocks noChangeArrowheads="1"/>
        </xdr:cNvSpPr>
      </xdr:nvSpPr>
      <xdr:spPr bwMode="auto">
        <a:xfrm>
          <a:off x="4079184" y="9717129"/>
          <a:ext cx="4485033" cy="37233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4. 100% Stacked area</a:t>
          </a:r>
        </a:p>
        <a:p>
          <a:pPr algn="ctr" rtl="0">
            <a:defRPr sz="1000"/>
          </a:pPr>
          <a:r>
            <a:rPr lang="en-AU" sz="1000" b="1" i="0" strike="noStrike">
              <a:solidFill>
                <a:srgbClr val="000000"/>
              </a:solidFill>
              <a:latin typeface="Arial"/>
              <a:cs typeface="Arial"/>
            </a:rPr>
            <a:t>Stack area 100%.crtx</a:t>
          </a:r>
        </a:p>
      </xdr:txBody>
    </xdr:sp>
    <xdr:clientData/>
  </xdr:twoCellAnchor>
  <xdr:twoCellAnchor>
    <xdr:from>
      <xdr:col>3</xdr:col>
      <xdr:colOff>287020</xdr:colOff>
      <xdr:row>126</xdr:row>
      <xdr:rowOff>155046</xdr:rowOff>
    </xdr:from>
    <xdr:to>
      <xdr:col>8</xdr:col>
      <xdr:colOff>259774</xdr:colOff>
      <xdr:row>128</xdr:row>
      <xdr:rowOff>136072</xdr:rowOff>
    </xdr:to>
    <xdr:sp macro="" textlink="">
      <xdr:nvSpPr>
        <xdr:cNvPr id="19" name="Text Box 127">
          <a:extLst>
            <a:ext uri="{FF2B5EF4-FFF2-40B4-BE49-F238E27FC236}">
              <a16:creationId xmlns:a16="http://schemas.microsoft.com/office/drawing/2014/main" id="{00000000-0008-0000-0000-000013000000}"/>
            </a:ext>
          </a:extLst>
        </xdr:cNvPr>
        <xdr:cNvSpPr txBox="1">
          <a:spLocks noChangeArrowheads="1"/>
        </xdr:cNvSpPr>
      </xdr:nvSpPr>
      <xdr:spPr bwMode="auto">
        <a:xfrm>
          <a:off x="3430270" y="17490546"/>
          <a:ext cx="5211504" cy="342976"/>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7. Stacked bar - 6-8 data</a:t>
          </a:r>
        </a:p>
        <a:p>
          <a:pPr algn="ctr" rtl="0">
            <a:defRPr sz="1000"/>
          </a:pPr>
          <a:r>
            <a:rPr lang="en-AU" sz="1000" b="1" i="0" strike="noStrike">
              <a:solidFill>
                <a:srgbClr val="000000"/>
              </a:solidFill>
              <a:latin typeface="Arial"/>
              <a:cs typeface="Arial"/>
            </a:rPr>
            <a:t>Stacked Bar 6-8 data.crtx</a:t>
          </a:r>
        </a:p>
      </xdr:txBody>
    </xdr:sp>
    <xdr:clientData/>
  </xdr:twoCellAnchor>
  <xdr:twoCellAnchor>
    <xdr:from>
      <xdr:col>3</xdr:col>
      <xdr:colOff>68036</xdr:colOff>
      <xdr:row>147</xdr:row>
      <xdr:rowOff>92454</xdr:rowOff>
    </xdr:from>
    <xdr:to>
      <xdr:col>8</xdr:col>
      <xdr:colOff>81643</xdr:colOff>
      <xdr:row>149</xdr:row>
      <xdr:rowOff>81643</xdr:rowOff>
    </xdr:to>
    <xdr:sp macro="" textlink="">
      <xdr:nvSpPr>
        <xdr:cNvPr id="20" name="Text Box 128">
          <a:extLst>
            <a:ext uri="{FF2B5EF4-FFF2-40B4-BE49-F238E27FC236}">
              <a16:creationId xmlns:a16="http://schemas.microsoft.com/office/drawing/2014/main" id="{00000000-0008-0000-0000-000014000000}"/>
            </a:ext>
          </a:extLst>
        </xdr:cNvPr>
        <xdr:cNvSpPr txBox="1">
          <a:spLocks noChangeArrowheads="1"/>
        </xdr:cNvSpPr>
      </xdr:nvSpPr>
      <xdr:spPr bwMode="auto">
        <a:xfrm>
          <a:off x="3211286" y="21228429"/>
          <a:ext cx="5252357" cy="351139"/>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8. 100% Stacked bar</a:t>
          </a:r>
        </a:p>
        <a:p>
          <a:pPr algn="ctr" rtl="0">
            <a:defRPr sz="1000"/>
          </a:pPr>
          <a:r>
            <a:rPr lang="en-AU" sz="1000" b="1" i="0" strike="noStrike">
              <a:solidFill>
                <a:srgbClr val="000000"/>
              </a:solidFill>
              <a:latin typeface="Arial"/>
              <a:cs typeface="Arial"/>
            </a:rPr>
            <a:t>Stacked Bar 100% 6-8 data.crtx</a:t>
          </a:r>
        </a:p>
      </xdr:txBody>
    </xdr:sp>
    <xdr:clientData/>
  </xdr:twoCellAnchor>
  <xdr:twoCellAnchor>
    <xdr:from>
      <xdr:col>3</xdr:col>
      <xdr:colOff>608828</xdr:colOff>
      <xdr:row>168</xdr:row>
      <xdr:rowOff>178042</xdr:rowOff>
    </xdr:from>
    <xdr:to>
      <xdr:col>8</xdr:col>
      <xdr:colOff>430481</xdr:colOff>
      <xdr:row>171</xdr:row>
      <xdr:rowOff>54429</xdr:rowOff>
    </xdr:to>
    <xdr:sp macro="" textlink="">
      <xdr:nvSpPr>
        <xdr:cNvPr id="21" name="Text Box 131">
          <a:extLst>
            <a:ext uri="{FF2B5EF4-FFF2-40B4-BE49-F238E27FC236}">
              <a16:creationId xmlns:a16="http://schemas.microsoft.com/office/drawing/2014/main" id="{00000000-0008-0000-0000-000015000000}"/>
            </a:ext>
          </a:extLst>
        </xdr:cNvPr>
        <xdr:cNvSpPr txBox="1">
          <a:spLocks noChangeArrowheads="1"/>
        </xdr:cNvSpPr>
      </xdr:nvSpPr>
      <xdr:spPr bwMode="auto">
        <a:xfrm>
          <a:off x="3752078" y="25114492"/>
          <a:ext cx="5060403" cy="4193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9. Cluster column - 6-8</a:t>
          </a:r>
          <a:r>
            <a:rPr lang="en-AU" sz="1000" b="1" i="0" strike="noStrike" baseline="0">
              <a:solidFill>
                <a:srgbClr val="000000"/>
              </a:solidFill>
              <a:latin typeface="Arial"/>
              <a:cs typeface="Arial"/>
            </a:rPr>
            <a:t> data points</a:t>
          </a:r>
          <a:endParaRPr lang="en-AU" sz="1000" b="1" i="0" strike="noStrike">
            <a:solidFill>
              <a:srgbClr val="000000"/>
            </a:solidFill>
            <a:latin typeface="Arial"/>
            <a:cs typeface="Arial"/>
          </a:endParaRPr>
        </a:p>
        <a:p>
          <a:pPr algn="ctr" rtl="0">
            <a:defRPr sz="1000"/>
          </a:pPr>
          <a:r>
            <a:rPr lang="en-AU" sz="1000" b="1" i="0" strike="noStrike">
              <a:solidFill>
                <a:srgbClr val="000000"/>
              </a:solidFill>
              <a:latin typeface="Arial"/>
              <a:cs typeface="Arial"/>
            </a:rPr>
            <a:t>Cluster Bar 6-8 data.crtx</a:t>
          </a:r>
        </a:p>
        <a:p>
          <a:pPr algn="ctr" rtl="0">
            <a:defRPr sz="1000"/>
          </a:pPr>
          <a:endParaRPr lang="en-AU" sz="1000" b="1" i="0" strike="noStrike">
            <a:solidFill>
              <a:srgbClr val="000000"/>
            </a:solidFill>
            <a:latin typeface="Arial"/>
            <a:cs typeface="Arial"/>
          </a:endParaRPr>
        </a:p>
      </xdr:txBody>
    </xdr:sp>
    <xdr:clientData/>
  </xdr:twoCellAnchor>
  <xdr:twoCellAnchor>
    <xdr:from>
      <xdr:col>2</xdr:col>
      <xdr:colOff>1175974</xdr:colOff>
      <xdr:row>188</xdr:row>
      <xdr:rowOff>68036</xdr:rowOff>
    </xdr:from>
    <xdr:to>
      <xdr:col>8</xdr:col>
      <xdr:colOff>310489</xdr:colOff>
      <xdr:row>190</xdr:row>
      <xdr:rowOff>138545</xdr:rowOff>
    </xdr:to>
    <xdr:sp macro="" textlink="">
      <xdr:nvSpPr>
        <xdr:cNvPr id="22" name="Text Box 132">
          <a:extLst>
            <a:ext uri="{FF2B5EF4-FFF2-40B4-BE49-F238E27FC236}">
              <a16:creationId xmlns:a16="http://schemas.microsoft.com/office/drawing/2014/main" id="{00000000-0008-0000-0000-000016000000}"/>
            </a:ext>
          </a:extLst>
        </xdr:cNvPr>
        <xdr:cNvSpPr txBox="1">
          <a:spLocks noChangeArrowheads="1"/>
        </xdr:cNvSpPr>
      </xdr:nvSpPr>
      <xdr:spPr bwMode="auto">
        <a:xfrm>
          <a:off x="3147649" y="28623986"/>
          <a:ext cx="5544840" cy="432459"/>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10. Stacked column </a:t>
          </a:r>
          <a:r>
            <a:rPr lang="en-AU" sz="1000" b="1" i="0">
              <a:effectLst/>
              <a:latin typeface="+mn-lt"/>
              <a:ea typeface="+mn-ea"/>
              <a:cs typeface="+mn-cs"/>
            </a:rPr>
            <a:t>6-8</a:t>
          </a:r>
          <a:r>
            <a:rPr lang="en-AU" sz="1000" b="1" i="0" baseline="0">
              <a:effectLst/>
              <a:latin typeface="+mn-lt"/>
              <a:ea typeface="+mn-ea"/>
              <a:cs typeface="+mn-cs"/>
            </a:rPr>
            <a:t> data points</a:t>
          </a:r>
        </a:p>
        <a:p>
          <a:pPr algn="ctr" rtl="0">
            <a:defRPr sz="1000"/>
          </a:pPr>
          <a:r>
            <a:rPr lang="en-AU" sz="1000" b="1" i="0" strike="noStrike">
              <a:solidFill>
                <a:srgbClr val="000000"/>
              </a:solidFill>
              <a:latin typeface="Arial"/>
              <a:cs typeface="Arial"/>
            </a:rPr>
            <a:t>Stacked Column 6-8 data.crtx</a:t>
          </a:r>
        </a:p>
      </xdr:txBody>
    </xdr:sp>
    <xdr:clientData/>
  </xdr:twoCellAnchor>
  <xdr:twoCellAnchor>
    <xdr:from>
      <xdr:col>3</xdr:col>
      <xdr:colOff>7392</xdr:colOff>
      <xdr:row>210</xdr:row>
      <xdr:rowOff>156406</xdr:rowOff>
    </xdr:from>
    <xdr:to>
      <xdr:col>7</xdr:col>
      <xdr:colOff>997033</xdr:colOff>
      <xdr:row>212</xdr:row>
      <xdr:rowOff>136071</xdr:rowOff>
    </xdr:to>
    <xdr:sp macro="" textlink="">
      <xdr:nvSpPr>
        <xdr:cNvPr id="23" name="Text Box 133">
          <a:extLst>
            <a:ext uri="{FF2B5EF4-FFF2-40B4-BE49-F238E27FC236}">
              <a16:creationId xmlns:a16="http://schemas.microsoft.com/office/drawing/2014/main" id="{00000000-0008-0000-0000-000017000000}"/>
            </a:ext>
          </a:extLst>
        </xdr:cNvPr>
        <xdr:cNvSpPr txBox="1">
          <a:spLocks noChangeArrowheads="1"/>
        </xdr:cNvSpPr>
      </xdr:nvSpPr>
      <xdr:spPr bwMode="auto">
        <a:xfrm>
          <a:off x="3150642" y="32693806"/>
          <a:ext cx="5180641" cy="34161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11. 100% Stacked column </a:t>
          </a:r>
          <a:r>
            <a:rPr lang="en-AU" sz="1000" b="1" i="0">
              <a:effectLst/>
              <a:latin typeface="+mn-lt"/>
              <a:ea typeface="+mn-ea"/>
              <a:cs typeface="+mn-cs"/>
            </a:rPr>
            <a:t>6-8</a:t>
          </a:r>
          <a:r>
            <a:rPr lang="en-AU" sz="1000" b="1" i="0" baseline="0">
              <a:effectLst/>
              <a:latin typeface="+mn-lt"/>
              <a:ea typeface="+mn-ea"/>
              <a:cs typeface="+mn-cs"/>
            </a:rPr>
            <a:t> data points</a:t>
          </a:r>
        </a:p>
        <a:p>
          <a:pPr algn="ctr" rtl="0">
            <a:defRPr sz="1000"/>
          </a:pPr>
          <a:r>
            <a:rPr lang="en-AU" sz="1000" b="1" i="0" baseline="0">
              <a:effectLst/>
              <a:latin typeface="+mn-lt"/>
              <a:ea typeface="+mn-ea"/>
              <a:cs typeface="+mn-cs"/>
            </a:rPr>
            <a:t>Stacked column 100% 6-8 data.crtx</a:t>
          </a:r>
        </a:p>
        <a:p>
          <a:pPr algn="ctr" rtl="0">
            <a:defRPr sz="1000"/>
          </a:pPr>
          <a:endParaRPr lang="en-AU" sz="1000" b="1" i="0" strike="noStrike">
            <a:solidFill>
              <a:srgbClr val="000000"/>
            </a:solidFill>
            <a:latin typeface="Arial"/>
            <a:cs typeface="Arial"/>
          </a:endParaRPr>
        </a:p>
      </xdr:txBody>
    </xdr:sp>
    <xdr:clientData/>
  </xdr:twoCellAnchor>
  <xdr:twoCellAnchor>
    <xdr:from>
      <xdr:col>3</xdr:col>
      <xdr:colOff>258172</xdr:colOff>
      <xdr:row>232</xdr:row>
      <xdr:rowOff>81643</xdr:rowOff>
    </xdr:from>
    <xdr:to>
      <xdr:col>8</xdr:col>
      <xdr:colOff>207819</xdr:colOff>
      <xdr:row>234</xdr:row>
      <xdr:rowOff>86590</xdr:rowOff>
    </xdr:to>
    <xdr:sp macro="" textlink="">
      <xdr:nvSpPr>
        <xdr:cNvPr id="24" name="Text Box 134">
          <a:extLst>
            <a:ext uri="{FF2B5EF4-FFF2-40B4-BE49-F238E27FC236}">
              <a16:creationId xmlns:a16="http://schemas.microsoft.com/office/drawing/2014/main" id="{00000000-0008-0000-0000-000018000000}"/>
            </a:ext>
          </a:extLst>
        </xdr:cNvPr>
        <xdr:cNvSpPr txBox="1">
          <a:spLocks noChangeArrowheads="1"/>
        </xdr:cNvSpPr>
      </xdr:nvSpPr>
      <xdr:spPr bwMode="auto">
        <a:xfrm>
          <a:off x="3401422" y="36600493"/>
          <a:ext cx="5188397" cy="36689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12. Line-column on 2 axes</a:t>
          </a:r>
        </a:p>
        <a:p>
          <a:pPr algn="ctr" rtl="0">
            <a:defRPr sz="1000"/>
          </a:pPr>
          <a:r>
            <a:rPr lang="en-AU" sz="1000" b="1" i="0" strike="noStrike">
              <a:solidFill>
                <a:srgbClr val="000000"/>
              </a:solidFill>
              <a:latin typeface="Arial"/>
              <a:cs typeface="Arial"/>
            </a:rPr>
            <a:t>Line column on 2 axes charts.crtx</a:t>
          </a:r>
        </a:p>
      </xdr:txBody>
    </xdr:sp>
    <xdr:clientData/>
  </xdr:twoCellAnchor>
  <xdr:twoCellAnchor>
    <xdr:from>
      <xdr:col>1</xdr:col>
      <xdr:colOff>761116</xdr:colOff>
      <xdr:row>252</xdr:row>
      <xdr:rowOff>163287</xdr:rowOff>
    </xdr:from>
    <xdr:to>
      <xdr:col>9</xdr:col>
      <xdr:colOff>728459</xdr:colOff>
      <xdr:row>255</xdr:row>
      <xdr:rowOff>19719</xdr:rowOff>
    </xdr:to>
    <xdr:sp macro="" textlink="">
      <xdr:nvSpPr>
        <xdr:cNvPr id="25" name="Text Box 135">
          <a:extLst>
            <a:ext uri="{FF2B5EF4-FFF2-40B4-BE49-F238E27FC236}">
              <a16:creationId xmlns:a16="http://schemas.microsoft.com/office/drawing/2014/main" id="{00000000-0008-0000-0000-000019000000}"/>
            </a:ext>
          </a:extLst>
        </xdr:cNvPr>
        <xdr:cNvSpPr txBox="1">
          <a:spLocks noChangeArrowheads="1"/>
        </xdr:cNvSpPr>
      </xdr:nvSpPr>
      <xdr:spPr bwMode="auto">
        <a:xfrm>
          <a:off x="1808866" y="40301637"/>
          <a:ext cx="8349343" cy="39935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13. Pie </a:t>
          </a:r>
          <a:r>
            <a:rPr lang="en-AU" sz="1000" b="1" i="0">
              <a:effectLst/>
              <a:latin typeface="+mn-lt"/>
              <a:ea typeface="+mn-ea"/>
              <a:cs typeface="+mn-cs"/>
            </a:rPr>
            <a:t>6-8</a:t>
          </a:r>
          <a:r>
            <a:rPr lang="en-AU" sz="1000" b="1" i="0" baseline="0">
              <a:effectLst/>
              <a:latin typeface="+mn-lt"/>
              <a:ea typeface="+mn-ea"/>
              <a:cs typeface="+mn-cs"/>
            </a:rPr>
            <a:t> data points</a:t>
          </a:r>
        </a:p>
        <a:p>
          <a:pPr algn="ctr" rtl="0">
            <a:defRPr sz="1000"/>
          </a:pPr>
          <a:r>
            <a:rPr lang="en-AU" sz="1000" b="1" i="0" strike="noStrike">
              <a:solidFill>
                <a:srgbClr val="000000"/>
              </a:solidFill>
              <a:latin typeface="Arial"/>
              <a:cs typeface="Arial"/>
            </a:rPr>
            <a:t>Pie Chart 6-8 data.crtx</a:t>
          </a:r>
        </a:p>
      </xdr:txBody>
    </xdr:sp>
    <xdr:clientData/>
  </xdr:twoCellAnchor>
  <xdr:twoCellAnchor>
    <xdr:from>
      <xdr:col>4</xdr:col>
      <xdr:colOff>177643</xdr:colOff>
      <xdr:row>280</xdr:row>
      <xdr:rowOff>107099</xdr:rowOff>
    </xdr:from>
    <xdr:to>
      <xdr:col>8</xdr:col>
      <xdr:colOff>244928</xdr:colOff>
      <xdr:row>282</xdr:row>
      <xdr:rowOff>54429</xdr:rowOff>
    </xdr:to>
    <xdr:sp macro="" textlink="">
      <xdr:nvSpPr>
        <xdr:cNvPr id="26" name="Text Box 136">
          <a:extLst>
            <a:ext uri="{FF2B5EF4-FFF2-40B4-BE49-F238E27FC236}">
              <a16:creationId xmlns:a16="http://schemas.microsoft.com/office/drawing/2014/main" id="{00000000-0008-0000-0000-00001A000000}"/>
            </a:ext>
          </a:extLst>
        </xdr:cNvPr>
        <xdr:cNvSpPr txBox="1">
          <a:spLocks noChangeArrowheads="1"/>
        </xdr:cNvSpPr>
      </xdr:nvSpPr>
      <xdr:spPr bwMode="auto">
        <a:xfrm>
          <a:off x="4368643" y="45312749"/>
          <a:ext cx="4258285" cy="30928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14. Pie of pie</a:t>
          </a:r>
        </a:p>
      </xdr:txBody>
    </xdr:sp>
    <xdr:clientData/>
  </xdr:twoCellAnchor>
  <xdr:twoCellAnchor>
    <xdr:from>
      <xdr:col>11</xdr:col>
      <xdr:colOff>658742</xdr:colOff>
      <xdr:row>282</xdr:row>
      <xdr:rowOff>90152</xdr:rowOff>
    </xdr:from>
    <xdr:to>
      <xdr:col>16</xdr:col>
      <xdr:colOff>680357</xdr:colOff>
      <xdr:row>283</xdr:row>
      <xdr:rowOff>136072</xdr:rowOff>
    </xdr:to>
    <xdr:sp macro="" textlink="">
      <xdr:nvSpPr>
        <xdr:cNvPr id="27" name="Text Box 137">
          <a:extLst>
            <a:ext uri="{FF2B5EF4-FFF2-40B4-BE49-F238E27FC236}">
              <a16:creationId xmlns:a16="http://schemas.microsoft.com/office/drawing/2014/main" id="{00000000-0008-0000-0000-00001B000000}"/>
            </a:ext>
          </a:extLst>
        </xdr:cNvPr>
        <xdr:cNvSpPr txBox="1">
          <a:spLocks noChangeArrowheads="1"/>
        </xdr:cNvSpPr>
      </xdr:nvSpPr>
      <xdr:spPr bwMode="auto">
        <a:xfrm>
          <a:off x="12183992" y="45657752"/>
          <a:ext cx="5260365" cy="22689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15. Bar of pie</a:t>
          </a:r>
        </a:p>
      </xdr:txBody>
    </xdr:sp>
    <xdr:clientData/>
  </xdr:twoCellAnchor>
  <xdr:twoCellAnchor>
    <xdr:from>
      <xdr:col>3</xdr:col>
      <xdr:colOff>983803</xdr:colOff>
      <xdr:row>305</xdr:row>
      <xdr:rowOff>90252</xdr:rowOff>
    </xdr:from>
    <xdr:to>
      <xdr:col>8</xdr:col>
      <xdr:colOff>756660</xdr:colOff>
      <xdr:row>318</xdr:row>
      <xdr:rowOff>119352</xdr:rowOff>
    </xdr:to>
    <xdr:graphicFrame macro="">
      <xdr:nvGraphicFramePr>
        <xdr:cNvPr id="28" name="13. Pie">
          <a:extLst>
            <a:ext uri="{FF2B5EF4-FFF2-40B4-BE49-F238E27FC236}">
              <a16:creationId xmlns:a16="http://schemas.microsoft.com/office/drawing/2014/main"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1030307</xdr:colOff>
      <xdr:row>302</xdr:row>
      <xdr:rowOff>155109</xdr:rowOff>
    </xdr:from>
    <xdr:to>
      <xdr:col>8</xdr:col>
      <xdr:colOff>450636</xdr:colOff>
      <xdr:row>305</xdr:row>
      <xdr:rowOff>22411</xdr:rowOff>
    </xdr:to>
    <xdr:sp macro="" textlink="">
      <xdr:nvSpPr>
        <xdr:cNvPr id="29" name="Text Box 136">
          <a:extLst>
            <a:ext uri="{FF2B5EF4-FFF2-40B4-BE49-F238E27FC236}">
              <a16:creationId xmlns:a16="http://schemas.microsoft.com/office/drawing/2014/main" id="{00000000-0008-0000-0000-00001D000000}"/>
            </a:ext>
          </a:extLst>
        </xdr:cNvPr>
        <xdr:cNvSpPr txBox="1">
          <a:spLocks noChangeArrowheads="1"/>
        </xdr:cNvSpPr>
      </xdr:nvSpPr>
      <xdr:spPr bwMode="auto">
        <a:xfrm>
          <a:off x="4173557" y="49342209"/>
          <a:ext cx="4659079" cy="41022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16. Doughnut - 6-8 data</a:t>
          </a:r>
          <a:r>
            <a:rPr lang="en-AU" sz="1000" b="1" i="0" strike="noStrike" baseline="0">
              <a:solidFill>
                <a:srgbClr val="000000"/>
              </a:solidFill>
              <a:latin typeface="Arial"/>
              <a:cs typeface="Arial"/>
            </a:rPr>
            <a:t> points</a:t>
          </a:r>
        </a:p>
        <a:p>
          <a:pPr algn="ctr" rtl="0">
            <a:defRPr sz="1000"/>
          </a:pPr>
          <a:r>
            <a:rPr lang="en-AU" sz="1000" b="1" i="0" strike="noStrike">
              <a:solidFill>
                <a:srgbClr val="000000"/>
              </a:solidFill>
              <a:latin typeface="Arial"/>
              <a:cs typeface="Arial"/>
            </a:rPr>
            <a:t>Doughnut 6-8 data.crtx</a:t>
          </a:r>
        </a:p>
      </xdr:txBody>
    </xdr:sp>
    <xdr:clientData/>
  </xdr:twoCellAnchor>
  <xdr:twoCellAnchor>
    <xdr:from>
      <xdr:col>3</xdr:col>
      <xdr:colOff>478606</xdr:colOff>
      <xdr:row>87</xdr:row>
      <xdr:rowOff>14644</xdr:rowOff>
    </xdr:from>
    <xdr:to>
      <xdr:col>8</xdr:col>
      <xdr:colOff>999856</xdr:colOff>
      <xdr:row>101</xdr:row>
      <xdr:rowOff>58144</xdr:rowOff>
    </xdr:to>
    <xdr:graphicFrame macro="">
      <xdr:nvGraphicFramePr>
        <xdr:cNvPr id="30" name="5. 100% Stacked area">
          <a:extLst>
            <a:ext uri="{FF2B5EF4-FFF2-40B4-BE49-F238E27FC236}">
              <a16:creationId xmlns:a16="http://schemas.microsoft.com/office/drawing/2014/main" id="{00000000-0008-0000-0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455022</xdr:colOff>
      <xdr:row>86</xdr:row>
      <xdr:rowOff>136814</xdr:rowOff>
    </xdr:from>
    <xdr:to>
      <xdr:col>16</xdr:col>
      <xdr:colOff>976272</xdr:colOff>
      <xdr:row>101</xdr:row>
      <xdr:rowOff>3421</xdr:rowOff>
    </xdr:to>
    <xdr:graphicFrame macro="">
      <xdr:nvGraphicFramePr>
        <xdr:cNvPr id="31" name="3. Scatter connected by line">
          <a:extLst>
            <a:ext uri="{FF2B5EF4-FFF2-40B4-BE49-F238E27FC236}">
              <a16:creationId xmlns:a16="http://schemas.microsoft.com/office/drawing/2014/main" id="{00000000-0008-0000-0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243840</xdr:colOff>
      <xdr:row>128</xdr:row>
      <xdr:rowOff>40821</xdr:rowOff>
    </xdr:from>
    <xdr:to>
      <xdr:col>8</xdr:col>
      <xdr:colOff>765090</xdr:colOff>
      <xdr:row>142</xdr:row>
      <xdr:rowOff>84321</xdr:rowOff>
    </xdr:to>
    <xdr:graphicFrame macro="">
      <xdr:nvGraphicFramePr>
        <xdr:cNvPr id="32" name="7. Stacked bar">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419100</xdr:colOff>
      <xdr:row>326</xdr:row>
      <xdr:rowOff>75409</xdr:rowOff>
    </xdr:from>
    <xdr:to>
      <xdr:col>8</xdr:col>
      <xdr:colOff>191957</xdr:colOff>
      <xdr:row>339</xdr:row>
      <xdr:rowOff>104509</xdr:rowOff>
    </xdr:to>
    <xdr:graphicFrame macro="">
      <xdr:nvGraphicFramePr>
        <xdr:cNvPr id="33" name="13. Pie">
          <a:extLst>
            <a:ext uri="{FF2B5EF4-FFF2-40B4-BE49-F238E27FC236}">
              <a16:creationId xmlns:a16="http://schemas.microsoft.com/office/drawing/2014/main" id="{00000000-0008-0000-0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422836</xdr:colOff>
      <xdr:row>323</xdr:row>
      <xdr:rowOff>157799</xdr:rowOff>
    </xdr:from>
    <xdr:to>
      <xdr:col>8</xdr:col>
      <xdr:colOff>0</xdr:colOff>
      <xdr:row>324</xdr:row>
      <xdr:rowOff>172891</xdr:rowOff>
    </xdr:to>
    <xdr:sp macro="" textlink="">
      <xdr:nvSpPr>
        <xdr:cNvPr id="34" name="Text Box 137">
          <a:extLst>
            <a:ext uri="{FF2B5EF4-FFF2-40B4-BE49-F238E27FC236}">
              <a16:creationId xmlns:a16="http://schemas.microsoft.com/office/drawing/2014/main" id="{00000000-0008-0000-0000-000022000000}"/>
            </a:ext>
          </a:extLst>
        </xdr:cNvPr>
        <xdr:cNvSpPr txBox="1">
          <a:spLocks noChangeArrowheads="1"/>
        </xdr:cNvSpPr>
      </xdr:nvSpPr>
      <xdr:spPr bwMode="auto">
        <a:xfrm>
          <a:off x="3566086" y="53145374"/>
          <a:ext cx="4815914" cy="19606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17. Line chart</a:t>
          </a:r>
          <a:r>
            <a:rPr lang="en-AU" sz="1000" b="1" i="0" strike="noStrike" baseline="0">
              <a:solidFill>
                <a:srgbClr val="000000"/>
              </a:solidFill>
              <a:latin typeface="Arial"/>
              <a:cs typeface="Arial"/>
            </a:rPr>
            <a:t> using highlight colour</a:t>
          </a:r>
          <a:endParaRPr lang="en-AU" sz="1000" b="1" i="0" strike="noStrike">
            <a:solidFill>
              <a:srgbClr val="000000"/>
            </a:solidFill>
            <a:latin typeface="Arial"/>
            <a:cs typeface="Arial"/>
          </a:endParaRPr>
        </a:p>
      </xdr:txBody>
    </xdr:sp>
    <xdr:clientData/>
  </xdr:twoCellAnchor>
  <xdr:twoCellAnchor>
    <xdr:from>
      <xdr:col>11</xdr:col>
      <xdr:colOff>614152</xdr:colOff>
      <xdr:row>326</xdr:row>
      <xdr:rowOff>86690</xdr:rowOff>
    </xdr:from>
    <xdr:to>
      <xdr:col>16</xdr:col>
      <xdr:colOff>387009</xdr:colOff>
      <xdr:row>339</xdr:row>
      <xdr:rowOff>115790</xdr:rowOff>
    </xdr:to>
    <xdr:graphicFrame macro="">
      <xdr:nvGraphicFramePr>
        <xdr:cNvPr id="35" name="15. Bar of pie">
          <a:extLst>
            <a:ext uri="{FF2B5EF4-FFF2-40B4-BE49-F238E27FC236}">
              <a16:creationId xmlns:a16="http://schemas.microsoft.com/office/drawing/2014/main" id="{00000000-0008-0000-0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597008</xdr:colOff>
      <xdr:row>325</xdr:row>
      <xdr:rowOff>12123</xdr:rowOff>
    </xdr:from>
    <xdr:to>
      <xdr:col>15</xdr:col>
      <xdr:colOff>1034142</xdr:colOff>
      <xdr:row>326</xdr:row>
      <xdr:rowOff>149679</xdr:rowOff>
    </xdr:to>
    <xdr:sp macro="" textlink="">
      <xdr:nvSpPr>
        <xdr:cNvPr id="36" name="Text Box 137">
          <a:extLst>
            <a:ext uri="{FF2B5EF4-FFF2-40B4-BE49-F238E27FC236}">
              <a16:creationId xmlns:a16="http://schemas.microsoft.com/office/drawing/2014/main" id="{00000000-0008-0000-0000-000024000000}"/>
            </a:ext>
          </a:extLst>
        </xdr:cNvPr>
        <xdr:cNvSpPr txBox="1">
          <a:spLocks noChangeArrowheads="1"/>
        </xdr:cNvSpPr>
      </xdr:nvSpPr>
      <xdr:spPr bwMode="auto">
        <a:xfrm>
          <a:off x="12122258" y="53361648"/>
          <a:ext cx="4628134" cy="31853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18. Pie Chart </a:t>
          </a:r>
          <a:r>
            <a:rPr lang="en-AU" sz="1000" b="1" i="0" strike="noStrike" baseline="0">
              <a:solidFill>
                <a:srgbClr val="000000"/>
              </a:solidFill>
              <a:latin typeface="Arial"/>
              <a:cs typeface="Arial"/>
            </a:rPr>
            <a:t>using highlight colour</a:t>
          </a:r>
          <a:endParaRPr lang="en-AU" sz="1000" b="1" i="0" strike="noStrike">
            <a:solidFill>
              <a:srgbClr val="000000"/>
            </a:solidFill>
            <a:latin typeface="Arial"/>
            <a:cs typeface="Arial"/>
          </a:endParaRPr>
        </a:p>
      </xdr:txBody>
    </xdr:sp>
    <xdr:clientData/>
  </xdr:twoCellAnchor>
  <xdr:twoCellAnchor>
    <xdr:from>
      <xdr:col>16</xdr:col>
      <xdr:colOff>1194771</xdr:colOff>
      <xdr:row>322</xdr:row>
      <xdr:rowOff>186975</xdr:rowOff>
    </xdr:from>
    <xdr:to>
      <xdr:col>19</xdr:col>
      <xdr:colOff>717777</xdr:colOff>
      <xdr:row>339</xdr:row>
      <xdr:rowOff>118939</xdr:rowOff>
    </xdr:to>
    <xdr:sp macro="" textlink="">
      <xdr:nvSpPr>
        <xdr:cNvPr id="37" name="Rectangular Callout 3">
          <a:extLst>
            <a:ext uri="{FF2B5EF4-FFF2-40B4-BE49-F238E27FC236}">
              <a16:creationId xmlns:a16="http://schemas.microsoft.com/office/drawing/2014/main" id="{00000000-0008-0000-0000-000025000000}"/>
            </a:ext>
          </a:extLst>
        </xdr:cNvPr>
        <xdr:cNvSpPr/>
      </xdr:nvSpPr>
      <xdr:spPr>
        <a:xfrm>
          <a:off x="17815896" y="52984050"/>
          <a:ext cx="2809131" cy="3018064"/>
        </a:xfrm>
        <a:prstGeom prst="wedgeRectCallout">
          <a:avLst>
            <a:gd name="adj1" fmla="val -116006"/>
            <a:gd name="adj2" fmla="val 12185"/>
          </a:avLst>
        </a:prstGeom>
        <a:solidFill>
          <a:sysClr val="window" lastClr="FFFFFF"/>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latin typeface="Arial" panose="020B0604020202020204" pitchFamily="34" charset="0"/>
              <a:cs typeface="Arial" panose="020B0604020202020204" pitchFamily="34" charset="0"/>
            </a:rPr>
            <a:t>Note: these are the IPART </a:t>
          </a:r>
          <a:r>
            <a:rPr lang="en-AU" sz="1100" baseline="0">
              <a:solidFill>
                <a:sysClr val="windowText" lastClr="000000"/>
              </a:solidFill>
              <a:latin typeface="Arial" panose="020B0604020202020204" pitchFamily="34" charset="0"/>
              <a:cs typeface="Arial" panose="020B0604020202020204" pitchFamily="34" charset="0"/>
            </a:rPr>
            <a:t>Secondary colours. Each team has their specific colour. Please use as an accent colour only Available under Recent Colours or right click on these examples for their RGB values </a:t>
          </a:r>
          <a:r>
            <a:rPr lang="en-AU" sz="1100">
              <a:solidFill>
                <a:sysClr val="windowText" lastClr="000000"/>
              </a:solidFill>
              <a:latin typeface="Arial" panose="020B0604020202020204" pitchFamily="34" charset="0"/>
              <a:cs typeface="Arial" panose="020B0604020202020204" pitchFamily="34" charset="0"/>
            </a:rPr>
            <a:t> </a:t>
          </a:r>
        </a:p>
      </xdr:txBody>
    </xdr:sp>
    <xdr:clientData/>
  </xdr:twoCellAnchor>
  <xdr:twoCellAnchor>
    <xdr:from>
      <xdr:col>17</xdr:col>
      <xdr:colOff>380260</xdr:colOff>
      <xdr:row>336</xdr:row>
      <xdr:rowOff>147980</xdr:rowOff>
    </xdr:from>
    <xdr:to>
      <xdr:col>18</xdr:col>
      <xdr:colOff>859059</xdr:colOff>
      <xdr:row>338</xdr:row>
      <xdr:rowOff>61055</xdr:rowOff>
    </xdr:to>
    <xdr:sp macro="" textlink="">
      <xdr:nvSpPr>
        <xdr:cNvPr id="38" name="Rectangle 37">
          <a:extLst>
            <a:ext uri="{FF2B5EF4-FFF2-40B4-BE49-F238E27FC236}">
              <a16:creationId xmlns:a16="http://schemas.microsoft.com/office/drawing/2014/main" id="{00000000-0008-0000-0000-000026000000}"/>
            </a:ext>
          </a:extLst>
        </xdr:cNvPr>
        <xdr:cNvSpPr/>
      </xdr:nvSpPr>
      <xdr:spPr>
        <a:xfrm>
          <a:off x="18192010" y="55488230"/>
          <a:ext cx="1526549" cy="275025"/>
        </a:xfrm>
        <a:prstGeom prst="rect">
          <a:avLst/>
        </a:prstGeom>
        <a:solidFill>
          <a:srgbClr val="B3610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Local</a:t>
          </a:r>
          <a:r>
            <a:rPr lang="en-AU" sz="1100" baseline="0"/>
            <a:t> Govt</a:t>
          </a:r>
          <a:endParaRPr lang="en-AU" sz="1100"/>
        </a:p>
      </xdr:txBody>
    </xdr:sp>
    <xdr:clientData/>
  </xdr:twoCellAnchor>
  <xdr:twoCellAnchor>
    <xdr:from>
      <xdr:col>17</xdr:col>
      <xdr:colOff>380260</xdr:colOff>
      <xdr:row>335</xdr:row>
      <xdr:rowOff>22955</xdr:rowOff>
    </xdr:from>
    <xdr:to>
      <xdr:col>18</xdr:col>
      <xdr:colOff>859059</xdr:colOff>
      <xdr:row>336</xdr:row>
      <xdr:rowOff>91951</xdr:rowOff>
    </xdr:to>
    <xdr:sp macro="" textlink="">
      <xdr:nvSpPr>
        <xdr:cNvPr id="39" name="Rectangle 38">
          <a:extLst>
            <a:ext uri="{FF2B5EF4-FFF2-40B4-BE49-F238E27FC236}">
              <a16:creationId xmlns:a16="http://schemas.microsoft.com/office/drawing/2014/main" id="{00000000-0008-0000-0000-000027000000}"/>
            </a:ext>
          </a:extLst>
        </xdr:cNvPr>
        <xdr:cNvSpPr/>
      </xdr:nvSpPr>
      <xdr:spPr>
        <a:xfrm>
          <a:off x="18192010" y="55182230"/>
          <a:ext cx="1526549" cy="249971"/>
        </a:xfrm>
        <a:prstGeom prst="rect">
          <a:avLst/>
        </a:prstGeom>
        <a:solidFill>
          <a:srgbClr val="A4201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Energy</a:t>
          </a:r>
        </a:p>
      </xdr:txBody>
    </xdr:sp>
    <xdr:clientData/>
  </xdr:twoCellAnchor>
  <xdr:twoCellAnchor>
    <xdr:from>
      <xdr:col>17</xdr:col>
      <xdr:colOff>385515</xdr:colOff>
      <xdr:row>333</xdr:row>
      <xdr:rowOff>52863</xdr:rowOff>
    </xdr:from>
    <xdr:to>
      <xdr:col>18</xdr:col>
      <xdr:colOff>864314</xdr:colOff>
      <xdr:row>334</xdr:row>
      <xdr:rowOff>121858</xdr:rowOff>
    </xdr:to>
    <xdr:sp macro="" textlink="">
      <xdr:nvSpPr>
        <xdr:cNvPr id="40" name="Rectangle 39">
          <a:extLst>
            <a:ext uri="{FF2B5EF4-FFF2-40B4-BE49-F238E27FC236}">
              <a16:creationId xmlns:a16="http://schemas.microsoft.com/office/drawing/2014/main" id="{00000000-0008-0000-0000-000028000000}"/>
            </a:ext>
          </a:extLst>
        </xdr:cNvPr>
        <xdr:cNvSpPr/>
      </xdr:nvSpPr>
      <xdr:spPr>
        <a:xfrm>
          <a:off x="18197265" y="54850188"/>
          <a:ext cx="1526549" cy="249970"/>
        </a:xfrm>
        <a:prstGeom prst="rect">
          <a:avLst/>
        </a:prstGeom>
        <a:solidFill>
          <a:srgbClr val="7F0C6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Transport</a:t>
          </a:r>
        </a:p>
      </xdr:txBody>
    </xdr:sp>
    <xdr:clientData/>
  </xdr:twoCellAnchor>
  <xdr:twoCellAnchor>
    <xdr:from>
      <xdr:col>17</xdr:col>
      <xdr:colOff>385515</xdr:colOff>
      <xdr:row>331</xdr:row>
      <xdr:rowOff>80051</xdr:rowOff>
    </xdr:from>
    <xdr:to>
      <xdr:col>18</xdr:col>
      <xdr:colOff>864314</xdr:colOff>
      <xdr:row>332</xdr:row>
      <xdr:rowOff>146511</xdr:rowOff>
    </xdr:to>
    <xdr:sp macro="" textlink="">
      <xdr:nvSpPr>
        <xdr:cNvPr id="41" name="Rectangle 40">
          <a:extLst>
            <a:ext uri="{FF2B5EF4-FFF2-40B4-BE49-F238E27FC236}">
              <a16:creationId xmlns:a16="http://schemas.microsoft.com/office/drawing/2014/main" id="{00000000-0008-0000-0000-000029000000}"/>
            </a:ext>
          </a:extLst>
        </xdr:cNvPr>
        <xdr:cNvSpPr/>
      </xdr:nvSpPr>
      <xdr:spPr>
        <a:xfrm>
          <a:off x="18197265" y="54515426"/>
          <a:ext cx="1526549" cy="247435"/>
        </a:xfrm>
        <a:prstGeom prst="rect">
          <a:avLst/>
        </a:prstGeom>
        <a:solidFill>
          <a:srgbClr val="520F9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Special</a:t>
          </a:r>
        </a:p>
      </xdr:txBody>
    </xdr:sp>
    <xdr:clientData/>
  </xdr:twoCellAnchor>
  <xdr:twoCellAnchor>
    <xdr:from>
      <xdr:col>17</xdr:col>
      <xdr:colOff>385515</xdr:colOff>
      <xdr:row>329</xdr:row>
      <xdr:rowOff>108411</xdr:rowOff>
    </xdr:from>
    <xdr:to>
      <xdr:col>18</xdr:col>
      <xdr:colOff>864314</xdr:colOff>
      <xdr:row>331</xdr:row>
      <xdr:rowOff>21486</xdr:rowOff>
    </xdr:to>
    <xdr:sp macro="" textlink="">
      <xdr:nvSpPr>
        <xdr:cNvPr id="42" name="Rectangle 41">
          <a:extLst>
            <a:ext uri="{FF2B5EF4-FFF2-40B4-BE49-F238E27FC236}">
              <a16:creationId xmlns:a16="http://schemas.microsoft.com/office/drawing/2014/main" id="{00000000-0008-0000-0000-00002A000000}"/>
            </a:ext>
          </a:extLst>
        </xdr:cNvPr>
        <xdr:cNvSpPr/>
      </xdr:nvSpPr>
      <xdr:spPr>
        <a:xfrm>
          <a:off x="18197265" y="54181836"/>
          <a:ext cx="1526549" cy="275025"/>
        </a:xfrm>
        <a:prstGeom prst="rect">
          <a:avLst/>
        </a:prstGeom>
        <a:solidFill>
          <a:srgbClr val="0352A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Water</a:t>
          </a:r>
        </a:p>
      </xdr:txBody>
    </xdr:sp>
    <xdr:clientData/>
  </xdr:twoCellAnchor>
  <xdr:twoCellAnchor>
    <xdr:from>
      <xdr:col>17</xdr:col>
      <xdr:colOff>385515</xdr:colOff>
      <xdr:row>327</xdr:row>
      <xdr:rowOff>162839</xdr:rowOff>
    </xdr:from>
    <xdr:to>
      <xdr:col>18</xdr:col>
      <xdr:colOff>864314</xdr:colOff>
      <xdr:row>329</xdr:row>
      <xdr:rowOff>75914</xdr:rowOff>
    </xdr:to>
    <xdr:sp macro="" textlink="">
      <xdr:nvSpPr>
        <xdr:cNvPr id="43" name="Rectangle 42">
          <a:extLst>
            <a:ext uri="{FF2B5EF4-FFF2-40B4-BE49-F238E27FC236}">
              <a16:creationId xmlns:a16="http://schemas.microsoft.com/office/drawing/2014/main" id="{00000000-0008-0000-0000-00002B000000}"/>
            </a:ext>
          </a:extLst>
        </xdr:cNvPr>
        <xdr:cNvSpPr/>
      </xdr:nvSpPr>
      <xdr:spPr>
        <a:xfrm>
          <a:off x="18197265" y="53874314"/>
          <a:ext cx="1526549" cy="275025"/>
        </a:xfrm>
        <a:prstGeom prst="rect">
          <a:avLst/>
        </a:prstGeom>
        <a:solidFill>
          <a:srgbClr val="006C4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ESS</a:t>
          </a:r>
        </a:p>
      </xdr:txBody>
    </xdr:sp>
    <xdr:clientData/>
  </xdr:twoCellAnchor>
  <xdr:twoCellAnchor>
    <xdr:from>
      <xdr:col>11</xdr:col>
      <xdr:colOff>1701</xdr:colOff>
      <xdr:row>172</xdr:row>
      <xdr:rowOff>105379</xdr:rowOff>
    </xdr:from>
    <xdr:to>
      <xdr:col>16</xdr:col>
      <xdr:colOff>522951</xdr:colOff>
      <xdr:row>186</xdr:row>
      <xdr:rowOff>148879</xdr:rowOff>
    </xdr:to>
    <xdr:graphicFrame macro="">
      <xdr:nvGraphicFramePr>
        <xdr:cNvPr id="44" name="9. Cluster column">
          <a:extLst>
            <a:ext uri="{FF2B5EF4-FFF2-40B4-BE49-F238E27FC236}">
              <a16:creationId xmlns:a16="http://schemas.microsoft.com/office/drawing/2014/main" id="{00000000-0008-0000-0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4720</xdr:colOff>
      <xdr:row>191</xdr:row>
      <xdr:rowOff>16364</xdr:rowOff>
    </xdr:from>
    <xdr:to>
      <xdr:col>16</xdr:col>
      <xdr:colOff>525970</xdr:colOff>
      <xdr:row>205</xdr:row>
      <xdr:rowOff>59864</xdr:rowOff>
    </xdr:to>
    <xdr:graphicFrame macro="">
      <xdr:nvGraphicFramePr>
        <xdr:cNvPr id="45" name="2. Scatter">
          <a:extLst>
            <a:ext uri="{FF2B5EF4-FFF2-40B4-BE49-F238E27FC236}">
              <a16:creationId xmlns:a16="http://schemas.microsoft.com/office/drawing/2014/main" id="{00000000-0008-0000-00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662939</xdr:colOff>
      <xdr:row>128</xdr:row>
      <xdr:rowOff>40821</xdr:rowOff>
    </xdr:from>
    <xdr:to>
      <xdr:col>17</xdr:col>
      <xdr:colOff>136439</xdr:colOff>
      <xdr:row>142</xdr:row>
      <xdr:rowOff>84321</xdr:rowOff>
    </xdr:to>
    <xdr:graphicFrame macro="">
      <xdr:nvGraphicFramePr>
        <xdr:cNvPr id="46" name="7. Stacked bar">
          <a:extLst>
            <a:ext uri="{FF2B5EF4-FFF2-40B4-BE49-F238E27FC236}">
              <a16:creationId xmlns:a16="http://schemas.microsoft.com/office/drawing/2014/main" id="{00000000-0008-0000-0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103050</xdr:colOff>
      <xdr:row>106</xdr:row>
      <xdr:rowOff>130825</xdr:rowOff>
    </xdr:from>
    <xdr:to>
      <xdr:col>8</xdr:col>
      <xdr:colOff>624300</xdr:colOff>
      <xdr:row>120</xdr:row>
      <xdr:rowOff>174325</xdr:rowOff>
    </xdr:to>
    <xdr:graphicFrame macro="">
      <xdr:nvGraphicFramePr>
        <xdr:cNvPr id="47" name="6. Cluster bar">
          <a:extLst>
            <a:ext uri="{FF2B5EF4-FFF2-40B4-BE49-F238E27FC236}">
              <a16:creationId xmlns:a16="http://schemas.microsoft.com/office/drawing/2014/main" id="{00000000-0008-0000-00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1092253</xdr:colOff>
      <xdr:row>254</xdr:row>
      <xdr:rowOff>98020</xdr:rowOff>
    </xdr:from>
    <xdr:to>
      <xdr:col>17</xdr:col>
      <xdr:colOff>1059596</xdr:colOff>
      <xdr:row>269</xdr:row>
      <xdr:rowOff>137209</xdr:rowOff>
    </xdr:to>
    <xdr:graphicFrame macro="">
      <xdr:nvGraphicFramePr>
        <xdr:cNvPr id="48" name="6. Cluster bar">
          <a:extLst>
            <a:ext uri="{FF2B5EF4-FFF2-40B4-BE49-F238E27FC236}">
              <a16:creationId xmlns:a16="http://schemas.microsoft.com/office/drawing/2014/main" id="{00000000-0008-0000-00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1071298</xdr:colOff>
      <xdr:row>252</xdr:row>
      <xdr:rowOff>0</xdr:rowOff>
    </xdr:from>
    <xdr:to>
      <xdr:col>17</xdr:col>
      <xdr:colOff>1038641</xdr:colOff>
      <xdr:row>254</xdr:row>
      <xdr:rowOff>107545</xdr:rowOff>
    </xdr:to>
    <xdr:sp macro="" textlink="">
      <xdr:nvSpPr>
        <xdr:cNvPr id="49" name="Text Box 135">
          <a:extLst>
            <a:ext uri="{FF2B5EF4-FFF2-40B4-BE49-F238E27FC236}">
              <a16:creationId xmlns:a16="http://schemas.microsoft.com/office/drawing/2014/main" id="{00000000-0008-0000-0000-000031000000}"/>
            </a:ext>
          </a:extLst>
        </xdr:cNvPr>
        <xdr:cNvSpPr txBox="1">
          <a:spLocks noChangeArrowheads="1"/>
        </xdr:cNvSpPr>
      </xdr:nvSpPr>
      <xdr:spPr bwMode="auto">
        <a:xfrm>
          <a:off x="10481998" y="40138350"/>
          <a:ext cx="8368393" cy="46949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13a. Pie 1-5 data point</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AU" sz="1000" b="1" i="0">
              <a:effectLst/>
              <a:latin typeface="+mn-lt"/>
              <a:ea typeface="+mn-ea"/>
              <a:cs typeface="+mn-cs"/>
            </a:rPr>
            <a:t>Pie Chart 1-5 data.crtx</a:t>
          </a:r>
          <a:endParaRPr lang="en-AU" sz="1000" b="1" i="0" strike="noStrike">
            <a:solidFill>
              <a:srgbClr val="000000"/>
            </a:solidFill>
            <a:latin typeface="Arial"/>
            <a:cs typeface="Arial"/>
          </a:endParaRPr>
        </a:p>
        <a:p>
          <a:pPr algn="ctr" rtl="0">
            <a:defRPr sz="1000"/>
          </a:pPr>
          <a:endParaRPr lang="en-AU" sz="1000" b="1" i="0" strike="noStrike">
            <a:solidFill>
              <a:srgbClr val="000000"/>
            </a:solidFill>
            <a:latin typeface="Arial"/>
            <a:cs typeface="Arial"/>
          </a:endParaRPr>
        </a:p>
      </xdr:txBody>
    </xdr:sp>
    <xdr:clientData/>
  </xdr:twoCellAnchor>
  <xdr:twoCellAnchor>
    <xdr:from>
      <xdr:col>11</xdr:col>
      <xdr:colOff>739185</xdr:colOff>
      <xdr:row>306</xdr:row>
      <xdr:rowOff>46957</xdr:rowOff>
    </xdr:from>
    <xdr:to>
      <xdr:col>16</xdr:col>
      <xdr:colOff>512042</xdr:colOff>
      <xdr:row>319</xdr:row>
      <xdr:rowOff>76057</xdr:rowOff>
    </xdr:to>
    <xdr:graphicFrame macro="">
      <xdr:nvGraphicFramePr>
        <xdr:cNvPr id="50" name="13. Pie">
          <a:extLst>
            <a:ext uri="{FF2B5EF4-FFF2-40B4-BE49-F238E27FC236}">
              <a16:creationId xmlns:a16="http://schemas.microsoft.com/office/drawing/2014/main" id="{00000000-0008-0000-0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729660</xdr:colOff>
      <xdr:row>302</xdr:row>
      <xdr:rowOff>176893</xdr:rowOff>
    </xdr:from>
    <xdr:to>
      <xdr:col>16</xdr:col>
      <xdr:colOff>476250</xdr:colOff>
      <xdr:row>306</xdr:row>
      <xdr:rowOff>27215</xdr:rowOff>
    </xdr:to>
    <xdr:sp macro="" textlink="">
      <xdr:nvSpPr>
        <xdr:cNvPr id="51" name="Text Box 136">
          <a:extLst>
            <a:ext uri="{FF2B5EF4-FFF2-40B4-BE49-F238E27FC236}">
              <a16:creationId xmlns:a16="http://schemas.microsoft.com/office/drawing/2014/main" id="{00000000-0008-0000-0000-000033000000}"/>
            </a:ext>
          </a:extLst>
        </xdr:cNvPr>
        <xdr:cNvSpPr txBox="1">
          <a:spLocks noChangeArrowheads="1"/>
        </xdr:cNvSpPr>
      </xdr:nvSpPr>
      <xdr:spPr bwMode="auto">
        <a:xfrm>
          <a:off x="12254910" y="49363993"/>
          <a:ext cx="4985340" cy="57422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16a. Doughnut</a:t>
          </a:r>
          <a:r>
            <a:rPr lang="en-AU" sz="1000" b="1" i="0" strike="noStrike" baseline="0">
              <a:solidFill>
                <a:srgbClr val="000000"/>
              </a:solidFill>
              <a:latin typeface="Arial"/>
              <a:cs typeface="Arial"/>
            </a:rPr>
            <a:t> 1-5 data points</a:t>
          </a:r>
        </a:p>
        <a:p>
          <a:pPr algn="ctr" rtl="0">
            <a:defRPr sz="1000"/>
          </a:pPr>
          <a:r>
            <a:rPr lang="en-AU" sz="1000" b="1" i="0" strike="noStrike">
              <a:solidFill>
                <a:srgbClr val="000000"/>
              </a:solidFill>
              <a:latin typeface="Arial"/>
              <a:cs typeface="Arial"/>
            </a:rPr>
            <a:t>Doughnut 1-5 data.crtx</a:t>
          </a:r>
        </a:p>
      </xdr:txBody>
    </xdr:sp>
    <xdr:clientData/>
  </xdr:twoCellAnchor>
  <xdr:twoCellAnchor>
    <xdr:from>
      <xdr:col>11</xdr:col>
      <xdr:colOff>69271</xdr:colOff>
      <xdr:row>169</xdr:row>
      <xdr:rowOff>27744</xdr:rowOff>
    </xdr:from>
    <xdr:to>
      <xdr:col>15</xdr:col>
      <xdr:colOff>987136</xdr:colOff>
      <xdr:row>171</xdr:row>
      <xdr:rowOff>40821</xdr:rowOff>
    </xdr:to>
    <xdr:sp macro="" textlink="">
      <xdr:nvSpPr>
        <xdr:cNvPr id="52" name="Text Box 132">
          <a:extLst>
            <a:ext uri="{FF2B5EF4-FFF2-40B4-BE49-F238E27FC236}">
              <a16:creationId xmlns:a16="http://schemas.microsoft.com/office/drawing/2014/main" id="{00000000-0008-0000-0000-000034000000}"/>
            </a:ext>
          </a:extLst>
        </xdr:cNvPr>
        <xdr:cNvSpPr txBox="1">
          <a:spLocks noChangeArrowheads="1"/>
        </xdr:cNvSpPr>
      </xdr:nvSpPr>
      <xdr:spPr bwMode="auto">
        <a:xfrm>
          <a:off x="11594521" y="25145169"/>
          <a:ext cx="5108865" cy="37502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9a. Cluster</a:t>
          </a:r>
          <a:r>
            <a:rPr lang="en-AU" sz="1000" b="1" i="0" strike="noStrike" baseline="0">
              <a:solidFill>
                <a:srgbClr val="000000"/>
              </a:solidFill>
              <a:latin typeface="Arial"/>
              <a:cs typeface="Arial"/>
            </a:rPr>
            <a:t> </a:t>
          </a:r>
          <a:r>
            <a:rPr lang="en-AU" sz="1000" b="1" i="0" strike="noStrike">
              <a:solidFill>
                <a:srgbClr val="000000"/>
              </a:solidFill>
              <a:latin typeface="Arial"/>
              <a:cs typeface="Arial"/>
            </a:rPr>
            <a:t>column 1-5 data points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AU" sz="1000" b="1" i="0">
              <a:effectLst/>
              <a:latin typeface="+mn-lt"/>
              <a:ea typeface="+mn-ea"/>
              <a:cs typeface="+mn-cs"/>
            </a:rPr>
            <a:t>Cluster Bar 1-5 data.crtx</a:t>
          </a:r>
          <a:endParaRPr lang="en-AU">
            <a:effectLst/>
          </a:endParaRPr>
        </a:p>
        <a:p>
          <a:pPr algn="ctr" rtl="0">
            <a:defRPr sz="1000"/>
          </a:pPr>
          <a:endParaRPr lang="en-AU" sz="1000" b="1" i="0" strike="noStrike">
            <a:solidFill>
              <a:srgbClr val="000000"/>
            </a:solidFill>
            <a:latin typeface="Arial"/>
            <a:cs typeface="Arial"/>
          </a:endParaRPr>
        </a:p>
        <a:p>
          <a:pPr algn="ctr" rtl="0">
            <a:defRPr sz="1000"/>
          </a:pPr>
          <a:endParaRPr lang="en-AU" sz="1000" b="1" i="0" strike="noStrike">
            <a:solidFill>
              <a:srgbClr val="000000"/>
            </a:solidFill>
            <a:latin typeface="Arial"/>
            <a:cs typeface="Arial"/>
          </a:endParaRPr>
        </a:p>
      </xdr:txBody>
    </xdr:sp>
    <xdr:clientData/>
  </xdr:twoCellAnchor>
  <xdr:twoCellAnchor>
    <xdr:from>
      <xdr:col>11</xdr:col>
      <xdr:colOff>597670</xdr:colOff>
      <xdr:row>189</xdr:row>
      <xdr:rowOff>0</xdr:rowOff>
    </xdr:from>
    <xdr:to>
      <xdr:col>15</xdr:col>
      <xdr:colOff>554182</xdr:colOff>
      <xdr:row>191</xdr:row>
      <xdr:rowOff>34637</xdr:rowOff>
    </xdr:to>
    <xdr:sp macro="" textlink="">
      <xdr:nvSpPr>
        <xdr:cNvPr id="53" name="Text Box 132">
          <a:extLst>
            <a:ext uri="{FF2B5EF4-FFF2-40B4-BE49-F238E27FC236}">
              <a16:creationId xmlns:a16="http://schemas.microsoft.com/office/drawing/2014/main" id="{00000000-0008-0000-0000-000035000000}"/>
            </a:ext>
          </a:extLst>
        </xdr:cNvPr>
        <xdr:cNvSpPr txBox="1">
          <a:spLocks noChangeArrowheads="1"/>
        </xdr:cNvSpPr>
      </xdr:nvSpPr>
      <xdr:spPr bwMode="auto">
        <a:xfrm>
          <a:off x="12122920" y="28736925"/>
          <a:ext cx="4147512" cy="39658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10a. Stacked column 1-5 data points</a:t>
          </a:r>
        </a:p>
        <a:p>
          <a:pPr algn="ctr" rtl="0">
            <a:defRPr sz="1000"/>
          </a:pPr>
          <a:r>
            <a:rPr lang="en-AU" sz="1000" b="1" i="0" strike="noStrike">
              <a:solidFill>
                <a:srgbClr val="000000"/>
              </a:solidFill>
              <a:latin typeface="Arial"/>
              <a:cs typeface="Arial"/>
            </a:rPr>
            <a:t>Stacked Column 1-5 data.crtx</a:t>
          </a:r>
        </a:p>
      </xdr:txBody>
    </xdr:sp>
    <xdr:clientData/>
  </xdr:twoCellAnchor>
  <xdr:twoCellAnchor>
    <xdr:from>
      <xdr:col>3</xdr:col>
      <xdr:colOff>6934</xdr:colOff>
      <xdr:row>104</xdr:row>
      <xdr:rowOff>121228</xdr:rowOff>
    </xdr:from>
    <xdr:to>
      <xdr:col>8</xdr:col>
      <xdr:colOff>123700</xdr:colOff>
      <xdr:row>107</xdr:row>
      <xdr:rowOff>17319</xdr:rowOff>
    </xdr:to>
    <xdr:sp macro="" textlink="">
      <xdr:nvSpPr>
        <xdr:cNvPr id="54" name="Text Box 126">
          <a:extLst>
            <a:ext uri="{FF2B5EF4-FFF2-40B4-BE49-F238E27FC236}">
              <a16:creationId xmlns:a16="http://schemas.microsoft.com/office/drawing/2014/main" id="{00000000-0008-0000-0000-000036000000}"/>
            </a:ext>
          </a:extLst>
        </xdr:cNvPr>
        <xdr:cNvSpPr txBox="1">
          <a:spLocks noChangeArrowheads="1"/>
        </xdr:cNvSpPr>
      </xdr:nvSpPr>
      <xdr:spPr bwMode="auto">
        <a:xfrm>
          <a:off x="3150184" y="13475278"/>
          <a:ext cx="5355516" cy="439016"/>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6. Cluster bar - 1-5 data points</a:t>
          </a:r>
        </a:p>
        <a:p>
          <a:pPr algn="ctr" rtl="0">
            <a:defRPr sz="1000"/>
          </a:pPr>
          <a:r>
            <a:rPr lang="en-AU" sz="1000" b="1" i="0" strike="noStrike">
              <a:solidFill>
                <a:srgbClr val="000000"/>
              </a:solidFill>
              <a:latin typeface="Arial"/>
              <a:cs typeface="Arial"/>
            </a:rPr>
            <a:t>Cluster Bar 1-5 data.crtx</a:t>
          </a:r>
        </a:p>
      </xdr:txBody>
    </xdr:sp>
    <xdr:clientData/>
  </xdr:twoCellAnchor>
  <xdr:twoCellAnchor>
    <xdr:from>
      <xdr:col>11</xdr:col>
      <xdr:colOff>1015683</xdr:colOff>
      <xdr:row>126</xdr:row>
      <xdr:rowOff>68036</xdr:rowOff>
    </xdr:from>
    <xdr:to>
      <xdr:col>16</xdr:col>
      <xdr:colOff>710046</xdr:colOff>
      <xdr:row>128</xdr:row>
      <xdr:rowOff>86591</xdr:rowOff>
    </xdr:to>
    <xdr:sp macro="" textlink="">
      <xdr:nvSpPr>
        <xdr:cNvPr id="55" name="Text Box 127">
          <a:extLst>
            <a:ext uri="{FF2B5EF4-FFF2-40B4-BE49-F238E27FC236}">
              <a16:creationId xmlns:a16="http://schemas.microsoft.com/office/drawing/2014/main" id="{00000000-0008-0000-0000-000037000000}"/>
            </a:ext>
          </a:extLst>
        </xdr:cNvPr>
        <xdr:cNvSpPr txBox="1">
          <a:spLocks noChangeArrowheads="1"/>
        </xdr:cNvSpPr>
      </xdr:nvSpPr>
      <xdr:spPr bwMode="auto">
        <a:xfrm>
          <a:off x="12540933" y="17403536"/>
          <a:ext cx="4933113" cy="38050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7. Stacked bar 1-5</a:t>
          </a:r>
        </a:p>
        <a:p>
          <a:pPr algn="ctr" rtl="0">
            <a:defRPr sz="1000"/>
          </a:pPr>
          <a:r>
            <a:rPr lang="en-AU" sz="1000" b="1" i="0" strike="noStrike">
              <a:solidFill>
                <a:srgbClr val="000000"/>
              </a:solidFill>
              <a:latin typeface="Arial"/>
              <a:cs typeface="Arial"/>
            </a:rPr>
            <a:t>Stacked Bar 1-5 data.crtx</a:t>
          </a:r>
        </a:p>
      </xdr:txBody>
    </xdr:sp>
    <xdr:clientData/>
  </xdr:twoCellAnchor>
  <xdr:twoCellAnchor>
    <xdr:from>
      <xdr:col>11</xdr:col>
      <xdr:colOff>186735</xdr:colOff>
      <xdr:row>146</xdr:row>
      <xdr:rowOff>78846</xdr:rowOff>
    </xdr:from>
    <xdr:to>
      <xdr:col>16</xdr:col>
      <xdr:colOff>225136</xdr:colOff>
      <xdr:row>148</xdr:row>
      <xdr:rowOff>17319</xdr:rowOff>
    </xdr:to>
    <xdr:sp macro="" textlink="">
      <xdr:nvSpPr>
        <xdr:cNvPr id="56" name="Text Box 128">
          <a:extLst>
            <a:ext uri="{FF2B5EF4-FFF2-40B4-BE49-F238E27FC236}">
              <a16:creationId xmlns:a16="http://schemas.microsoft.com/office/drawing/2014/main" id="{00000000-0008-0000-0000-000038000000}"/>
            </a:ext>
          </a:extLst>
        </xdr:cNvPr>
        <xdr:cNvSpPr txBox="1">
          <a:spLocks noChangeArrowheads="1"/>
        </xdr:cNvSpPr>
      </xdr:nvSpPr>
      <xdr:spPr bwMode="auto">
        <a:xfrm>
          <a:off x="11711985" y="21033846"/>
          <a:ext cx="5277151" cy="30042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8a. 100% Stacked bar1-5</a:t>
          </a:r>
          <a:r>
            <a:rPr lang="en-AU" sz="1000" b="1" i="0" strike="noStrike" baseline="0">
              <a:solidFill>
                <a:srgbClr val="000000"/>
              </a:solidFill>
              <a:latin typeface="Arial"/>
              <a:cs typeface="Arial"/>
            </a:rPr>
            <a:t> data</a:t>
          </a:r>
        </a:p>
        <a:p>
          <a:pPr algn="ctr" rtl="0">
            <a:defRPr sz="1000"/>
          </a:pPr>
          <a:r>
            <a:rPr lang="en-AU" sz="1000" b="1" i="0" strike="noStrike" baseline="0">
              <a:solidFill>
                <a:srgbClr val="000000"/>
              </a:solidFill>
              <a:latin typeface="Arial"/>
              <a:cs typeface="Arial"/>
            </a:rPr>
            <a:t>Stacked Bar 1-5 data.crtx</a:t>
          </a:r>
        </a:p>
        <a:p>
          <a:pPr algn="ctr" rtl="0">
            <a:defRPr sz="1000"/>
          </a:pPr>
          <a:endParaRPr lang="en-AU" sz="1000" b="1" i="0" strike="noStrike">
            <a:solidFill>
              <a:srgbClr val="000000"/>
            </a:solidFill>
            <a:latin typeface="Arial"/>
            <a:cs typeface="Arial"/>
          </a:endParaRPr>
        </a:p>
      </xdr:txBody>
    </xdr:sp>
    <xdr:clientData/>
  </xdr:twoCellAnchor>
  <xdr:twoCellAnchor>
    <xdr:from>
      <xdr:col>11</xdr:col>
      <xdr:colOff>214356</xdr:colOff>
      <xdr:row>147</xdr:row>
      <xdr:rowOff>85105</xdr:rowOff>
    </xdr:from>
    <xdr:to>
      <xdr:col>16</xdr:col>
      <xdr:colOff>735606</xdr:colOff>
      <xdr:row>161</xdr:row>
      <xdr:rowOff>128605</xdr:rowOff>
    </xdr:to>
    <xdr:graphicFrame macro="">
      <xdr:nvGraphicFramePr>
        <xdr:cNvPr id="57" name="8. 100% Stacked bar">
          <a:extLst>
            <a:ext uri="{FF2B5EF4-FFF2-40B4-BE49-F238E27FC236}">
              <a16:creationId xmlns:a16="http://schemas.microsoft.com/office/drawing/2014/main" id="{00000000-0008-0000-00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17287</xdr:colOff>
      <xdr:row>213</xdr:row>
      <xdr:rowOff>61428</xdr:rowOff>
    </xdr:from>
    <xdr:to>
      <xdr:col>16</xdr:col>
      <xdr:colOff>538537</xdr:colOff>
      <xdr:row>227</xdr:row>
      <xdr:rowOff>104928</xdr:rowOff>
    </xdr:to>
    <xdr:graphicFrame macro="">
      <xdr:nvGraphicFramePr>
        <xdr:cNvPr id="58" name="11. 100% Stacked column">
          <a:extLst>
            <a:ext uri="{FF2B5EF4-FFF2-40B4-BE49-F238E27FC236}">
              <a16:creationId xmlns:a16="http://schemas.microsoft.com/office/drawing/2014/main" id="{00000000-0008-0000-00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11</xdr:col>
      <xdr:colOff>17287</xdr:colOff>
      <xdr:row>210</xdr:row>
      <xdr:rowOff>108858</xdr:rowOff>
    </xdr:from>
    <xdr:to>
      <xdr:col>15</xdr:col>
      <xdr:colOff>1004454</xdr:colOff>
      <xdr:row>213</xdr:row>
      <xdr:rowOff>138546</xdr:rowOff>
    </xdr:to>
    <xdr:sp macro="" textlink="">
      <xdr:nvSpPr>
        <xdr:cNvPr id="59" name="Text Box 133">
          <a:extLst>
            <a:ext uri="{FF2B5EF4-FFF2-40B4-BE49-F238E27FC236}">
              <a16:creationId xmlns:a16="http://schemas.microsoft.com/office/drawing/2014/main" id="{00000000-0008-0000-0000-00003B000000}"/>
            </a:ext>
          </a:extLst>
        </xdr:cNvPr>
        <xdr:cNvSpPr txBox="1">
          <a:spLocks noChangeArrowheads="1"/>
        </xdr:cNvSpPr>
      </xdr:nvSpPr>
      <xdr:spPr bwMode="auto">
        <a:xfrm>
          <a:off x="11542537" y="32646258"/>
          <a:ext cx="5178167" cy="572613"/>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AU" sz="1000" b="1" i="0" strike="noStrike">
              <a:solidFill>
                <a:srgbClr val="000000"/>
              </a:solidFill>
              <a:latin typeface="Arial"/>
              <a:cs typeface="Arial"/>
            </a:rPr>
            <a:t>11a. 100% Stacked column </a:t>
          </a:r>
          <a:r>
            <a:rPr lang="en-AU" sz="1000" b="1" i="0">
              <a:effectLst/>
              <a:latin typeface="+mn-lt"/>
              <a:ea typeface="+mn-ea"/>
              <a:cs typeface="+mn-cs"/>
            </a:rPr>
            <a:t>1-5 data points</a:t>
          </a:r>
          <a:endParaRPr lang="en-AU">
            <a:effectLst/>
          </a:endParaRPr>
        </a:p>
        <a:p>
          <a:pPr algn="ctr" rtl="0">
            <a:defRPr sz="1000"/>
          </a:pPr>
          <a:r>
            <a:rPr lang="en-AU" sz="1000" b="1" i="0" strike="noStrike">
              <a:solidFill>
                <a:srgbClr val="000000"/>
              </a:solidFill>
              <a:latin typeface="Arial"/>
              <a:cs typeface="Arial"/>
            </a:rPr>
            <a:t>Stacked column 100% 1-5 data.crtx</a:t>
          </a:r>
        </a:p>
      </xdr:txBody>
    </xdr:sp>
    <xdr:clientData/>
  </xdr:twoCellAnchor>
  <xdr:twoCellAnchor>
    <xdr:from>
      <xdr:col>11</xdr:col>
      <xdr:colOff>738336</xdr:colOff>
      <xdr:row>47</xdr:row>
      <xdr:rowOff>31356</xdr:rowOff>
    </xdr:from>
    <xdr:to>
      <xdr:col>17</xdr:col>
      <xdr:colOff>211836</xdr:colOff>
      <xdr:row>61</xdr:row>
      <xdr:rowOff>74856</xdr:rowOff>
    </xdr:to>
    <xdr:graphicFrame macro="">
      <xdr:nvGraphicFramePr>
        <xdr:cNvPr id="60" name="1. Line">
          <a:extLst>
            <a:ext uri="{FF2B5EF4-FFF2-40B4-BE49-F238E27FC236}">
              <a16:creationId xmlns:a16="http://schemas.microsoft.com/office/drawing/2014/main" id="{00000000-0008-0000-00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316026</xdr:colOff>
      <xdr:row>172</xdr:row>
      <xdr:rowOff>105379</xdr:rowOff>
    </xdr:from>
    <xdr:to>
      <xdr:col>22</xdr:col>
      <xdr:colOff>837276</xdr:colOff>
      <xdr:row>186</xdr:row>
      <xdr:rowOff>148879</xdr:rowOff>
    </xdr:to>
    <xdr:graphicFrame macro="">
      <xdr:nvGraphicFramePr>
        <xdr:cNvPr id="61" name="9. Cluster column">
          <a:extLst>
            <a:ext uri="{FF2B5EF4-FFF2-40B4-BE49-F238E27FC236}">
              <a16:creationId xmlns:a16="http://schemas.microsoft.com/office/drawing/2014/main" id="{00000000-0008-0000-00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17</xdr:col>
      <xdr:colOff>483889</xdr:colOff>
      <xdr:row>170</xdr:row>
      <xdr:rowOff>54959</xdr:rowOff>
    </xdr:from>
    <xdr:to>
      <xdr:col>22</xdr:col>
      <xdr:colOff>213930</xdr:colOff>
      <xdr:row>172</xdr:row>
      <xdr:rowOff>54429</xdr:rowOff>
    </xdr:to>
    <xdr:sp macro="" textlink="">
      <xdr:nvSpPr>
        <xdr:cNvPr id="62" name="Text Box 132">
          <a:extLst>
            <a:ext uri="{FF2B5EF4-FFF2-40B4-BE49-F238E27FC236}">
              <a16:creationId xmlns:a16="http://schemas.microsoft.com/office/drawing/2014/main" id="{00000000-0008-0000-0000-00003E000000}"/>
            </a:ext>
          </a:extLst>
        </xdr:cNvPr>
        <xdr:cNvSpPr txBox="1">
          <a:spLocks noChangeArrowheads="1"/>
        </xdr:cNvSpPr>
      </xdr:nvSpPr>
      <xdr:spPr bwMode="auto">
        <a:xfrm>
          <a:off x="18295639" y="25353359"/>
          <a:ext cx="4968791" cy="36142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9a. Cluster</a:t>
          </a:r>
          <a:r>
            <a:rPr lang="en-AU" sz="1000" b="1" i="0" strike="noStrike" baseline="0">
              <a:solidFill>
                <a:srgbClr val="000000"/>
              </a:solidFill>
              <a:latin typeface="Arial"/>
              <a:cs typeface="Arial"/>
            </a:rPr>
            <a:t> </a:t>
          </a:r>
          <a:r>
            <a:rPr lang="en-AU" sz="1000" b="1" i="0" strike="noStrike">
              <a:solidFill>
                <a:srgbClr val="000000"/>
              </a:solidFill>
              <a:latin typeface="Arial"/>
              <a:cs typeface="Arial"/>
            </a:rPr>
            <a:t>column Comparison</a:t>
          </a:r>
        </a:p>
        <a:p>
          <a:pPr algn="ctr" rtl="0">
            <a:defRPr sz="1000"/>
          </a:pPr>
          <a:r>
            <a:rPr lang="en-AU" sz="1000" b="1" i="0" strike="noStrike">
              <a:solidFill>
                <a:srgbClr val="000000"/>
              </a:solidFill>
              <a:latin typeface="Arial"/>
              <a:cs typeface="Arial"/>
            </a:rPr>
            <a:t>Comparison - cluster column.crtx</a:t>
          </a:r>
        </a:p>
      </xdr:txBody>
    </xdr:sp>
    <xdr:clientData/>
  </xdr:twoCellAnchor>
  <xdr:twoCellAnchor>
    <xdr:from>
      <xdr:col>11</xdr:col>
      <xdr:colOff>375192</xdr:colOff>
      <xdr:row>106</xdr:row>
      <xdr:rowOff>130825</xdr:rowOff>
    </xdr:from>
    <xdr:to>
      <xdr:col>16</xdr:col>
      <xdr:colOff>896442</xdr:colOff>
      <xdr:row>120</xdr:row>
      <xdr:rowOff>174325</xdr:rowOff>
    </xdr:to>
    <xdr:graphicFrame macro="">
      <xdr:nvGraphicFramePr>
        <xdr:cNvPr id="63" name="6. Cluster bar">
          <a:extLst>
            <a:ext uri="{FF2B5EF4-FFF2-40B4-BE49-F238E27FC236}">
              <a16:creationId xmlns:a16="http://schemas.microsoft.com/office/drawing/2014/main" id="{00000000-0008-0000-00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279077</xdr:colOff>
      <xdr:row>104</xdr:row>
      <xdr:rowOff>86591</xdr:rowOff>
    </xdr:from>
    <xdr:to>
      <xdr:col>16</xdr:col>
      <xdr:colOff>395843</xdr:colOff>
      <xdr:row>107</xdr:row>
      <xdr:rowOff>17319</xdr:rowOff>
    </xdr:to>
    <xdr:sp macro="" textlink="">
      <xdr:nvSpPr>
        <xdr:cNvPr id="64" name="Text Box 126">
          <a:extLst>
            <a:ext uri="{FF2B5EF4-FFF2-40B4-BE49-F238E27FC236}">
              <a16:creationId xmlns:a16="http://schemas.microsoft.com/office/drawing/2014/main" id="{00000000-0008-0000-0000-000040000000}"/>
            </a:ext>
          </a:extLst>
        </xdr:cNvPr>
        <xdr:cNvSpPr txBox="1">
          <a:spLocks noChangeArrowheads="1"/>
        </xdr:cNvSpPr>
      </xdr:nvSpPr>
      <xdr:spPr bwMode="auto">
        <a:xfrm>
          <a:off x="11804327" y="13440641"/>
          <a:ext cx="5355516" cy="47365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6a. Cluster bar - Comparison</a:t>
          </a:r>
        </a:p>
        <a:p>
          <a:pPr algn="ctr" rtl="0">
            <a:defRPr sz="1000"/>
          </a:pPr>
          <a:r>
            <a:rPr lang="en-AU" sz="1000" b="1" i="0" strike="noStrike">
              <a:solidFill>
                <a:srgbClr val="000000"/>
              </a:solidFill>
              <a:latin typeface="Arial"/>
              <a:cs typeface="Arial"/>
            </a:rPr>
            <a:t>Cluster bar - Comparison.crtx</a:t>
          </a:r>
        </a:p>
      </xdr:txBody>
    </xdr:sp>
    <xdr:clientData/>
  </xdr:twoCellAnchor>
  <xdr:twoCellAnchor>
    <xdr:from>
      <xdr:col>11</xdr:col>
      <xdr:colOff>804636</xdr:colOff>
      <xdr:row>45</xdr:row>
      <xdr:rowOff>18976</xdr:rowOff>
    </xdr:from>
    <xdr:to>
      <xdr:col>16</xdr:col>
      <xdr:colOff>476251</xdr:colOff>
      <xdr:row>46</xdr:row>
      <xdr:rowOff>149680</xdr:rowOff>
    </xdr:to>
    <xdr:sp macro="" textlink="">
      <xdr:nvSpPr>
        <xdr:cNvPr id="65" name="Text Box 121">
          <a:extLst>
            <a:ext uri="{FF2B5EF4-FFF2-40B4-BE49-F238E27FC236}">
              <a16:creationId xmlns:a16="http://schemas.microsoft.com/office/drawing/2014/main" id="{00000000-0008-0000-0000-000041000000}"/>
            </a:ext>
          </a:extLst>
        </xdr:cNvPr>
        <xdr:cNvSpPr txBox="1">
          <a:spLocks noChangeArrowheads="1"/>
        </xdr:cNvSpPr>
      </xdr:nvSpPr>
      <xdr:spPr bwMode="auto">
        <a:xfrm>
          <a:off x="12329886" y="2695501"/>
          <a:ext cx="4910365" cy="311679"/>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1a. Line 1-5 data points</a:t>
          </a:r>
        </a:p>
        <a:p>
          <a:pPr algn="ctr" rtl="0">
            <a:defRPr sz="1000"/>
          </a:pPr>
          <a:r>
            <a:rPr lang="en-AU" sz="1000" b="1" i="0" strike="noStrike">
              <a:solidFill>
                <a:srgbClr val="000000"/>
              </a:solidFill>
              <a:latin typeface="Arial"/>
              <a:cs typeface="Arial"/>
            </a:rPr>
            <a:t>Line chart 1-5 data.crtx</a:t>
          </a:r>
        </a:p>
      </xdr:txBody>
    </xdr:sp>
    <xdr:clientData/>
  </xdr:twoCellAnchor>
  <xdr:twoCellAnchor>
    <xdr:from>
      <xdr:col>7</xdr:col>
      <xdr:colOff>480060</xdr:colOff>
      <xdr:row>5</xdr:row>
      <xdr:rowOff>144780</xdr:rowOff>
    </xdr:from>
    <xdr:to>
      <xdr:col>8</xdr:col>
      <xdr:colOff>38100</xdr:colOff>
      <xdr:row>8</xdr:row>
      <xdr:rowOff>7620</xdr:rowOff>
    </xdr:to>
    <xdr:sp macro="" textlink="">
      <xdr:nvSpPr>
        <xdr:cNvPr id="66" name="Line 141">
          <a:extLst>
            <a:ext uri="{FF2B5EF4-FFF2-40B4-BE49-F238E27FC236}">
              <a16:creationId xmlns:a16="http://schemas.microsoft.com/office/drawing/2014/main" id="{00000000-0008-0000-0000-000042000000}"/>
            </a:ext>
          </a:extLst>
        </xdr:cNvPr>
        <xdr:cNvSpPr>
          <a:spLocks noChangeShapeType="1"/>
        </xdr:cNvSpPr>
      </xdr:nvSpPr>
      <xdr:spPr bwMode="auto">
        <a:xfrm flipH="1">
          <a:off x="6947535" y="1049655"/>
          <a:ext cx="481965" cy="46291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5</xdr:row>
      <xdr:rowOff>7620</xdr:rowOff>
    </xdr:from>
    <xdr:to>
      <xdr:col>7</xdr:col>
      <xdr:colOff>198120</xdr:colOff>
      <xdr:row>8</xdr:row>
      <xdr:rowOff>30480</xdr:rowOff>
    </xdr:to>
    <xdr:sp macro="" textlink="">
      <xdr:nvSpPr>
        <xdr:cNvPr id="67" name="Line 142">
          <a:extLst>
            <a:ext uri="{FF2B5EF4-FFF2-40B4-BE49-F238E27FC236}">
              <a16:creationId xmlns:a16="http://schemas.microsoft.com/office/drawing/2014/main" id="{00000000-0008-0000-0000-000043000000}"/>
            </a:ext>
          </a:extLst>
        </xdr:cNvPr>
        <xdr:cNvSpPr>
          <a:spLocks noChangeShapeType="1"/>
        </xdr:cNvSpPr>
      </xdr:nvSpPr>
      <xdr:spPr bwMode="auto">
        <a:xfrm flipH="1">
          <a:off x="6115050" y="912495"/>
          <a:ext cx="550545" cy="62293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690880</xdr:colOff>
      <xdr:row>19</xdr:row>
      <xdr:rowOff>5715</xdr:rowOff>
    </xdr:from>
    <xdr:to>
      <xdr:col>7</xdr:col>
      <xdr:colOff>386080</xdr:colOff>
      <xdr:row>21</xdr:row>
      <xdr:rowOff>137160</xdr:rowOff>
    </xdr:to>
    <xdr:sp macro="" textlink="">
      <xdr:nvSpPr>
        <xdr:cNvPr id="68" name="Line 143">
          <a:extLst>
            <a:ext uri="{FF2B5EF4-FFF2-40B4-BE49-F238E27FC236}">
              <a16:creationId xmlns:a16="http://schemas.microsoft.com/office/drawing/2014/main" id="{00000000-0008-0000-0000-000044000000}"/>
            </a:ext>
          </a:extLst>
        </xdr:cNvPr>
        <xdr:cNvSpPr>
          <a:spLocks noChangeShapeType="1"/>
        </xdr:cNvSpPr>
      </xdr:nvSpPr>
      <xdr:spPr bwMode="auto">
        <a:xfrm flipH="1">
          <a:off x="6234430" y="3215640"/>
          <a:ext cx="619125" cy="5314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7620</xdr:colOff>
      <xdr:row>20</xdr:row>
      <xdr:rowOff>205740</xdr:rowOff>
    </xdr:from>
    <xdr:to>
      <xdr:col>8</xdr:col>
      <xdr:colOff>137160</xdr:colOff>
      <xdr:row>22</xdr:row>
      <xdr:rowOff>30480</xdr:rowOff>
    </xdr:to>
    <xdr:sp macro="" textlink="">
      <xdr:nvSpPr>
        <xdr:cNvPr id="69" name="Line 144">
          <a:extLst>
            <a:ext uri="{FF2B5EF4-FFF2-40B4-BE49-F238E27FC236}">
              <a16:creationId xmlns:a16="http://schemas.microsoft.com/office/drawing/2014/main" id="{00000000-0008-0000-0000-000045000000}"/>
            </a:ext>
          </a:extLst>
        </xdr:cNvPr>
        <xdr:cNvSpPr>
          <a:spLocks noChangeShapeType="1"/>
        </xdr:cNvSpPr>
      </xdr:nvSpPr>
      <xdr:spPr bwMode="auto">
        <a:xfrm flipH="1">
          <a:off x="7399020" y="3577590"/>
          <a:ext cx="129540" cy="2914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198120</xdr:colOff>
          <xdr:row>38</xdr:row>
          <xdr:rowOff>68580</xdr:rowOff>
        </xdr:from>
        <xdr:to>
          <xdr:col>3</xdr:col>
          <xdr:colOff>952500</xdr:colOff>
          <xdr:row>40</xdr:row>
          <xdr:rowOff>68580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  Logic of entire model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40</xdr:row>
          <xdr:rowOff>76200</xdr:rowOff>
        </xdr:from>
        <xdr:to>
          <xdr:col>3</xdr:col>
          <xdr:colOff>952500</xdr:colOff>
          <xdr:row>42</xdr:row>
          <xdr:rowOff>76200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  Logic of changes to model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1143000</xdr:colOff>
          <xdr:row>38</xdr:row>
          <xdr:rowOff>114300</xdr:rowOff>
        </xdr:from>
        <xdr:to>
          <xdr:col>5</xdr:col>
          <xdr:colOff>419100</xdr:colOff>
          <xdr:row>40</xdr:row>
          <xdr:rowOff>114300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1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 All inputs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1135380</xdr:colOff>
          <xdr:row>40</xdr:row>
          <xdr:rowOff>68580</xdr:rowOff>
        </xdr:from>
        <xdr:to>
          <xdr:col>5</xdr:col>
          <xdr:colOff>449580</xdr:colOff>
          <xdr:row>42</xdr:row>
          <xdr:rowOff>68580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1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 Specific inputs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4</xdr:col>
          <xdr:colOff>297180</xdr:colOff>
          <xdr:row>26</xdr:row>
          <xdr:rowOff>38100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1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  Information request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xdr:row>
          <xdr:rowOff>0</xdr:rowOff>
        </xdr:from>
        <xdr:to>
          <xdr:col>4</xdr:col>
          <xdr:colOff>228600</xdr:colOff>
          <xdr:row>30</xdr:row>
          <xdr:rowOff>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1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  Draft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30</xdr:row>
          <xdr:rowOff>0</xdr:rowOff>
        </xdr:from>
        <xdr:to>
          <xdr:col>4</xdr:col>
          <xdr:colOff>228600</xdr:colOff>
          <xdr:row>32</xdr:row>
          <xdr:rowOff>0</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1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  Final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26</xdr:row>
          <xdr:rowOff>7620</xdr:rowOff>
        </xdr:from>
        <xdr:to>
          <xdr:col>4</xdr:col>
          <xdr:colOff>297180</xdr:colOff>
          <xdr:row>28</xdr:row>
          <xdr:rowOff>7620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1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  Issues Paper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3</xdr:col>
          <xdr:colOff>533400</xdr:colOff>
          <xdr:row>34</xdr:row>
          <xdr:rowOff>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1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  Other - Please describe</a:t>
              </a:r>
            </a:p>
          </xdr:txBody>
        </xdr:sp>
        <xdr:clientData/>
      </xdr:twoCellAnchor>
    </mc:Choice>
    <mc:Fallback/>
  </mc:AlternateContent>
  <xdr:twoCellAnchor>
    <xdr:from>
      <xdr:col>2</xdr:col>
      <xdr:colOff>247650</xdr:colOff>
      <xdr:row>63</xdr:row>
      <xdr:rowOff>85725</xdr:rowOff>
    </xdr:from>
    <xdr:to>
      <xdr:col>2</xdr:col>
      <xdr:colOff>257175</xdr:colOff>
      <xdr:row>64</xdr:row>
      <xdr:rowOff>76200</xdr:rowOff>
    </xdr:to>
    <xdr:cxnSp macro="">
      <xdr:nvCxnSpPr>
        <xdr:cNvPr id="11" name="Straight Arrow Connector 10">
          <a:extLst>
            <a:ext uri="{FF2B5EF4-FFF2-40B4-BE49-F238E27FC236}">
              <a16:creationId xmlns:a16="http://schemas.microsoft.com/office/drawing/2014/main" id="{00000000-0008-0000-0100-00000B000000}"/>
            </a:ext>
          </a:extLst>
        </xdr:cNvPr>
        <xdr:cNvCxnSpPr/>
      </xdr:nvCxnSpPr>
      <xdr:spPr>
        <a:xfrm flipH="1">
          <a:off x="790575" y="10944225"/>
          <a:ext cx="9525" cy="1428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3126960</xdr:colOff>
      <xdr:row>46</xdr:row>
      <xdr:rowOff>27609</xdr:rowOff>
    </xdr:from>
    <xdr:to>
      <xdr:col>6</xdr:col>
      <xdr:colOff>3278533</xdr:colOff>
      <xdr:row>49</xdr:row>
      <xdr:rowOff>82550</xdr:rowOff>
    </xdr:to>
    <xdr:sp macro="" textlink="">
      <xdr:nvSpPr>
        <xdr:cNvPr id="12" name="Right Brace 11">
          <a:extLst>
            <a:ext uri="{FF2B5EF4-FFF2-40B4-BE49-F238E27FC236}">
              <a16:creationId xmlns:a16="http://schemas.microsoft.com/office/drawing/2014/main" id="{00000000-0008-0000-0100-00000C000000}"/>
            </a:ext>
          </a:extLst>
        </xdr:cNvPr>
        <xdr:cNvSpPr/>
      </xdr:nvSpPr>
      <xdr:spPr>
        <a:xfrm>
          <a:off x="8756235" y="8228634"/>
          <a:ext cx="151573" cy="512141"/>
        </a:xfrm>
        <a:prstGeom prst="rightBrace">
          <a:avLst>
            <a:gd name="adj1" fmla="val 62179"/>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198120</xdr:colOff>
          <xdr:row>38</xdr:row>
          <xdr:rowOff>68580</xdr:rowOff>
        </xdr:from>
        <xdr:to>
          <xdr:col>3</xdr:col>
          <xdr:colOff>1394460</xdr:colOff>
          <xdr:row>40</xdr:row>
          <xdr:rowOff>68580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2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  Logic of entire model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44</xdr:row>
          <xdr:rowOff>137160</xdr:rowOff>
        </xdr:from>
        <xdr:to>
          <xdr:col>3</xdr:col>
          <xdr:colOff>1394460</xdr:colOff>
          <xdr:row>46</xdr:row>
          <xdr:rowOff>137160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2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  Logic of specified sections of model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1851660</xdr:colOff>
          <xdr:row>38</xdr:row>
          <xdr:rowOff>114300</xdr:rowOff>
        </xdr:from>
        <xdr:to>
          <xdr:col>5</xdr:col>
          <xdr:colOff>1127760</xdr:colOff>
          <xdr:row>40</xdr:row>
          <xdr:rowOff>114300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2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 All inputs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1874520</xdr:colOff>
          <xdr:row>44</xdr:row>
          <xdr:rowOff>137160</xdr:rowOff>
        </xdr:from>
        <xdr:to>
          <xdr:col>5</xdr:col>
          <xdr:colOff>1188720</xdr:colOff>
          <xdr:row>46</xdr:row>
          <xdr:rowOff>137160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2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 Specific inputs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4</xdr:col>
          <xdr:colOff>121920</xdr:colOff>
          <xdr:row>26</xdr:row>
          <xdr:rowOff>22860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2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  Information request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xdr:row>
          <xdr:rowOff>0</xdr:rowOff>
        </xdr:from>
        <xdr:to>
          <xdr:col>4</xdr:col>
          <xdr:colOff>68580</xdr:colOff>
          <xdr:row>30</xdr:row>
          <xdr:rowOff>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2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  Draft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30</xdr:row>
          <xdr:rowOff>0</xdr:rowOff>
        </xdr:from>
        <xdr:to>
          <xdr:col>4</xdr:col>
          <xdr:colOff>68580</xdr:colOff>
          <xdr:row>32</xdr:row>
          <xdr:rowOff>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2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  Final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26</xdr:row>
          <xdr:rowOff>7620</xdr:rowOff>
        </xdr:from>
        <xdr:to>
          <xdr:col>4</xdr:col>
          <xdr:colOff>137160</xdr:colOff>
          <xdr:row>28</xdr:row>
          <xdr:rowOff>7620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2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  Issues Paper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3</xdr:col>
          <xdr:colOff>1021080</xdr:colOff>
          <xdr:row>34</xdr:row>
          <xdr:rowOff>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2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  Other - Please describe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40</xdr:row>
          <xdr:rowOff>45720</xdr:rowOff>
        </xdr:from>
        <xdr:to>
          <xdr:col>4</xdr:col>
          <xdr:colOff>861060</xdr:colOff>
          <xdr:row>42</xdr:row>
          <xdr:rowOff>22860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2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 Comprehensive model check (required for high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297180</xdr:colOff>
          <xdr:row>42</xdr:row>
          <xdr:rowOff>22860</xdr:rowOff>
        </xdr:from>
        <xdr:to>
          <xdr:col>4</xdr:col>
          <xdr:colOff>723900</xdr:colOff>
          <xdr:row>44</xdr:row>
          <xdr:rowOff>45720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2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 Moderate check e.g. simplified duplication of analysis* (required for medium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42</xdr:row>
          <xdr:rowOff>22860</xdr:rowOff>
        </xdr:from>
        <xdr:to>
          <xdr:col>6</xdr:col>
          <xdr:colOff>632460</xdr:colOff>
          <xdr:row>43</xdr:row>
          <xdr:rowOff>137160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2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Moderate check e.g. sampling of inputs* (required for medium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40</xdr:row>
          <xdr:rowOff>45720</xdr:rowOff>
        </xdr:from>
        <xdr:to>
          <xdr:col>5</xdr:col>
          <xdr:colOff>2506980</xdr:colOff>
          <xdr:row>41</xdr:row>
          <xdr:rowOff>121920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2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Comprehensive check (required for high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46</xdr:row>
          <xdr:rowOff>68580</xdr:rowOff>
        </xdr:from>
        <xdr:to>
          <xdr:col>4</xdr:col>
          <xdr:colOff>716280</xdr:colOff>
          <xdr:row>48</xdr:row>
          <xdr:rowOff>68580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2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Comprehensive model check (required for high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48</xdr:row>
          <xdr:rowOff>30480</xdr:rowOff>
        </xdr:from>
        <xdr:to>
          <xdr:col>4</xdr:col>
          <xdr:colOff>1089660</xdr:colOff>
          <xdr:row>51</xdr:row>
          <xdr:rowOff>68580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2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Moderate check e.g. simplified duplication of analysis* (required for medium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46</xdr:row>
          <xdr:rowOff>38100</xdr:rowOff>
        </xdr:from>
        <xdr:to>
          <xdr:col>5</xdr:col>
          <xdr:colOff>2788920</xdr:colOff>
          <xdr:row>48</xdr:row>
          <xdr:rowOff>76200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2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Comprehensive check (required for high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289560</xdr:colOff>
          <xdr:row>48</xdr:row>
          <xdr:rowOff>30480</xdr:rowOff>
        </xdr:from>
        <xdr:to>
          <xdr:col>6</xdr:col>
          <xdr:colOff>830580</xdr:colOff>
          <xdr:row>50</xdr:row>
          <xdr:rowOff>76200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2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AU" sz="800" b="0" i="0" u="none" strike="noStrike" baseline="0">
                  <a:solidFill>
                    <a:srgbClr val="000000"/>
                  </a:solidFill>
                  <a:latin typeface="Tahoma"/>
                  <a:ea typeface="Tahoma"/>
                  <a:cs typeface="Tahoma"/>
                </a:rPr>
                <a:t>Moderate check e.g. sampling of inputs* (required for medium risk)</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5</xdr:col>
      <xdr:colOff>1905</xdr:colOff>
      <xdr:row>2</xdr:row>
      <xdr:rowOff>11430</xdr:rowOff>
    </xdr:from>
    <xdr:to>
      <xdr:col>15</xdr:col>
      <xdr:colOff>544842</xdr:colOff>
      <xdr:row>55</xdr:row>
      <xdr:rowOff>96028</xdr:rowOff>
    </xdr:to>
    <xdr:pic>
      <xdr:nvPicPr>
        <xdr:cNvPr id="3" name="Picture 2">
          <a:extLst>
            <a:ext uri="{FF2B5EF4-FFF2-40B4-BE49-F238E27FC236}">
              <a16:creationId xmlns:a16="http://schemas.microsoft.com/office/drawing/2014/main" id="{C321AB02-7536-83D4-F642-3C224E2377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68980" y="316230"/>
          <a:ext cx="6065532" cy="8034163"/>
        </a:xfrm>
        <a:prstGeom prst="rect">
          <a:avLst/>
        </a:prstGeom>
      </xdr:spPr>
    </xdr:pic>
    <xdr:clientData/>
  </xdr:twoCellAnchor>
  <xdr:twoCellAnchor editAs="oneCell">
    <xdr:from>
      <xdr:col>17</xdr:col>
      <xdr:colOff>1905</xdr:colOff>
      <xdr:row>2</xdr:row>
      <xdr:rowOff>11430</xdr:rowOff>
    </xdr:from>
    <xdr:to>
      <xdr:col>30</xdr:col>
      <xdr:colOff>286908</xdr:colOff>
      <xdr:row>41</xdr:row>
      <xdr:rowOff>135267</xdr:rowOff>
    </xdr:to>
    <xdr:pic>
      <xdr:nvPicPr>
        <xdr:cNvPr id="5" name="Picture 4">
          <a:extLst>
            <a:ext uri="{FF2B5EF4-FFF2-40B4-BE49-F238E27FC236}">
              <a16:creationId xmlns:a16="http://schemas.microsoft.com/office/drawing/2014/main" id="{C68E3AA8-8FE0-B36D-706E-823B4E04DE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98380" y="316230"/>
          <a:ext cx="7463043" cy="6063627"/>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150FB44-722E-403D-88E5-2E434F95B983}" name="TableProjectLevelWorksSchedule" displayName="TableProjectLevelWorksSchedule" ref="D18:G179" totalsRowShown="0">
  <tableColumns count="4">
    <tableColumn id="3" xr3:uid="{5C50C6FD-F248-4318-8EB7-AF64EF62BFD6}" name="Work project reference" dataDxfId="143"/>
    <tableColumn id="1" xr3:uid="{CFCC13AE-B56C-4970-A0A9-336D84D92CF2}" name="Work project" dataDxfId="142">
      <calculatedColumnFormula>IF(#REF!&lt;&gt;"",#REF!,"")</calculatedColumnFormula>
    </tableColumn>
    <tableColumn id="4" xr3:uid="{2D7434E3-A32D-41A2-BB57-B81668E6FC55}" name="Infrastructure category included" dataDxfId="141" dataCellStyle="Input #">
      <calculatedColumnFormula array="1">IFERROR(IF(E19&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calculatedColumnFormula>
    </tableColumn>
    <tableColumn id="2" xr3:uid="{45EEF419-C5F6-4324-8308-627E828F2E05}" name="Total project benchmark cost" dataDxfId="140" dataCellStyle="Currency [0]">
      <calculatedColumnFormula>IF(TableProjectLevelWorksSchedule[[#This Row],[Work project]]&lt;&gt;"",SUMIF(TableTransport[Work project],TableProjectLevelWorksSchedule[[#This Row],[Work project]],TableTransport[Total benchmark cost])+SUMIF(TableStormwater[Work project],TableProjectLevelWorksSchedule[[#This Row],[Work project]],TableStormwater[Total benchmark cost])+SUMIF(TableOpenSpace[Work project],TableProjectLevelWorksSchedule[[#This Row],[Work project]],TableOpenSpace[Total benchmark cost]),"")</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ECA2CD8-4D55-4BFF-81B3-1772B0C130C7}" name="TableTransport" displayName="TableTransport" ref="D15:AD66" headerRowDxfId="139" tableBorderDxfId="138">
  <autoFilter ref="D15:AD66" xr:uid="{1ECA2CD8-4D55-4BFF-81B3-1772B0C130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autoFilter>
  <tableColumns count="27">
    <tableColumn id="24" xr3:uid="{0F42AD6A-CA9F-4E8B-8699-8CAB6B13AE16}" name="#" dataDxfId="137" totalsRowDxfId="136" dataCellStyle="Input #">
      <calculatedColumnFormula>ROW()-16</calculatedColumnFormula>
    </tableColumn>
    <tableColumn id="25" xr3:uid="{FDD2558E-F670-4632-998A-2EFB69A1E96D}" name="Item reference" dataDxfId="135" totalsRowDxfId="134" dataCellStyle="Input #"/>
    <tableColumn id="1" xr3:uid="{95C735AB-C3CA-4E20-96ED-EC6D8E0F5ED3}" name="Type of infrastructure" totalsRowLabel="Total" totalsRowDxfId="133" dataCellStyle="Input #"/>
    <tableColumn id="18" xr3:uid="{349A2639-39AB-45FF-9A5E-A45FDF51DD09}" name="Sub-item" totalsRowDxfId="132" dataCellStyle="Input #"/>
    <tableColumn id="23" xr3:uid="{68A39B6A-88E9-4B8A-855D-23F99B7534D1}" name="Helper Column - Name Range" dataDxfId="131" totalsRowDxfId="130" dataCellStyle="Input2">
      <calculatedColumnFormula>IFERROR(_xlfn.XLOOKUP(F16,Lists!$C$10:$C$41,Lists!$D$10:$D$41),0)</calculatedColumnFormula>
    </tableColumn>
    <tableColumn id="26" xr3:uid="{00E4C56D-734A-49D0-845E-4CFAC71FF7FC}" name="Item description" dataDxfId="129" totalsRowDxfId="128" dataCellStyle="Input2"/>
    <tableColumn id="28" xr3:uid="{17F9C65E-9E58-41B0-9665-D1A5E7B05692}" name="Work project" dataDxfId="127" totalsRowDxfId="126" dataCellStyle="Input #"/>
    <tableColumn id="2" xr3:uid="{25FCB378-6F9C-414E-8822-3433B7630923}" name="Unit rate" dataDxfId="125" totalsRowDxfId="124">
      <calculatedColumnFormula array="1">IFERROR(IF($H16=0,INDEX('Variable index'!$E$6:$F$51,MATCH($F16,'Variable index'!$C$6:$C$51,0),$F$12),INDEX('Variable index'!$E$6:$F$51,MATCH(_xlfn.CONCAT($F16," - ",$G16),'Variable index'!$C$6:$C$51,0),$F$12)),"")</calculatedColumnFormula>
    </tableColumn>
    <tableColumn id="19" xr3:uid="{2C68952A-2395-4DF4-A5ED-60F3802F6E66}" name="Unit" dataDxfId="123" totalsRowDxfId="122">
      <calculatedColumnFormula>IFERROR(_xlfn.CONCAT("$ per ",IF($H16=0,_xlfn.XLOOKUP($F16,'Variable index'!$C$6:$C$51,'Variable index'!$D$6:$D$51),_xlfn.XLOOKUP(_xlfn.CONCAT($F16," - ",$G16),'Variable index'!$C$6:$C$51,'Variable index'!$D$6:$D$51))),"")</calculatedColumnFormula>
    </tableColumn>
    <tableColumn id="3" xr3:uid="{64354BB6-CE51-4F82-BEF1-9A7928812390}" name="Unit quantity" dataDxfId="121" dataCellStyle="Input #"/>
    <tableColumn id="4" xr3:uid="{DDC0C4E8-BA51-46A3-8156-3D265BEE9471}" name="Benchmark base construction cost" totalsRowFunction="sum" dataDxfId="120" totalsRowDxfId="119" dataCellStyle="Currency [0]">
      <calculatedColumnFormula>IFERROR(TableTransport[[#This Row],[Unit rate]]*TableTransport[[#This Row],[Unit quantity]],"")</calculatedColumnFormula>
    </tableColumn>
    <tableColumn id="5" xr3:uid="{C5AE36C0-FAFE-43C9-A4F8-2617B8EB243D}" name="Location" dataDxfId="118" dataCellStyle="Input #">
      <calculatedColumnFormula>IF(TableTransport[[#This Row],[Type of infrastructure]]&lt;&gt;"",Summary!$F$8,"")</calculatedColumnFormula>
    </tableColumn>
    <tableColumn id="6" xr3:uid="{A78C51E4-1B73-4B29-8EE9-27CF7D59E325}" name="Proximity to raw materials (in kilometres)" dataDxfId="117" dataCellStyle="Input #">
      <calculatedColumnFormula>IF(TableTransport[[#This Row],[Type of infrastructure]]&lt;&gt;"",Summary!$F$9,"")</calculatedColumnFormula>
    </tableColumn>
    <tableColumn id="7" xr3:uid="{DE25756B-BF27-4BD1-A198-827130BDC304}" name="Site constraints (as a percentage %)" dataDxfId="116" dataCellStyle="Input %"/>
    <tableColumn id="8" xr3:uid="{54DCACBC-6E59-4C74-A141-B8D919701915}" name="Waste disposal - type of waste (if applicable)" dataDxfId="115" totalsRowDxfId="114" dataCellStyle="Input #"/>
    <tableColumn id="9" xr3:uid="{7AB9A32B-6A5F-41CB-8050-DADB33014446}" name="Waste disposal quantity (in tonnes)" dataDxfId="113" dataCellStyle="Input #"/>
    <tableColumn id="13" xr3:uid="{3D5901A8-F68B-47BF-9476-0F6145D91A13}" name="Contaminated land remediation (if applicable)" dataDxfId="112" dataCellStyle="Input #"/>
    <tableColumn id="14" xr3:uid="{2688D501-BBBE-46A9-B77A-EA28A45F0AF4}" name="Contaminated land area (in square metres)" dataDxfId="111" dataCellStyle="Input #"/>
    <tableColumn id="10" xr3:uid="{835F1EBF-92E9-4036-8121-9CB3C86AC346}" name="On costs" dataDxfId="110">
      <calculatedColumnFormula array="1">IF(N16&lt;&gt;"",_xlfn.IFS(AND(N16&gt;'Variable index'!$K$35,N16&lt;'Variable index'!$K$36),'Variable index'!$L$35,AND(N16&gt;'Variable index'!$K$36,N16&lt;'Variable index'!$K$37),'Variable index'!$L$36,AND(N16&gt;'Variable index'!$K$37,N16&lt;'Variable index'!$K$38),'Variable index'!$L$37,N16&gt;='Variable index'!$K$38,'Variable index'!$L$38),"")</calculatedColumnFormula>
    </tableColumn>
    <tableColumn id="16" xr3:uid="{38B009CD-9013-4915-9133-D95A1D299B52}" name="Is there a cultural heritage impact?" dataDxfId="109" dataCellStyle="Input #"/>
    <tableColumn id="15" xr3:uid="{509685E8-AA89-4923-9D25-C331BE0E59CD}" name="Cultural heritage (if applicable)" dataDxfId="108">
      <calculatedColumnFormula array="1">IF(W16&lt;&gt;"",_xlfn.IFS(W16="Yes",_xlfn.IFS(AND(N16&gt;'Variable index'!$K$35,N16&lt;'Variable index'!$K$36),'Variable index'!$M$35,AND(N16&gt;'Variable index'!$K$36,N16&lt;'Variable index'!$K$37),'Variable index'!$M$36,AND(N16&gt;'Variable index'!$K$37,N16&lt;'Variable index'!$K$38),'Variable index'!$M$37,N16&gt;='Variable index'!$K$38,'Variable index'!$M$38),W16="No",0),"")</calculatedColumnFormula>
    </tableColumn>
    <tableColumn id="11" xr3:uid="{D4B61F21-8B2F-4A5C-AF7C-2443E421A15B}" name="Stage of development" dataDxfId="107" dataCellStyle="Input #"/>
    <tableColumn id="17" xr3:uid="{2FFFC1F8-DBEA-447B-AD7E-2B3161E5B405}" name="Contingency" dataDxfId="106">
      <calculatedColumnFormula array="1">IF(N16&lt;&gt;"",_xlfn.IFS(Y16='Variable index'!$J$53,SUM('Variable index'!$K$48:$M$48),Y16='Variable index'!$J$54,SUM('Variable index'!$L$48:$M$48),Y16='Variable index'!$J$55,SUM('Variable index'!$M$48)),"")</calculatedColumnFormula>
    </tableColumn>
    <tableColumn id="12" xr3:uid="{C0FF5301-719C-4234-BE6B-DF907C6803D2}" name="Total benchmark cost" totalsRowFunction="sum" dataDxfId="105" totalsRowDxfId="104" dataCellStyle="Currency [0]">
      <calculatedColumnFormula array="1">IFERROR(N16*(1+_xlfn.XLOOKUP(O16,'Rawlinsons regional indices'!$A$2:$A$63,'Rawlinsons regional indices'!$C$2:$C$63)+Q16+_xlfn.IFS(P16&lt;'Variable index'!$J$17,'Variable index'!$K$13,AND(P16&gt;='Variable index'!$J$17,P16&lt;'Variable index'!$J$18),'Variable index'!$L$13,P16&gt;='Variable index'!$J$18,'Variable index'!$M$13))+IF(R16&lt;&gt;"",INDEX('Variable index'!$E$57:$F$65,MATCH(R16,'Variable index'!$C$57:$C$65,0),$F$12)*S16)+IF(T16&lt;&gt;"",INDEX('Variable index'!$E$68:$F$73,MATCH(T16,'Variable index'!$C$68:$C$73,0),$F$12)*U16)+(N16*V16)+(N16*X16)+(N16*Z16),"")</calculatedColumnFormula>
    </tableColumn>
    <tableColumn id="20" xr3:uid="{B99121AD-6A75-4378-AEDE-3D76A2118B1E}" name="Your works schedule cost" totalsRowFunction="sum" dataDxfId="103" totalsRowDxfId="102" dataCellStyle="Input #"/>
    <tableColumn id="21" xr3:uid="{8E170663-F316-4161-A3D8-AB20F2D98821}" name="Cost comparison ($)" totalsRowFunction="sum" dataDxfId="101" totalsRowDxfId="100" dataCellStyle="Currency [0]">
      <calculatedColumnFormula>IF(AB16&lt;&gt;"",AB16-AA16,"")</calculatedColumnFormula>
    </tableColumn>
    <tableColumn id="22" xr3:uid="{EFB78103-F2BD-4C8C-81CF-68B79784DF82}" name="Cost comparison (%)" totalsRowFunction="custom" dataDxfId="99" totalsRowDxfId="98" dataCellStyle="Currency [0]">
      <calculatedColumnFormula>IF(AB16&lt;&gt;"",(AB16-AA16)/AA16,"")</calculatedColumnFormula>
      <totalsRowFormula>IFERROR((TableTransport[[#Totals],[Your works schedule cost]]-TableTransport[[#Totals],[Total benchmark cost]])/TableTransport[[#Totals],[Total benchmark cost]],"")</totalsRowFormula>
    </tableColumn>
  </tableColumns>
  <tableStyleInfo name="TableStyleLight9" showFirstColumn="1" showLastColumn="1" showRowStripes="1" showColumnStripes="1"/>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127920E-4913-4597-938A-8F83413169F7}" name="TableStormwater" displayName="TableStormwater" ref="D15:AD66" headerRowDxfId="97" totalsRowDxfId="95" tableBorderDxfId="96">
  <autoFilter ref="D15:AD66" xr:uid="{1ECA2CD8-4D55-4BFF-81B3-1772B0C130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autoFilter>
  <tableColumns count="27">
    <tableColumn id="24" xr3:uid="{40530562-B49F-4C49-AD43-E8BA0059DFEB}" name="#" dataDxfId="94" totalsRowDxfId="93" dataCellStyle="Input #">
      <calculatedColumnFormula>ROW()-15</calculatedColumnFormula>
    </tableColumn>
    <tableColumn id="25" xr3:uid="{20043621-21BA-417B-B227-B321D2DF02E6}" name="Item reference" dataDxfId="92" totalsRowDxfId="91" dataCellStyle="Input #"/>
    <tableColumn id="1" xr3:uid="{F6327757-A8FA-4DBE-B8D1-5C2B3584450C}" name="Type of infrastructure" totalsRowLabel="Total" dataDxfId="90" totalsRowDxfId="89" dataCellStyle="Input #"/>
    <tableColumn id="18" xr3:uid="{464FD7C3-C1E0-43C9-BDD2-D5A30BB127AF}" name="Sub-item" dataDxfId="88" totalsRowDxfId="87" dataCellStyle="Input #"/>
    <tableColumn id="19" xr3:uid="{00E079B1-ECF8-4C82-9CB4-363364BA602B}" name="Helper Column - Name Range" dataDxfId="86" totalsRowDxfId="85" dataCellStyle="Input2">
      <calculatedColumnFormula>IFERROR(_xlfn.XLOOKUP(F16,Lists!$C$47:$C$63,Lists!$D$47:$D$63),0)</calculatedColumnFormula>
    </tableColumn>
    <tableColumn id="27" xr3:uid="{A2F012E5-7AE7-4137-BA36-781730416176}" name="Item description" dataDxfId="84" totalsRowDxfId="83" dataCellStyle="Input2"/>
    <tableColumn id="26" xr3:uid="{2299DD13-F629-457F-BC51-E961378B30A4}" name="Work project" dataDxfId="82" totalsRowDxfId="81" dataCellStyle="Input #"/>
    <tableColumn id="2" xr3:uid="{B6FEE136-418D-4489-B0E3-A4C3992A616E}" name="Unit rate" dataDxfId="80" totalsRowDxfId="79">
      <calculatedColumnFormula array="1">IFERROR(IF($H16=0,INDEX('Variable index'!$E$79:$F$126,MATCH($F16,'Variable index'!$C$79:$C$126,0),$F$12),INDEX('Variable index'!$E$79:$F$127,MATCH(_xlfn.CONCAT($F16," - ",$G16),'Variable index'!$C$79:$C$126,0),$F$12)),"")</calculatedColumnFormula>
    </tableColumn>
    <tableColumn id="23" xr3:uid="{F75F595F-0628-4AE8-B234-AF13B59AEC0B}" name="Unit" dataDxfId="78" totalsRowDxfId="77">
      <calculatedColumnFormula>IFERROR(_xlfn.CONCAT("$ per ",IF($H16=0,_xlfn.XLOOKUP($F16,'Variable index'!$C$79:$C$126,'Variable index'!$D$79:$D$126),_xlfn.XLOOKUP(_xlfn.CONCAT($F16," - ",$G16),'Variable index'!$C$79:$C$126,'Variable index'!$D$79:$D$126))),"")</calculatedColumnFormula>
    </tableColumn>
    <tableColumn id="3" xr3:uid="{A281645A-87FC-4A9D-A9F1-06315877F666}" name="Unit quantity" dataDxfId="76" dataCellStyle="Input #"/>
    <tableColumn id="4" xr3:uid="{35508645-0077-4575-9926-336C2A19C816}" name="Benchmark base construction cost" totalsRowFunction="sum" dataDxfId="75" totalsRowDxfId="74" dataCellStyle="Currency [0]">
      <calculatedColumnFormula>IFERROR(TableStormwater[[#This Row],[Unit rate]]*TableStormwater[[#This Row],[Unit quantity]],"")</calculatedColumnFormula>
    </tableColumn>
    <tableColumn id="5" xr3:uid="{1A48CA58-6CBD-4DA4-81C4-853587E633F9}" name="Location" dataDxfId="73" dataCellStyle="Input #">
      <calculatedColumnFormula>IF(TableStormwater[[#This Row],[Type of infrastructure]]&lt;&gt;"",Summary!$F$8,"")</calculatedColumnFormula>
    </tableColumn>
    <tableColumn id="6" xr3:uid="{06B83A9C-9821-40EC-B883-6176FB0C9F33}" name="Proximity to raw materials (in kilometres)" dataDxfId="72" dataCellStyle="Input #">
      <calculatedColumnFormula>IF(TableStormwater[[#This Row],[Type of infrastructure]]&lt;&gt;"",Summary!$F$9,"")</calculatedColumnFormula>
    </tableColumn>
    <tableColumn id="7" xr3:uid="{81B2D3D9-E656-4426-953D-E63E2ECBCC0F}" name="Site constraints (as a percentage %)" dataDxfId="71" dataCellStyle="Input %"/>
    <tableColumn id="8" xr3:uid="{65F8E334-D737-441D-BBA3-9B1E5F738C58}" name="Waste disposal - type of waste (if applicable)" dataDxfId="70" totalsRowDxfId="69" dataCellStyle="Input #"/>
    <tableColumn id="9" xr3:uid="{1D077949-0C97-40C2-B04A-9C0B1A1CB70D}" name="Waste disposal quantity (in tonnes)" dataDxfId="68" dataCellStyle="Input #"/>
    <tableColumn id="13" xr3:uid="{6496D258-E271-46FC-A0B7-6D00179D8B8F}" name="Contaminated land remediation (if applicable)" dataDxfId="67" dataCellStyle="Input #"/>
    <tableColumn id="14" xr3:uid="{AE7FE1CD-C747-47ED-8484-D407ED248BD3}" name="Contaminated land area (in square metres)" dataDxfId="66" dataCellStyle="Input #"/>
    <tableColumn id="10" xr3:uid="{15A6B8D1-99EF-440C-9CEE-CEF038138BDB}" name="On costs" dataDxfId="65" dataCellStyle="Percent">
      <calculatedColumnFormula array="1">IF(N16&lt;&gt;"",_xlfn.IFS(AND(N16&gt;='Variable index'!$K$35,N16&lt;'Variable index'!$K$36),'Variable index'!$L$35,AND(N16&gt;='Variable index'!$K$36,N16&lt;'Variable index'!$K$37),'Variable index'!$L$36,AND(N16&gt;='Variable index'!$K$37,N16&lt;'Variable index'!$K$38),'Variable index'!$L$37,N16&gt;='Variable index'!$K$38,'Variable index'!$L$38),"")</calculatedColumnFormula>
    </tableColumn>
    <tableColumn id="16" xr3:uid="{A03E1789-2BF6-4FC0-A66E-B909AD2F772C}" name="Is there a cultural heritage impact?" dataDxfId="64" dataCellStyle="Input #"/>
    <tableColumn id="15" xr3:uid="{ED5EDCD7-8173-4420-AD31-72696D162808}" name="Cultural heritage (if applicable)" dataDxfId="63" dataCellStyle="Percent">
      <calculatedColumnFormula array="1">IF(W16&lt;&gt;"",_xlfn.IFS(W16="Yes",_xlfn.IFS(AND(N16&gt;'Variable index'!$K$35,N16&lt;'Variable index'!$K$36),'Variable index'!$M$35,AND(N16&gt;'Variable index'!$K$36,N16&lt;'Variable index'!$K$37),'Variable index'!$M$36,AND(N16&gt;'Variable index'!$K$37,N16&lt;'Variable index'!$K$38),'Variable index'!$M$37,N16&gt;='Variable index'!$K$38,'Variable index'!$M$38),W16="No",0),"")</calculatedColumnFormula>
    </tableColumn>
    <tableColumn id="11" xr3:uid="{A8B98C6D-6BF2-45A7-B072-922A5915F608}" name="Stage of development" dataDxfId="62" dataCellStyle="Input #"/>
    <tableColumn id="17" xr3:uid="{4EA572FA-2C9E-4C45-9B90-070D45A3C920}" name="Contingency" dataDxfId="61" dataCellStyle="Percent">
      <calculatedColumnFormula array="1">IF(N16&lt;&gt;"",_xlfn.IFS(Y16='Variable index'!$J$53,SUM('Variable index'!$K$49:$M$49),Y16='Variable index'!$J$54,SUM('Variable index'!$L$49:$M$49),Y16='Variable index'!$J$55,SUM('Variable index'!$M$49)),"")</calculatedColumnFormula>
    </tableColumn>
    <tableColumn id="12" xr3:uid="{143052A2-572C-4A15-838C-6EFBB5B291B7}" name="Total benchmark cost" totalsRowFunction="sum" dataDxfId="60" totalsRowDxfId="59" dataCellStyle="Currency [0]">
      <calculatedColumnFormula array="1">IFERROR(N16*(1+_xlfn.XLOOKUP(O16,'Rawlinsons regional indices'!$A$2:$A$63,'Rawlinsons regional indices'!$C$2:$C$63)+Q16+_xlfn.IFS(P16&lt;'Variable index'!$J$17,'Variable index'!$K$14,AND(P16&gt;='Variable index'!$J$17,P16&lt;'Variable index'!$J$18),'Variable index'!$L$14,P16&gt;='Variable index'!$J$18,'Variable index'!$M$14))+(IF(R16&lt;&gt;"",INDEX('Variable index'!$E$57:$F$65,MATCH($R16,'Variable index'!$C$57:$C$65,0),$F$12),0)*S16)+(IF(T16&lt;&gt;"",INDEX('Variable index'!$E$68:$F$73,MATCH($T16,'Variable index'!$C$68:$C$73,0),$F$12),0)*U16)+(N16*V16)+(N16*X16)+(N16*Z16),"")</calculatedColumnFormula>
    </tableColumn>
    <tableColumn id="20" xr3:uid="{10CF6AC7-0548-436C-B6A9-818BDCC78CAC}" name="Your works schedule cost" totalsRowFunction="sum" dataDxfId="58" dataCellStyle="Input #"/>
    <tableColumn id="21" xr3:uid="{67799CF8-7610-4986-B373-B566C6E82BEC}" name="Cost comparison ($)" totalsRowFunction="sum" dataDxfId="57" dataCellStyle="Currency [0]">
      <calculatedColumnFormula>IF(AB16&lt;&gt;"",AB16-AA16,"")</calculatedColumnFormula>
    </tableColumn>
    <tableColumn id="22" xr3:uid="{6A67760A-255B-4F28-A596-D57F154BC580}" name="Cost comparison (%)" totalsRowFunction="custom" dataDxfId="56" dataCellStyle="Currency [0]">
      <calculatedColumnFormula>IF(AB16&lt;&gt;"",(AB16-AA16)/AA16,"")</calculatedColumnFormula>
      <totalsRowFormula>IFERROR((TableStormwater[[#Totals],[Your works schedule cost]]-TableStormwater[[#Totals],[Total benchmark cost]])/TableStormwater[[#Totals],[Total benchmark cost]],"")</totalsRowFormula>
    </tableColumn>
  </tableColumns>
  <tableStyleInfo name="TableStyleLight9" showFirstColumn="1" showLastColumn="1" showRowStripes="1" showColumnStripes="1"/>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AC998DC-2BD7-4E0F-87F6-56D931B0EF90}" name="TableOpenSpace" displayName="TableOpenSpace" ref="D15:AD66" headerRowDxfId="55" totalsRowDxfId="53" tableBorderDxfId="54">
  <autoFilter ref="D15:AD66" xr:uid="{1ECA2CD8-4D55-4BFF-81B3-1772B0C130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autoFilter>
  <tableColumns count="27">
    <tableColumn id="18" xr3:uid="{CA382FD1-D217-4E21-A0D3-D6305F3F8983}" name="#" dataDxfId="52" totalsRowDxfId="51" dataCellStyle="Input #">
      <calculatedColumnFormula>ROW()-18</calculatedColumnFormula>
    </tableColumn>
    <tableColumn id="25" xr3:uid="{D153A85A-20E3-40F2-8737-2C8DC85C6D97}" name="Item reference" dataDxfId="50" totalsRowDxfId="49" dataCellStyle="Input #"/>
    <tableColumn id="1" xr3:uid="{47024027-77B9-41E0-A62B-921EA423E708}" name="Type of infrastructure" totalsRowLabel="Total" dataDxfId="48" totalsRowDxfId="47" dataCellStyle="Input #"/>
    <tableColumn id="24" xr3:uid="{FDB5F7AE-79CC-483B-9C79-B56252E20044}" name="Sub-item" dataDxfId="46" totalsRowDxfId="45" dataCellStyle="Input #"/>
    <tableColumn id="23" xr3:uid="{A766D62E-1F5D-4450-B9A0-EA1B3AC453B1}" name="Helper Column - Name Range" dataDxfId="44" totalsRowDxfId="43" dataCellStyle="Input2">
      <calculatedColumnFormula>IFERROR(_xlfn.XLOOKUP(F16,Lists!$C$69:$C$99,Lists!$D$69:$D$99),0)</calculatedColumnFormula>
    </tableColumn>
    <tableColumn id="26" xr3:uid="{7A369BC3-532B-4FFE-832C-023627E1B279}" name="Item description" dataDxfId="42" totalsRowDxfId="41" dataCellStyle="Input2"/>
    <tableColumn id="27" xr3:uid="{375C1F5B-A81E-423F-8915-6BC536C3821D}" name="Work project" dataDxfId="40" totalsRowDxfId="39" dataCellStyle="Input #"/>
    <tableColumn id="2" xr3:uid="{E7E488AA-E6B5-4D36-B62B-6A881B0998D3}" name="Unit rate" dataDxfId="38" totalsRowDxfId="37">
      <calculatedColumnFormula array="1">IFERROR(IF($H16=0,INDEX('Variable index'!$E$132:$F$215,MATCH($F16,'Variable index'!$C$132:$C$215,0),$F$12),INDEX('Variable index'!$E$132:$F$215,MATCH(_xlfn.CONCAT($F16," - ",$G16),'Variable index'!$C$132:$C$215,0),$F$12)),"")</calculatedColumnFormula>
    </tableColumn>
    <tableColumn id="19" xr3:uid="{4709B460-B400-4CB0-8B7C-79E8BF35CF4F}" name="Unit" dataDxfId="36" totalsRowDxfId="35">
      <calculatedColumnFormula>IFERROR(_xlfn.CONCAT("$ per ",IF($H16=0,_xlfn.XLOOKUP($F16,'Variable index'!$C$132:$C$215,'Variable index'!$D$132:$D$215),_xlfn.XLOOKUP(_xlfn.CONCAT($F16," - ",$G16),'Variable index'!$C$132:$C$215,'Variable index'!$D$132:$D$215))),"")</calculatedColumnFormula>
    </tableColumn>
    <tableColumn id="3" xr3:uid="{1C869252-8BF0-4FAB-95A0-12BD0CA8E862}" name="Unit quantity" dataDxfId="34" totalsRowDxfId="33" dataCellStyle="Input #"/>
    <tableColumn id="4" xr3:uid="{63E65E8B-F1B1-459C-9714-20578805C791}" name="Benchmark base construction cost" totalsRowFunction="sum" dataDxfId="32" dataCellStyle="Currency [0]">
      <calculatedColumnFormula>IFERROR(TableOpenSpace[[#This Row],[Unit rate]]*TableOpenSpace[[#This Row],[Unit quantity]],"")</calculatedColumnFormula>
    </tableColumn>
    <tableColumn id="5" xr3:uid="{009F2142-302B-4295-9637-37621C932AB0}" name="Location" dataDxfId="31" totalsRowDxfId="30" dataCellStyle="Input #">
      <calculatedColumnFormula>IF(TableOpenSpace[[#This Row],[Type of infrastructure]]&lt;&gt;"",Summary!$F$8,"")</calculatedColumnFormula>
    </tableColumn>
    <tableColumn id="6" xr3:uid="{A05FD229-0505-4B81-939F-469FACE6A846}" name="Proximity to raw materials (in kilometres)" dataDxfId="29" totalsRowDxfId="28" dataCellStyle="Input #">
      <calculatedColumnFormula>IF(TableOpenSpace[[#This Row],[Type of infrastructure]]&lt;&gt;"",Summary!$F$9,"")</calculatedColumnFormula>
    </tableColumn>
    <tableColumn id="7" xr3:uid="{5997E704-D59E-4DAC-9089-BE3FF1A7CBD7}" name="Site constraints (as a percentage %)" dataDxfId="27" totalsRowDxfId="26" dataCellStyle="Input %"/>
    <tableColumn id="8" xr3:uid="{B4EF65E2-5ADD-4933-A89A-D52FFA413ACA}" name="Waste disposal - type of waste (if applicable)" dataDxfId="25" totalsRowDxfId="24" dataCellStyle="Input #"/>
    <tableColumn id="9" xr3:uid="{91429104-DC6E-4B44-BB93-C8701FC46D36}" name="Waste disposal quantity (in tonnes)" dataDxfId="23" totalsRowDxfId="22" dataCellStyle="Input #"/>
    <tableColumn id="13" xr3:uid="{FF8E9183-EE03-4FDC-B59E-907CF43513F8}" name="Contaminated land remediation (if applicable)" dataDxfId="21" totalsRowDxfId="20" dataCellStyle="Input #"/>
    <tableColumn id="14" xr3:uid="{C04196C8-4D99-4EB0-9AE2-EC59FA9B55D1}" name="Contaminated land area (in square metres)" dataDxfId="19" totalsRowDxfId="18" dataCellStyle="Input #"/>
    <tableColumn id="10" xr3:uid="{AB111E0E-7E09-4F2A-86D6-B0A9EE7D939F}" name="On costs" dataDxfId="17" totalsRowDxfId="16" dataCellStyle="Percent">
      <calculatedColumnFormula array="1">IF(N16&lt;&gt;"",_xlfn.IFS(AND(N16&gt;'Variable index'!$K$35,N16&lt;'Variable index'!$K$36),'Variable index'!$L$35,AND(N16&gt;'Variable index'!$K$36,N16&lt;'Variable index'!$K$37),'Variable index'!$L$36,AND(N16&gt;'Variable index'!$K$37,N16&lt;'Variable index'!$K$38),'Variable index'!$L$37,N16&gt;='Variable index'!$K$38,'Variable index'!$L$38),"")</calculatedColumnFormula>
    </tableColumn>
    <tableColumn id="16" xr3:uid="{8FEC8CF1-1D1C-4D02-8B0B-BC981F98D4D0}" name="Is there a cultural heritage impact?" dataDxfId="15" totalsRowDxfId="14" dataCellStyle="Input #"/>
    <tableColumn id="15" xr3:uid="{86B63FF8-5B0A-4647-9ADC-D511E4F304AC}" name="Cultural heritage (if applicable)" dataDxfId="13" totalsRowDxfId="12" dataCellStyle="Percent">
      <calculatedColumnFormula array="1">IF(W16&lt;&gt;"",_xlfn.IFS(W16="Yes",_xlfn.IFS(AND(N16&gt;'Variable index'!$K$35,N16&lt;'Variable index'!$K$36),'Variable index'!$M$35,AND(N16&gt;'Variable index'!$K$36,N16&lt;'Variable index'!$K$37),'Variable index'!$M$36,AND(N16&gt;'Variable index'!$K$37,N16&lt;'Variable index'!$K$38),'Variable index'!$M$37,N16&gt;='Variable index'!$K$38,'Variable index'!$M$38),W16="No",0),"")</calculatedColumnFormula>
    </tableColumn>
    <tableColumn id="11" xr3:uid="{043744EA-C725-48AF-B873-837073AB158B}" name="Stage of development" dataDxfId="11" totalsRowDxfId="10" dataCellStyle="Input #"/>
    <tableColumn id="17" xr3:uid="{FB3F5049-AC70-4A2E-8455-5BD65EE562AF}" name="Contingency" dataDxfId="9" totalsRowDxfId="8" dataCellStyle="Percent">
      <calculatedColumnFormula array="1">IF(N16&lt;&gt;"",_xlfn.IFS(Y16='Variable index'!$J$53,SUM('Variable index'!$K$50:$M$50),Y16='Variable index'!$J$54,SUM('Variable index'!$L$50:$M$50),Y16='Variable index'!$J$55,SUM('Variable index'!$M$50)),"")</calculatedColumnFormula>
    </tableColumn>
    <tableColumn id="12" xr3:uid="{E3270B5F-5EA9-416C-B975-BA8E7DD692D3}" name="Total benchmark cost" totalsRowFunction="sum" dataDxfId="7" dataCellStyle="Currency [0]">
      <calculatedColumnFormula array="1">IFERROR(N16*(1+_xlfn.XLOOKUP(O16,'Rawlinsons regional indices'!$A$2:$A$63,'Rawlinsons regional indices'!$C$2:$C$63)+Q16)+(IF(R16&lt;&gt;"",INDEX('Variable index'!$E$57:$F$65,MATCH($R16,'Variable index'!$C$57:$C$65,0),$F$12),0)*S16)+(IF(T16&lt;&gt;"",INDEX('Variable index'!$E$68:$F$73,MATCH($T16,'Variable index'!$C$68:$C$73,0),$F$12),0)*U16)+(N16*V16)+(N16*X16)+(N16*Z16),"")</calculatedColumnFormula>
    </tableColumn>
    <tableColumn id="20" xr3:uid="{0074E877-77D4-4C62-9546-815BBAE743A6}" name="Your works schedule cost" totalsRowFunction="sum" dataDxfId="6" totalsRowDxfId="5" dataCellStyle="Input #"/>
    <tableColumn id="21" xr3:uid="{B21C5808-178F-4D57-87C1-6CB7000664C1}" name="Cost comparison ($)" totalsRowFunction="sum" dataDxfId="4" dataCellStyle="Currency [0]">
      <calculatedColumnFormula>IF(AB16&lt;&gt;"",AB16-AA16,"")</calculatedColumnFormula>
    </tableColumn>
    <tableColumn id="22" xr3:uid="{E0AD46F8-51D5-43E7-B361-3FA82F84EEFE}" name="Cost comparison (%)" totalsRowFunction="custom" dataDxfId="3" dataCellStyle="Currency [0]">
      <calculatedColumnFormula>IFERROR((TableOpenSpace[[#This Row],[Your works schedule cost]]-TableOpenSpace[[#This Row],[Total benchmark cost]])/TableOpenSpace[[#This Row],[Total benchmark cost]],"")</calculatedColumnFormula>
      <totalsRowFormula>IFERROR((TableOpenSpace[[#Totals],[Your works schedule cost]]-TableOpenSpace[[#Totals],[Total benchmark cost]])/TableOpenSpace[[#Totals],[Total benchmark cost]],"")</totalsRowFormula>
    </tableColumn>
  </tableColumns>
  <tableStyleInfo name="TableStyleLight9" showFirstColumn="1" showLastColumn="1" showRowStripes="1" showColumnStripes="1"/>
</table>
</file>

<file path=xl/theme/theme1.xml><?xml version="1.0" encoding="utf-8"?>
<a:theme xmlns:a="http://schemas.openxmlformats.org/drawingml/2006/main" name="iPart">
  <a:themeElements>
    <a:clrScheme name="IPART Colours">
      <a:dk1>
        <a:srgbClr val="2E2E2F"/>
      </a:dk1>
      <a:lt1>
        <a:sysClr val="window" lastClr="FFFFFF"/>
      </a:lt1>
      <a:dk2>
        <a:srgbClr val="011D4B"/>
      </a:dk2>
      <a:lt2>
        <a:srgbClr val="ECE9E7"/>
      </a:lt2>
      <a:accent1>
        <a:srgbClr val="1C355E"/>
      </a:accent1>
      <a:accent2>
        <a:srgbClr val="3E5376"/>
      </a:accent2>
      <a:accent3>
        <a:srgbClr val="7287A6"/>
      </a:accent3>
      <a:accent4>
        <a:srgbClr val="C6CDD7"/>
      </a:accent4>
      <a:accent5>
        <a:srgbClr val="009DDB"/>
      </a:accent5>
      <a:accent6>
        <a:srgbClr val="115F7E"/>
      </a:accent6>
      <a:hlink>
        <a:srgbClr val="00AEEF"/>
      </a:hlink>
      <a:folHlink>
        <a:srgbClr val="520F9A"/>
      </a:folHlink>
    </a:clrScheme>
    <a:fontScheme name="Aria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iPart" id="{5B29015D-EA79-45B6-9D51-0920F8122064}" vid="{EB9EA9A6-3ABD-45FF-A322-72402604B089}"/>
    </a:ext>
  </a:extLst>
</a:theme>
</file>

<file path=xl/theme/themeOverride1.xml><?xml version="1.0" encoding="utf-8"?>
<a:themeOverride xmlns:a="http://schemas.openxmlformats.org/drawingml/2006/main">
  <a:clrScheme name="IPART Branding 2020">
    <a:dk1>
      <a:srgbClr val="2E2E2F"/>
    </a:dk1>
    <a:lt1>
      <a:sysClr val="window" lastClr="FFFFFF"/>
    </a:lt1>
    <a:dk2>
      <a:srgbClr val="011D4B"/>
    </a:dk2>
    <a:lt2>
      <a:srgbClr val="ECE9E7"/>
    </a:lt2>
    <a:accent1>
      <a:srgbClr val="1C355E"/>
    </a:accent1>
    <a:accent2>
      <a:srgbClr val="3E5376"/>
    </a:accent2>
    <a:accent3>
      <a:srgbClr val="7287A6"/>
    </a:accent3>
    <a:accent4>
      <a:srgbClr val="C6CDD7"/>
    </a:accent4>
    <a:accent5>
      <a:srgbClr val="009DDB"/>
    </a:accent5>
    <a:accent6>
      <a:srgbClr val="115F7E"/>
    </a:accent6>
    <a:hlink>
      <a:srgbClr val="00AEEF"/>
    </a:hlink>
    <a:folHlink>
      <a:srgbClr val="520F9A"/>
    </a:folHlink>
  </a:clrScheme>
  <a:fontScheme name="Raleway">
    <a:majorFont>
      <a:latin typeface="Raleway"/>
      <a:ea typeface=""/>
      <a:cs typeface=""/>
    </a:majorFont>
    <a:minorFont>
      <a:latin typeface="Raleway"/>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IPART Branding 2020">
    <a:dk1>
      <a:srgbClr val="2E2E2F"/>
    </a:dk1>
    <a:lt1>
      <a:sysClr val="window" lastClr="FFFFFF"/>
    </a:lt1>
    <a:dk2>
      <a:srgbClr val="011D4B"/>
    </a:dk2>
    <a:lt2>
      <a:srgbClr val="ECE9E7"/>
    </a:lt2>
    <a:accent1>
      <a:srgbClr val="1C355E"/>
    </a:accent1>
    <a:accent2>
      <a:srgbClr val="3E5376"/>
    </a:accent2>
    <a:accent3>
      <a:srgbClr val="7287A6"/>
    </a:accent3>
    <a:accent4>
      <a:srgbClr val="C6CDD7"/>
    </a:accent4>
    <a:accent5>
      <a:srgbClr val="009DDB"/>
    </a:accent5>
    <a:accent6>
      <a:srgbClr val="115F7E"/>
    </a:accent6>
    <a:hlink>
      <a:srgbClr val="00AEEF"/>
    </a:hlink>
    <a:folHlink>
      <a:srgbClr val="520F9A"/>
    </a:folHlink>
  </a:clrScheme>
  <a:fontScheme name="Raleway">
    <a:majorFont>
      <a:latin typeface="Raleway"/>
      <a:ea typeface=""/>
      <a:cs typeface=""/>
    </a:majorFont>
    <a:minorFont>
      <a:latin typeface="Raleway"/>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IPART Branding 2020">
    <a:dk1>
      <a:srgbClr val="2E2E2F"/>
    </a:dk1>
    <a:lt1>
      <a:sysClr val="window" lastClr="FFFFFF"/>
    </a:lt1>
    <a:dk2>
      <a:srgbClr val="011D4B"/>
    </a:dk2>
    <a:lt2>
      <a:srgbClr val="ECE9E7"/>
    </a:lt2>
    <a:accent1>
      <a:srgbClr val="1C355E"/>
    </a:accent1>
    <a:accent2>
      <a:srgbClr val="3E5376"/>
    </a:accent2>
    <a:accent3>
      <a:srgbClr val="7287A6"/>
    </a:accent3>
    <a:accent4>
      <a:srgbClr val="C6CDD7"/>
    </a:accent4>
    <a:accent5>
      <a:srgbClr val="009DDB"/>
    </a:accent5>
    <a:accent6>
      <a:srgbClr val="115F7E"/>
    </a:accent6>
    <a:hlink>
      <a:srgbClr val="00AEEF"/>
    </a:hlink>
    <a:folHlink>
      <a:srgbClr val="520F9A"/>
    </a:folHlink>
  </a:clrScheme>
  <a:fontScheme name="Raleway">
    <a:majorFont>
      <a:latin typeface="Raleway"/>
      <a:ea typeface=""/>
      <a:cs typeface=""/>
    </a:majorFont>
    <a:minorFont>
      <a:latin typeface="Raleway"/>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IPART Branding 2020">
    <a:dk1>
      <a:srgbClr val="2E2E2F"/>
    </a:dk1>
    <a:lt1>
      <a:sysClr val="window" lastClr="FFFFFF"/>
    </a:lt1>
    <a:dk2>
      <a:srgbClr val="011D4B"/>
    </a:dk2>
    <a:lt2>
      <a:srgbClr val="ECE9E7"/>
    </a:lt2>
    <a:accent1>
      <a:srgbClr val="1C355E"/>
    </a:accent1>
    <a:accent2>
      <a:srgbClr val="3E5376"/>
    </a:accent2>
    <a:accent3>
      <a:srgbClr val="7287A6"/>
    </a:accent3>
    <a:accent4>
      <a:srgbClr val="C6CDD7"/>
    </a:accent4>
    <a:accent5>
      <a:srgbClr val="009DDB"/>
    </a:accent5>
    <a:accent6>
      <a:srgbClr val="115F7E"/>
    </a:accent6>
    <a:hlink>
      <a:srgbClr val="00AEEF"/>
    </a:hlink>
    <a:folHlink>
      <a:srgbClr val="520F9A"/>
    </a:folHlink>
  </a:clrScheme>
  <a:fontScheme name="Raleway">
    <a:majorFont>
      <a:latin typeface="Raleway"/>
      <a:ea typeface=""/>
      <a:cs typeface=""/>
    </a:majorFont>
    <a:minorFont>
      <a:latin typeface="Raleway"/>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rawlhouse.com.au/" TargetMode="External"/><Relationship Id="rId1" Type="http://schemas.openxmlformats.org/officeDocument/2006/relationships/hyperlink" Target="https://www.rawlhouse.com.au/"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18" Type="http://schemas.openxmlformats.org/officeDocument/2006/relationships/ctrlProp" Target="../ctrlProps/ctrlProp24.xml"/><Relationship Id="rId3" Type="http://schemas.openxmlformats.org/officeDocument/2006/relationships/vmlDrawing" Target="../drawings/vmlDrawing2.v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 Type="http://schemas.openxmlformats.org/officeDocument/2006/relationships/drawing" Target="../drawings/drawing3.xml"/><Relationship Id="rId16" Type="http://schemas.openxmlformats.org/officeDocument/2006/relationships/ctrlProp" Target="../ctrlProps/ctrlProp22.xml"/><Relationship Id="rId20" Type="http://schemas.openxmlformats.org/officeDocument/2006/relationships/ctrlProp" Target="../ctrlProps/ctrlProp26.xml"/><Relationship Id="rId1" Type="http://schemas.openxmlformats.org/officeDocument/2006/relationships/printerSettings" Target="../printerSettings/printerSettings3.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19" Type="http://schemas.openxmlformats.org/officeDocument/2006/relationships/ctrlProp" Target="../ctrlProps/ctrlProp25.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ipart.nsw.gov.au/Home/Industries/Local-Government/Local-Infrastructure-Contributions-Plans/Current-and-completed-assessment-of-plans" TargetMode="External"/><Relationship Id="rId7" Type="http://schemas.openxmlformats.org/officeDocument/2006/relationships/printerSettings" Target="../printerSettings/printerSettings5.bin"/><Relationship Id="rId2" Type="http://schemas.openxmlformats.org/officeDocument/2006/relationships/hyperlink" Target="https://www.ipart.nsw.gov.au/documents/document/benchmark-costs-local-infrastructure-4-april-2025" TargetMode="External"/><Relationship Id="rId1" Type="http://schemas.openxmlformats.org/officeDocument/2006/relationships/hyperlink" Target="mailto:isaac.dimatteo@ipart.nsw.gov.au" TargetMode="External"/><Relationship Id="rId6" Type="http://schemas.openxmlformats.org/officeDocument/2006/relationships/hyperlink" Target="https://www.ipart.nsw.gov.au/documents/final-report/final-report-review-our-approach-assessing-contributions-plans-april-2025?timeline_id=18400" TargetMode="External"/><Relationship Id="rId5" Type="http://schemas.openxmlformats.org/officeDocument/2006/relationships/hyperlink" Target="mailto:localgovernment@ipart.nsw.gov.au" TargetMode="External"/><Relationship Id="rId4" Type="http://schemas.openxmlformats.org/officeDocument/2006/relationships/hyperlink" Target="https://www.ipart.nsw.gov.au/documents/information-paper/information-paper-ipart-assessment-local-infrastructure-contributions-plans-july-2025" TargetMode="Externa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M205"/>
  <sheetViews>
    <sheetView showGridLines="0" zoomScale="70" zoomScaleNormal="70" workbookViewId="0">
      <selection activeCell="C48" sqref="C48:G48"/>
    </sheetView>
  </sheetViews>
  <sheetFormatPr defaultColWidth="15.75" defaultRowHeight="13.8" x14ac:dyDescent="0.25"/>
  <cols>
    <col min="1" max="16384" width="15.75" style="50"/>
  </cols>
  <sheetData>
    <row r="1" spans="1:11" x14ac:dyDescent="0.25">
      <c r="A1" s="48"/>
      <c r="B1" s="48"/>
      <c r="C1" s="49"/>
      <c r="D1" s="49"/>
      <c r="E1" s="48"/>
      <c r="F1" s="48"/>
      <c r="G1" s="48"/>
      <c r="H1" s="48"/>
      <c r="I1" s="48"/>
      <c r="J1" s="48"/>
    </row>
    <row r="2" spans="1:11" ht="17.399999999999999" x14ac:dyDescent="0.3">
      <c r="A2" s="48"/>
      <c r="B2" s="28" t="s">
        <v>0</v>
      </c>
      <c r="C2" s="84"/>
      <c r="D2" s="84"/>
      <c r="E2"/>
      <c r="F2"/>
      <c r="G2"/>
      <c r="H2"/>
      <c r="I2"/>
      <c r="J2"/>
      <c r="K2" s="85"/>
    </row>
    <row r="3" spans="1:11" ht="14.4" x14ac:dyDescent="0.3">
      <c r="A3" s="48"/>
      <c r="B3" s="86" t="s">
        <v>1</v>
      </c>
      <c r="C3" s="86"/>
      <c r="D3" s="86"/>
      <c r="E3" s="87"/>
      <c r="F3" s="87"/>
      <c r="G3" s="87"/>
      <c r="H3" s="87"/>
      <c r="I3" s="87"/>
      <c r="J3" s="87"/>
      <c r="K3" s="88"/>
    </row>
    <row r="4" spans="1:11" ht="15.6" x14ac:dyDescent="0.3">
      <c r="A4" s="48"/>
      <c r="B4" s="13" t="s">
        <v>2</v>
      </c>
      <c r="C4" s="89"/>
      <c r="D4" s="89"/>
      <c r="E4"/>
      <c r="F4"/>
      <c r="G4"/>
      <c r="H4"/>
      <c r="I4"/>
      <c r="J4"/>
      <c r="K4" s="85"/>
    </row>
    <row r="5" spans="1:11" x14ac:dyDescent="0.25">
      <c r="A5" s="48"/>
      <c r="B5"/>
      <c r="C5" s="17"/>
      <c r="D5" s="17"/>
      <c r="E5"/>
      <c r="F5" s="85"/>
      <c r="G5"/>
      <c r="H5" s="21" t="s">
        <v>3</v>
      </c>
      <c r="I5"/>
      <c r="J5"/>
      <c r="K5" s="85"/>
    </row>
    <row r="6" spans="1:11" x14ac:dyDescent="0.25">
      <c r="A6" s="48"/>
      <c r="B6"/>
      <c r="C6"/>
      <c r="D6"/>
      <c r="E6"/>
      <c r="F6" s="85"/>
      <c r="G6"/>
      <c r="H6"/>
      <c r="I6" s="21" t="s">
        <v>4</v>
      </c>
      <c r="J6"/>
      <c r="K6" s="85"/>
    </row>
    <row r="7" spans="1:11" ht="18" thickBot="1" x14ac:dyDescent="0.35">
      <c r="A7" s="48"/>
      <c r="B7" s="12" t="s">
        <v>5</v>
      </c>
      <c r="C7" s="84"/>
      <c r="D7" s="84"/>
      <c r="E7"/>
      <c r="F7"/>
      <c r="G7"/>
      <c r="H7"/>
      <c r="I7"/>
      <c r="J7"/>
      <c r="K7"/>
    </row>
    <row r="8" spans="1:11" ht="15.6" x14ac:dyDescent="0.3">
      <c r="A8" s="48"/>
      <c r="B8" s="90"/>
      <c r="C8" s="91"/>
      <c r="D8" s="92"/>
      <c r="E8" s="92"/>
      <c r="F8" s="92"/>
      <c r="G8" s="93" t="s">
        <v>6</v>
      </c>
      <c r="H8" s="94" t="s">
        <v>7</v>
      </c>
      <c r="I8"/>
      <c r="J8" s="21"/>
      <c r="K8"/>
    </row>
    <row r="9" spans="1:11" x14ac:dyDescent="0.25">
      <c r="A9" s="48"/>
      <c r="B9" s="95" t="s">
        <v>8</v>
      </c>
      <c r="C9" s="96"/>
      <c r="D9" s="97"/>
      <c r="E9" s="97"/>
      <c r="F9" s="5"/>
      <c r="G9" s="97">
        <v>4232</v>
      </c>
      <c r="H9" s="98">
        <v>0.08</v>
      </c>
      <c r="I9"/>
      <c r="J9"/>
      <c r="K9"/>
    </row>
    <row r="10" spans="1:11" x14ac:dyDescent="0.25">
      <c r="A10" s="48"/>
      <c r="B10" s="99" t="s">
        <v>9</v>
      </c>
      <c r="C10" s="4"/>
      <c r="D10" s="100"/>
      <c r="E10" s="101"/>
      <c r="F10" s="5"/>
      <c r="G10" s="101">
        <v>34345</v>
      </c>
      <c r="H10" s="102">
        <v>0.08</v>
      </c>
      <c r="I10"/>
      <c r="J10"/>
      <c r="K10"/>
    </row>
    <row r="11" spans="1:11" x14ac:dyDescent="0.25">
      <c r="A11" s="48"/>
      <c r="B11" s="103" t="s">
        <v>10</v>
      </c>
      <c r="C11" s="104"/>
      <c r="D11" s="5"/>
      <c r="E11" s="5"/>
      <c r="F11" s="5"/>
      <c r="G11" s="5"/>
      <c r="H11" s="105"/>
      <c r="I11"/>
      <c r="J11"/>
      <c r="K11"/>
    </row>
    <row r="12" spans="1:11" x14ac:dyDescent="0.25">
      <c r="A12" s="48"/>
      <c r="B12" s="106" t="s">
        <v>11</v>
      </c>
      <c r="C12"/>
      <c r="D12"/>
      <c r="E12"/>
      <c r="F12" s="5"/>
      <c r="G12" s="5"/>
      <c r="H12" s="105"/>
      <c r="I12"/>
      <c r="J12"/>
      <c r="K12"/>
    </row>
    <row r="13" spans="1:11" x14ac:dyDescent="0.25">
      <c r="A13" s="48"/>
      <c r="B13" s="107" t="s">
        <v>12</v>
      </c>
      <c r="C13" s="104"/>
      <c r="D13"/>
      <c r="E13"/>
      <c r="F13" s="5"/>
      <c r="G13" s="5"/>
      <c r="H13" s="105"/>
      <c r="I13"/>
      <c r="J13"/>
      <c r="K13"/>
    </row>
    <row r="14" spans="1:11" x14ac:dyDescent="0.25">
      <c r="A14" s="48"/>
      <c r="B14" s="108" t="s">
        <v>13</v>
      </c>
      <c r="C14" s="109"/>
      <c r="D14" s="109"/>
      <c r="E14"/>
      <c r="F14" s="5"/>
      <c r="G14" s="5"/>
      <c r="H14" s="105"/>
      <c r="I14"/>
      <c r="J14"/>
      <c r="K14"/>
    </row>
    <row r="15" spans="1:11" x14ac:dyDescent="0.25">
      <c r="A15" s="48"/>
      <c r="B15" s="110" t="s">
        <v>14</v>
      </c>
      <c r="C15" s="111"/>
      <c r="D15"/>
      <c r="E15"/>
      <c r="F15" s="5"/>
      <c r="G15" s="5"/>
      <c r="H15" s="105"/>
      <c r="I15"/>
      <c r="J15"/>
      <c r="K15"/>
    </row>
    <row r="16" spans="1:11" ht="14.4" thickBot="1" x14ac:dyDescent="0.3">
      <c r="A16" s="48"/>
      <c r="B16" s="112" t="s">
        <v>15</v>
      </c>
      <c r="C16" s="113"/>
      <c r="D16" s="114"/>
      <c r="E16" s="115"/>
      <c r="F16" s="116"/>
      <c r="G16" s="117"/>
      <c r="H16" s="118"/>
      <c r="I16"/>
      <c r="J16"/>
      <c r="K16"/>
    </row>
    <row r="17" spans="1:11" x14ac:dyDescent="0.25">
      <c r="A17" s="48"/>
      <c r="B17" t="s">
        <v>16</v>
      </c>
      <c r="C17" s="27"/>
      <c r="D17" s="5"/>
      <c r="E17" s="119" t="s">
        <v>17</v>
      </c>
      <c r="F17" s="120"/>
      <c r="G17" s="120"/>
      <c r="H17" s="96"/>
      <c r="I17"/>
      <c r="J17"/>
      <c r="K17"/>
    </row>
    <row r="18" spans="1:11" x14ac:dyDescent="0.25">
      <c r="A18" s="48"/>
      <c r="B18"/>
      <c r="C18"/>
      <c r="D18"/>
      <c r="E18" s="121" t="s">
        <v>18</v>
      </c>
      <c r="F18" s="120"/>
      <c r="G18" s="120"/>
      <c r="H18" s="97"/>
      <c r="I18"/>
      <c r="J18"/>
      <c r="K18"/>
    </row>
    <row r="19" spans="1:11" x14ac:dyDescent="0.25">
      <c r="A19" s="48"/>
      <c r="B19"/>
      <c r="C19"/>
      <c r="D19"/>
      <c r="E19"/>
      <c r="F19"/>
      <c r="G19" s="5"/>
      <c r="H19" s="5"/>
      <c r="I19"/>
      <c r="J19"/>
      <c r="K19"/>
    </row>
    <row r="20" spans="1:11" x14ac:dyDescent="0.25">
      <c r="A20" s="48"/>
      <c r="B20"/>
      <c r="C20"/>
      <c r="D20"/>
      <c r="E20"/>
      <c r="F20"/>
      <c r="G20"/>
      <c r="H20" s="21" t="s">
        <v>3</v>
      </c>
      <c r="I20"/>
      <c r="J20"/>
      <c r="K20"/>
    </row>
    <row r="21" spans="1:11" ht="18" thickBot="1" x14ac:dyDescent="0.35">
      <c r="A21" s="48"/>
      <c r="B21" s="12" t="s">
        <v>19</v>
      </c>
      <c r="C21" s="84"/>
      <c r="D21" s="84"/>
      <c r="E21"/>
      <c r="F21"/>
      <c r="G21"/>
      <c r="H21"/>
      <c r="I21" s="21" t="s">
        <v>4</v>
      </c>
      <c r="J21"/>
      <c r="K21"/>
    </row>
    <row r="22" spans="1:11" ht="17.399999999999999" x14ac:dyDescent="0.3">
      <c r="A22" s="48"/>
      <c r="B22" s="122"/>
      <c r="C22" s="123"/>
      <c r="D22" s="92"/>
      <c r="E22" s="92"/>
      <c r="F22" s="92"/>
      <c r="G22" s="93" t="s">
        <v>6</v>
      </c>
      <c r="H22" s="94" t="s">
        <v>7</v>
      </c>
      <c r="I22" s="124"/>
      <c r="J22"/>
      <c r="K22"/>
    </row>
    <row r="23" spans="1:11" x14ac:dyDescent="0.25">
      <c r="A23" s="48"/>
      <c r="B23" s="99" t="s">
        <v>20</v>
      </c>
      <c r="C23" s="100"/>
      <c r="D23" s="100"/>
      <c r="E23" s="100"/>
      <c r="F23" s="101"/>
      <c r="G23" s="125">
        <v>234</v>
      </c>
      <c r="H23" s="102">
        <v>0.24</v>
      </c>
      <c r="I23"/>
      <c r="J23"/>
      <c r="K23"/>
    </row>
    <row r="24" spans="1:11" x14ac:dyDescent="0.25">
      <c r="A24" s="48"/>
      <c r="B24" s="126" t="s">
        <v>21</v>
      </c>
      <c r="C24" s="127"/>
      <c r="D24" s="127"/>
      <c r="E24" s="127"/>
      <c r="F24" s="127"/>
      <c r="G24" s="127">
        <v>6667</v>
      </c>
      <c r="H24" s="128">
        <v>0.05</v>
      </c>
      <c r="I24"/>
      <c r="J24"/>
      <c r="K24"/>
    </row>
    <row r="25" spans="1:11" x14ac:dyDescent="0.25">
      <c r="A25" s="48"/>
      <c r="B25" s="110" t="s">
        <v>22</v>
      </c>
      <c r="C25" s="111"/>
      <c r="D25" s="111"/>
      <c r="E25"/>
      <c r="F25" s="5"/>
      <c r="G25"/>
      <c r="H25" s="129"/>
      <c r="I25"/>
      <c r="J25"/>
      <c r="K25"/>
    </row>
    <row r="26" spans="1:11" ht="14.4" thickBot="1" x14ac:dyDescent="0.3">
      <c r="A26" s="48"/>
      <c r="B26" s="130" t="s">
        <v>13</v>
      </c>
      <c r="C26" s="131"/>
      <c r="D26" s="131"/>
      <c r="E26" s="113"/>
      <c r="F26" s="113"/>
      <c r="G26" s="113"/>
      <c r="H26" s="132"/>
      <c r="I26"/>
      <c r="J26"/>
      <c r="K26"/>
    </row>
    <row r="27" spans="1:11" x14ac:dyDescent="0.25">
      <c r="A27" s="48"/>
      <c r="B27" s="109"/>
      <c r="C27" s="109"/>
      <c r="D27" s="109"/>
      <c r="E27"/>
      <c r="F27"/>
      <c r="G27"/>
      <c r="H27"/>
      <c r="I27"/>
      <c r="J27"/>
      <c r="K27"/>
    </row>
    <row r="28" spans="1:11" x14ac:dyDescent="0.25">
      <c r="A28" s="48"/>
      <c r="B28" s="133" t="s">
        <v>23</v>
      </c>
      <c r="C28" s="134"/>
      <c r="D28" s="134"/>
      <c r="E28" s="135"/>
      <c r="F28"/>
      <c r="G28"/>
      <c r="H28"/>
      <c r="I28"/>
      <c r="J28"/>
      <c r="K28"/>
    </row>
    <row r="29" spans="1:11" x14ac:dyDescent="0.25">
      <c r="A29" s="48"/>
      <c r="B29" s="57"/>
      <c r="C29" s="57"/>
      <c r="D29" s="57"/>
      <c r="E29" s="57"/>
      <c r="F29" s="57"/>
      <c r="G29" s="57"/>
      <c r="H29" s="57"/>
      <c r="I29" s="57"/>
      <c r="J29" s="57"/>
      <c r="K29" s="57"/>
    </row>
    <row r="30" spans="1:11" x14ac:dyDescent="0.25">
      <c r="A30" s="48"/>
      <c r="B30" s="48"/>
      <c r="C30" s="49"/>
      <c r="D30" s="49"/>
      <c r="E30" s="48"/>
      <c r="F30" s="48"/>
      <c r="G30" s="48"/>
      <c r="H30" s="48"/>
      <c r="I30" s="48"/>
      <c r="J30" s="48"/>
    </row>
    <row r="31" spans="1:11" x14ac:dyDescent="0.25">
      <c r="A31" s="48"/>
      <c r="B31" s="48"/>
      <c r="C31" s="49"/>
      <c r="D31" s="49"/>
      <c r="E31" s="48"/>
      <c r="F31" s="48"/>
      <c r="G31" s="48"/>
      <c r="H31" s="48"/>
      <c r="I31" s="48"/>
      <c r="J31" s="48"/>
    </row>
    <row r="32" spans="1:11" s="51" customFormat="1" x14ac:dyDescent="0.25"/>
    <row r="33" spans="1:39" ht="17.399999999999999" x14ac:dyDescent="0.3">
      <c r="A33" s="52" t="s">
        <v>24</v>
      </c>
    </row>
    <row r="34" spans="1:39" ht="7.5" customHeight="1" x14ac:dyDescent="0.3">
      <c r="A34" s="52"/>
    </row>
    <row r="35" spans="1:39" x14ac:dyDescent="0.25">
      <c r="A35" s="53"/>
      <c r="B35" s="54" t="s">
        <v>25</v>
      </c>
      <c r="C35" s="54" t="s">
        <v>26</v>
      </c>
      <c r="D35" s="54" t="s">
        <v>27</v>
      </c>
      <c r="E35" s="54" t="s">
        <v>28</v>
      </c>
      <c r="F35" s="54" t="s">
        <v>29</v>
      </c>
      <c r="G35" s="54" t="s">
        <v>30</v>
      </c>
      <c r="H35" s="54" t="s">
        <v>31</v>
      </c>
      <c r="I35" s="54" t="s">
        <v>32</v>
      </c>
      <c r="K35" s="53"/>
      <c r="L35" s="54" t="s">
        <v>25</v>
      </c>
      <c r="M35" s="54" t="s">
        <v>26</v>
      </c>
      <c r="N35" s="54" t="s">
        <v>27</v>
      </c>
      <c r="O35" s="54" t="s">
        <v>28</v>
      </c>
      <c r="P35" s="54" t="s">
        <v>29</v>
      </c>
      <c r="Q35" s="54" t="s">
        <v>30</v>
      </c>
      <c r="S35" s="53" t="s">
        <v>33</v>
      </c>
      <c r="T35" s="53" t="s">
        <v>34</v>
      </c>
      <c r="U35" s="53" t="s">
        <v>35</v>
      </c>
      <c r="W35" s="53"/>
      <c r="X35" s="53" t="s">
        <v>36</v>
      </c>
      <c r="Y35" s="53" t="s">
        <v>37</v>
      </c>
      <c r="Z35" s="53" t="s">
        <v>38</v>
      </c>
      <c r="AA35" s="53" t="s">
        <v>39</v>
      </c>
    </row>
    <row r="36" spans="1:39" x14ac:dyDescent="0.25">
      <c r="A36" s="53" t="s">
        <v>40</v>
      </c>
      <c r="B36" s="53">
        <v>36.19</v>
      </c>
      <c r="C36" s="53">
        <v>36.880000000000003</v>
      </c>
      <c r="D36" s="53">
        <v>21.56</v>
      </c>
      <c r="E36" s="53">
        <v>5.36</v>
      </c>
      <c r="F36" s="53">
        <v>3.01</v>
      </c>
      <c r="G36" s="53">
        <v>10</v>
      </c>
      <c r="H36" s="53">
        <v>5.2</v>
      </c>
      <c r="I36" s="53">
        <v>13</v>
      </c>
      <c r="K36" s="53" t="s">
        <v>40</v>
      </c>
      <c r="L36" s="53">
        <v>33.19</v>
      </c>
      <c r="M36" s="53">
        <v>36.880000000000003</v>
      </c>
      <c r="N36" s="53">
        <v>21.56</v>
      </c>
      <c r="O36" s="53">
        <v>5.36</v>
      </c>
      <c r="P36" s="53">
        <v>3.01</v>
      </c>
      <c r="Q36" s="53">
        <v>10</v>
      </c>
      <c r="S36" s="53">
        <v>1.8</v>
      </c>
      <c r="T36" s="53">
        <v>10</v>
      </c>
      <c r="U36" s="53">
        <v>17</v>
      </c>
      <c r="W36" s="53" t="s">
        <v>40</v>
      </c>
      <c r="X36" s="53">
        <v>33.19</v>
      </c>
      <c r="Y36" s="53">
        <v>36.880000000000003</v>
      </c>
      <c r="Z36" s="53">
        <v>21.56</v>
      </c>
      <c r="AA36" s="53">
        <v>5.36</v>
      </c>
    </row>
    <row r="37" spans="1:39" x14ac:dyDescent="0.25">
      <c r="A37" s="53" t="s">
        <v>41</v>
      </c>
      <c r="B37" s="53">
        <v>39.39</v>
      </c>
      <c r="C37" s="53">
        <v>32.020000000000003</v>
      </c>
      <c r="D37" s="53">
        <v>21.6</v>
      </c>
      <c r="E37" s="53">
        <v>7.01</v>
      </c>
      <c r="F37" s="53">
        <v>3.36</v>
      </c>
      <c r="G37" s="53">
        <v>12</v>
      </c>
      <c r="H37" s="53">
        <v>6.6</v>
      </c>
      <c r="I37" s="53">
        <v>15</v>
      </c>
      <c r="K37" s="53" t="s">
        <v>41</v>
      </c>
      <c r="L37" s="53">
        <v>39.39</v>
      </c>
      <c r="M37" s="53">
        <v>32.020000000000003</v>
      </c>
      <c r="N37" s="53">
        <v>21.6</v>
      </c>
      <c r="O37" s="53">
        <v>7.01</v>
      </c>
      <c r="P37" s="53">
        <v>3.36</v>
      </c>
      <c r="Q37" s="53">
        <v>12</v>
      </c>
      <c r="S37" s="53">
        <v>2.2999999999999998</v>
      </c>
      <c r="T37" s="53">
        <v>12</v>
      </c>
      <c r="U37" s="53">
        <v>9</v>
      </c>
      <c r="W37" s="53" t="s">
        <v>41</v>
      </c>
      <c r="X37" s="53">
        <v>39.39</v>
      </c>
      <c r="Y37" s="53">
        <v>32.020000000000003</v>
      </c>
      <c r="Z37" s="53">
        <v>21.6</v>
      </c>
      <c r="AA37" s="53">
        <v>7.01</v>
      </c>
    </row>
    <row r="38" spans="1:39" x14ac:dyDescent="0.25">
      <c r="A38" s="53" t="s">
        <v>42</v>
      </c>
      <c r="B38" s="53">
        <v>42.78</v>
      </c>
      <c r="C38" s="53">
        <v>29.91</v>
      </c>
      <c r="D38" s="53">
        <v>18.350000000000001</v>
      </c>
      <c r="E38" s="53">
        <v>6.33</v>
      </c>
      <c r="F38" s="53">
        <v>2.63</v>
      </c>
      <c r="G38" s="53">
        <v>14</v>
      </c>
      <c r="H38" s="53">
        <v>5.7</v>
      </c>
      <c r="I38" s="53">
        <v>16</v>
      </c>
      <c r="K38" s="53" t="s">
        <v>42</v>
      </c>
      <c r="L38" s="53">
        <v>42.78</v>
      </c>
      <c r="M38" s="53">
        <v>29.91</v>
      </c>
      <c r="N38" s="53">
        <v>18.350000000000001</v>
      </c>
      <c r="O38" s="53">
        <v>6.33</v>
      </c>
      <c r="P38" s="53">
        <v>2.63</v>
      </c>
      <c r="Q38" s="53">
        <v>14</v>
      </c>
      <c r="S38" s="53">
        <v>3.7</v>
      </c>
      <c r="T38" s="53">
        <v>16</v>
      </c>
      <c r="U38" s="53">
        <v>14</v>
      </c>
      <c r="W38" s="53" t="s">
        <v>42</v>
      </c>
      <c r="X38" s="53">
        <v>42.78</v>
      </c>
      <c r="Y38" s="53">
        <v>29.91</v>
      </c>
      <c r="Z38" s="53">
        <v>18.350000000000001</v>
      </c>
      <c r="AA38" s="53">
        <v>6.33</v>
      </c>
    </row>
    <row r="39" spans="1:39" x14ac:dyDescent="0.25">
      <c r="A39" s="55" t="s">
        <v>43</v>
      </c>
      <c r="B39" s="53">
        <v>42.13</v>
      </c>
      <c r="C39" s="53">
        <v>26.53</v>
      </c>
      <c r="D39" s="53">
        <v>21.6</v>
      </c>
      <c r="E39" s="53">
        <v>7.01</v>
      </c>
      <c r="F39" s="53">
        <v>2.72</v>
      </c>
      <c r="G39" s="53">
        <v>16</v>
      </c>
      <c r="H39" s="53">
        <v>3</v>
      </c>
      <c r="I39" s="53">
        <v>17</v>
      </c>
      <c r="K39" s="55" t="s">
        <v>43</v>
      </c>
      <c r="L39" s="53">
        <v>42.13</v>
      </c>
      <c r="M39" s="53">
        <v>26.53</v>
      </c>
      <c r="N39" s="53">
        <v>21.6</v>
      </c>
      <c r="O39" s="53">
        <v>7.01</v>
      </c>
      <c r="P39" s="53">
        <v>2.72</v>
      </c>
      <c r="Q39" s="53">
        <v>16</v>
      </c>
      <c r="S39" s="53">
        <v>4.0999999999999996</v>
      </c>
      <c r="T39" s="53">
        <v>8</v>
      </c>
      <c r="U39" s="53">
        <v>23</v>
      </c>
      <c r="W39" s="55" t="s">
        <v>43</v>
      </c>
      <c r="X39" s="53">
        <v>42.13</v>
      </c>
      <c r="Y39" s="53">
        <v>26.53</v>
      </c>
      <c r="Z39" s="53">
        <v>21.6</v>
      </c>
      <c r="AA39" s="53">
        <v>7.01</v>
      </c>
    </row>
    <row r="40" spans="1:39" x14ac:dyDescent="0.25">
      <c r="A40" s="53" t="s">
        <v>44</v>
      </c>
      <c r="B40" s="53">
        <v>41.69</v>
      </c>
      <c r="C40" s="53">
        <v>24.76</v>
      </c>
      <c r="D40" s="53">
        <v>23.98</v>
      </c>
      <c r="E40" s="53">
        <v>7</v>
      </c>
      <c r="F40" s="53">
        <v>2.57</v>
      </c>
      <c r="G40" s="53">
        <v>18</v>
      </c>
      <c r="H40" s="53">
        <v>3.5</v>
      </c>
      <c r="I40" s="53">
        <v>19</v>
      </c>
      <c r="K40" s="53" t="s">
        <v>44</v>
      </c>
      <c r="L40" s="53">
        <v>41.69</v>
      </c>
      <c r="M40" s="53">
        <v>24.76</v>
      </c>
      <c r="N40" s="53">
        <v>23.98</v>
      </c>
      <c r="O40" s="53">
        <v>7</v>
      </c>
      <c r="P40" s="53">
        <v>2.57</v>
      </c>
      <c r="Q40" s="53">
        <v>18</v>
      </c>
      <c r="S40" s="53">
        <v>5.5</v>
      </c>
      <c r="T40" s="53">
        <v>14</v>
      </c>
      <c r="U40" s="53">
        <v>27</v>
      </c>
      <c r="W40" s="53" t="s">
        <v>44</v>
      </c>
      <c r="X40" s="53">
        <v>41.69</v>
      </c>
      <c r="Y40" s="53">
        <v>24.76</v>
      </c>
      <c r="Z40" s="53">
        <v>23.98</v>
      </c>
      <c r="AA40" s="53">
        <v>7</v>
      </c>
    </row>
    <row r="41" spans="1:39" x14ac:dyDescent="0.25">
      <c r="A41" s="53" t="s">
        <v>45</v>
      </c>
      <c r="B41" s="53">
        <v>39.39</v>
      </c>
      <c r="C41" s="53">
        <v>32.020000000000003</v>
      </c>
      <c r="D41" s="53">
        <v>21.6</v>
      </c>
      <c r="E41" s="53">
        <v>7.01</v>
      </c>
      <c r="F41" s="53">
        <v>3.36</v>
      </c>
      <c r="G41" s="53">
        <v>12</v>
      </c>
      <c r="H41" s="53">
        <v>3.8</v>
      </c>
      <c r="I41" s="53">
        <v>13</v>
      </c>
      <c r="K41" s="53" t="s">
        <v>45</v>
      </c>
      <c r="L41" s="53">
        <v>39.39</v>
      </c>
      <c r="M41" s="53">
        <v>32.020000000000003</v>
      </c>
      <c r="N41" s="53">
        <v>21.6</v>
      </c>
      <c r="O41" s="53">
        <v>7.01</v>
      </c>
      <c r="P41" s="53">
        <v>3.36</v>
      </c>
      <c r="Q41" s="53">
        <v>12</v>
      </c>
      <c r="W41" s="53" t="s">
        <v>45</v>
      </c>
      <c r="X41" s="53">
        <v>39.39</v>
      </c>
      <c r="Y41" s="53">
        <v>32.020000000000003</v>
      </c>
      <c r="Z41" s="53">
        <v>21.6</v>
      </c>
      <c r="AA41" s="53">
        <v>7.01</v>
      </c>
    </row>
    <row r="42" spans="1:39" x14ac:dyDescent="0.25">
      <c r="A42" s="53" t="s">
        <v>46</v>
      </c>
      <c r="B42" s="53">
        <v>42.13</v>
      </c>
      <c r="C42" s="53">
        <v>26.53</v>
      </c>
      <c r="D42" s="53">
        <v>21.6</v>
      </c>
      <c r="E42" s="53">
        <v>7.01</v>
      </c>
      <c r="F42" s="53">
        <v>2.72</v>
      </c>
      <c r="G42" s="53">
        <v>16</v>
      </c>
      <c r="H42" s="53">
        <v>3.2</v>
      </c>
      <c r="I42" s="53">
        <v>18</v>
      </c>
      <c r="K42" s="53" t="s">
        <v>46</v>
      </c>
      <c r="L42" s="53">
        <v>42.13</v>
      </c>
      <c r="M42" s="53">
        <v>26.53</v>
      </c>
      <c r="N42" s="53">
        <v>21.6</v>
      </c>
      <c r="O42" s="53">
        <v>7.01</v>
      </c>
      <c r="P42" s="53">
        <v>2.72</v>
      </c>
      <c r="Q42" s="53">
        <v>16</v>
      </c>
      <c r="W42" s="53" t="s">
        <v>46</v>
      </c>
      <c r="X42" s="53">
        <v>42.13</v>
      </c>
      <c r="Y42" s="53">
        <v>26.53</v>
      </c>
      <c r="Z42" s="53">
        <v>21.6</v>
      </c>
      <c r="AA42" s="53">
        <v>7.01</v>
      </c>
    </row>
    <row r="43" spans="1:39" x14ac:dyDescent="0.25">
      <c r="A43" s="53" t="s">
        <v>47</v>
      </c>
      <c r="B43" s="53">
        <v>45</v>
      </c>
      <c r="C43" s="53">
        <v>22</v>
      </c>
      <c r="D43" s="53">
        <v>26</v>
      </c>
      <c r="E43" s="53">
        <v>8</v>
      </c>
      <c r="F43" s="53">
        <v>2</v>
      </c>
      <c r="G43" s="53">
        <v>20</v>
      </c>
      <c r="H43" s="53">
        <v>4</v>
      </c>
      <c r="I43" s="53">
        <v>22</v>
      </c>
      <c r="K43" s="53" t="s">
        <v>47</v>
      </c>
      <c r="L43" s="53">
        <v>45</v>
      </c>
      <c r="M43" s="53">
        <v>22</v>
      </c>
      <c r="N43" s="53">
        <v>26</v>
      </c>
      <c r="O43" s="53">
        <v>8</v>
      </c>
      <c r="P43" s="53">
        <v>2</v>
      </c>
      <c r="Q43" s="53">
        <v>20</v>
      </c>
      <c r="W43" s="53" t="s">
        <v>47</v>
      </c>
      <c r="X43" s="53">
        <v>45</v>
      </c>
      <c r="Y43" s="53">
        <v>22</v>
      </c>
      <c r="Z43" s="53">
        <v>26</v>
      </c>
      <c r="AA43" s="53">
        <v>8</v>
      </c>
    </row>
    <row r="44" spans="1:39" x14ac:dyDescent="0.25">
      <c r="A44" s="56" t="s">
        <v>48</v>
      </c>
    </row>
    <row r="47" spans="1:39" x14ac:dyDescent="0.25">
      <c r="C47" s="57"/>
      <c r="D47" s="57"/>
      <c r="E47" s="57"/>
      <c r="F47" s="57"/>
      <c r="G47" s="57"/>
      <c r="H47" s="57"/>
      <c r="I47" s="57"/>
      <c r="J47" s="57"/>
      <c r="K47" s="57"/>
      <c r="L47" s="57"/>
      <c r="M47" s="57"/>
      <c r="N47" s="57"/>
      <c r="O47" s="57"/>
      <c r="P47" s="57"/>
      <c r="Q47" s="57"/>
      <c r="R47" s="57"/>
      <c r="S47" s="57"/>
      <c r="T47" s="57"/>
      <c r="U47" s="57"/>
      <c r="V47" s="57"/>
      <c r="AG47" s="85"/>
      <c r="AH47" s="85"/>
      <c r="AI47" s="57"/>
      <c r="AJ47" s="57"/>
      <c r="AK47" s="57"/>
      <c r="AL47" s="57"/>
      <c r="AM47" s="57"/>
    </row>
    <row r="48" spans="1:39" x14ac:dyDescent="0.25">
      <c r="C48" s="57"/>
      <c r="D48" s="57"/>
      <c r="E48" s="57"/>
      <c r="F48" s="57"/>
      <c r="G48" s="57"/>
      <c r="H48" s="57"/>
      <c r="I48" s="57"/>
      <c r="J48" s="57"/>
      <c r="K48" s="57"/>
      <c r="L48" s="57"/>
      <c r="M48" s="57"/>
      <c r="N48" s="57"/>
      <c r="O48" s="57"/>
      <c r="P48" s="57"/>
      <c r="Q48" s="57"/>
      <c r="R48" s="57"/>
      <c r="S48" s="57"/>
      <c r="T48" s="57"/>
      <c r="U48" s="57"/>
      <c r="V48" s="57"/>
      <c r="AG48" s="88"/>
      <c r="AH48" s="88"/>
      <c r="AI48" s="57"/>
      <c r="AJ48" s="57"/>
      <c r="AK48" s="57"/>
      <c r="AL48" s="57"/>
      <c r="AM48" s="57"/>
    </row>
    <row r="49" spans="3:39" x14ac:dyDescent="0.25">
      <c r="C49" s="57"/>
      <c r="D49" s="57"/>
      <c r="E49" s="57"/>
      <c r="F49" s="57"/>
      <c r="G49" s="57"/>
      <c r="H49" s="57"/>
      <c r="I49" s="57"/>
      <c r="J49" s="57"/>
      <c r="K49" s="57"/>
      <c r="L49" s="57"/>
      <c r="M49" s="57"/>
      <c r="N49" s="57"/>
      <c r="O49" s="57"/>
      <c r="P49" s="57"/>
      <c r="Q49" s="57"/>
      <c r="R49" s="57"/>
      <c r="S49" s="57"/>
      <c r="T49" s="57"/>
      <c r="U49" s="57"/>
      <c r="V49" s="57"/>
      <c r="AG49" s="85"/>
      <c r="AH49" s="85"/>
      <c r="AI49" s="57"/>
      <c r="AJ49" s="57"/>
      <c r="AK49" s="57"/>
      <c r="AL49" s="57"/>
      <c r="AM49" s="57"/>
    </row>
    <row r="50" spans="3:39" x14ac:dyDescent="0.25">
      <c r="C50" s="57"/>
      <c r="D50" s="57"/>
      <c r="E50" s="57"/>
      <c r="F50" s="57"/>
      <c r="G50" s="57"/>
      <c r="H50" s="57"/>
      <c r="I50" s="57"/>
      <c r="J50" s="57"/>
      <c r="K50" s="57"/>
      <c r="L50" s="57"/>
      <c r="M50" s="57"/>
      <c r="N50" s="57"/>
      <c r="O50" s="57"/>
      <c r="P50" s="57"/>
      <c r="Q50" s="57"/>
      <c r="R50" s="57"/>
      <c r="S50" s="57"/>
      <c r="T50" s="57"/>
      <c r="U50" s="57"/>
      <c r="V50" s="57"/>
      <c r="AG50" s="85"/>
      <c r="AH50" s="85"/>
      <c r="AI50" s="57"/>
      <c r="AJ50" s="57"/>
      <c r="AK50" s="57"/>
      <c r="AL50" s="57"/>
      <c r="AM50" s="57"/>
    </row>
    <row r="51" spans="3:39" x14ac:dyDescent="0.25">
      <c r="C51" s="57"/>
      <c r="D51" s="57"/>
      <c r="E51" s="57"/>
      <c r="F51" s="57"/>
      <c r="G51" s="57"/>
      <c r="H51" s="57"/>
      <c r="I51" s="57"/>
      <c r="J51" s="57"/>
      <c r="K51" s="57"/>
      <c r="L51" s="57"/>
      <c r="M51" s="57"/>
      <c r="N51" s="57"/>
      <c r="O51" s="57"/>
      <c r="P51" s="57"/>
      <c r="Q51" s="57"/>
      <c r="R51" s="57"/>
      <c r="S51" s="57"/>
      <c r="T51" s="57"/>
      <c r="U51" s="57"/>
      <c r="V51" s="57"/>
      <c r="AG51" s="85"/>
      <c r="AH51" s="85"/>
      <c r="AI51" s="57"/>
      <c r="AJ51" s="57"/>
      <c r="AK51" s="57"/>
      <c r="AL51" s="57"/>
      <c r="AM51" s="57"/>
    </row>
    <row r="52" spans="3:39" x14ac:dyDescent="0.25">
      <c r="C52" s="57"/>
      <c r="D52" s="57"/>
      <c r="E52" s="57"/>
      <c r="F52" s="57"/>
      <c r="G52" s="57"/>
      <c r="H52" s="57"/>
      <c r="I52" s="57"/>
      <c r="J52" s="57"/>
      <c r="K52" s="57"/>
      <c r="L52" s="57"/>
      <c r="M52" s="57"/>
      <c r="N52" s="57"/>
      <c r="O52" s="57"/>
      <c r="P52" s="57"/>
      <c r="Q52" s="57"/>
      <c r="R52" s="57"/>
      <c r="S52" s="57"/>
      <c r="T52" s="57"/>
      <c r="U52" s="57"/>
      <c r="V52" s="57"/>
      <c r="AG52"/>
      <c r="AH52"/>
      <c r="AI52" s="57"/>
      <c r="AJ52" s="57"/>
      <c r="AK52" s="57"/>
      <c r="AL52" s="57"/>
      <c r="AM52" s="57"/>
    </row>
    <row r="53" spans="3:39" x14ac:dyDescent="0.25">
      <c r="C53" s="57"/>
      <c r="D53" s="57"/>
      <c r="E53" s="57"/>
      <c r="F53" s="57"/>
      <c r="G53" s="57"/>
      <c r="H53" s="57"/>
      <c r="I53" s="57"/>
      <c r="J53" s="57"/>
      <c r="K53" s="57"/>
      <c r="L53" s="57"/>
      <c r="M53" s="57"/>
      <c r="N53" s="57"/>
      <c r="O53" s="57"/>
      <c r="P53" s="57"/>
      <c r="Q53" s="57"/>
      <c r="R53" s="57"/>
      <c r="S53" s="57"/>
      <c r="T53" s="57"/>
      <c r="U53" s="57"/>
      <c r="V53" s="57"/>
      <c r="AG53"/>
      <c r="AH53"/>
      <c r="AI53" s="57"/>
      <c r="AJ53" s="57"/>
      <c r="AK53" s="57"/>
      <c r="AL53" s="57"/>
      <c r="AM53" s="57"/>
    </row>
    <row r="54" spans="3:39" x14ac:dyDescent="0.25">
      <c r="C54" s="57"/>
      <c r="D54" s="57"/>
      <c r="E54" s="57"/>
      <c r="F54" s="57"/>
      <c r="G54" s="57"/>
      <c r="H54" s="57"/>
      <c r="I54" s="57"/>
      <c r="J54" s="57"/>
      <c r="K54" s="57"/>
      <c r="L54" s="57"/>
      <c r="M54" s="57"/>
      <c r="N54" s="57"/>
      <c r="O54" s="57"/>
      <c r="P54" s="57"/>
      <c r="Q54" s="57"/>
      <c r="R54" s="57"/>
      <c r="S54" s="57"/>
      <c r="T54" s="57"/>
      <c r="U54" s="57"/>
      <c r="V54" s="57"/>
      <c r="AG54"/>
      <c r="AH54"/>
      <c r="AI54" s="57"/>
      <c r="AJ54" s="57"/>
      <c r="AK54" s="57"/>
      <c r="AL54" s="57"/>
      <c r="AM54" s="57"/>
    </row>
    <row r="55" spans="3:39" x14ac:dyDescent="0.25">
      <c r="C55" s="57"/>
      <c r="D55" s="57"/>
      <c r="E55" s="57"/>
      <c r="F55" s="57"/>
      <c r="G55" s="57"/>
      <c r="H55" s="57"/>
      <c r="I55" s="57"/>
      <c r="J55" s="57"/>
      <c r="K55" s="57"/>
      <c r="L55" s="57"/>
      <c r="M55" s="57"/>
      <c r="N55" s="57"/>
      <c r="O55" s="57"/>
      <c r="P55" s="57"/>
      <c r="Q55" s="57"/>
      <c r="R55" s="57"/>
      <c r="S55" s="57"/>
      <c r="T55" s="57"/>
      <c r="U55" s="57"/>
      <c r="V55" s="57"/>
      <c r="AG55"/>
      <c r="AH55"/>
      <c r="AI55" s="57"/>
      <c r="AJ55" s="57"/>
      <c r="AK55" s="57"/>
      <c r="AL55" s="57"/>
      <c r="AM55" s="57"/>
    </row>
    <row r="56" spans="3:39" x14ac:dyDescent="0.25">
      <c r="C56" s="57"/>
      <c r="D56" s="57"/>
      <c r="E56" s="57"/>
      <c r="F56" s="57"/>
      <c r="G56" s="57"/>
      <c r="H56" s="57"/>
      <c r="I56" s="57"/>
      <c r="J56" s="57"/>
      <c r="K56" s="57"/>
      <c r="L56" s="57"/>
      <c r="M56" s="57"/>
      <c r="N56" s="57"/>
      <c r="O56" s="57"/>
      <c r="P56" s="57"/>
      <c r="Q56" s="57"/>
      <c r="R56" s="57"/>
      <c r="S56" s="57"/>
      <c r="T56" s="57"/>
      <c r="U56" s="57"/>
      <c r="V56" s="57"/>
      <c r="AG56"/>
      <c r="AH56"/>
      <c r="AI56" s="57"/>
      <c r="AJ56" s="57"/>
      <c r="AK56" s="57"/>
      <c r="AL56" s="57"/>
      <c r="AM56" s="57"/>
    </row>
    <row r="57" spans="3:39" x14ac:dyDescent="0.25">
      <c r="C57" s="57"/>
      <c r="D57" s="57"/>
      <c r="E57" s="57"/>
      <c r="F57" s="57"/>
      <c r="G57" s="57"/>
      <c r="H57" s="57"/>
      <c r="I57" s="57"/>
      <c r="J57" s="57"/>
      <c r="K57" s="57"/>
      <c r="L57" s="57"/>
      <c r="M57" s="57"/>
      <c r="N57" s="57"/>
      <c r="O57" s="57"/>
      <c r="P57" s="57"/>
      <c r="Q57" s="57"/>
      <c r="R57" s="57"/>
      <c r="S57" s="57"/>
      <c r="T57" s="57"/>
      <c r="U57" s="57"/>
      <c r="V57" s="57"/>
      <c r="AG57"/>
      <c r="AH57"/>
      <c r="AI57" s="57"/>
      <c r="AJ57" s="57"/>
      <c r="AK57" s="57"/>
      <c r="AL57" s="57"/>
      <c r="AM57" s="57"/>
    </row>
    <row r="58" spans="3:39" x14ac:dyDescent="0.25">
      <c r="C58" s="57"/>
      <c r="D58" s="57"/>
      <c r="E58" s="57"/>
      <c r="F58" s="57"/>
      <c r="G58" s="57"/>
      <c r="H58" s="57"/>
      <c r="I58" s="57"/>
      <c r="J58" s="57"/>
      <c r="K58" s="57"/>
      <c r="L58" s="57"/>
      <c r="M58" s="57"/>
      <c r="N58" s="57"/>
      <c r="O58" s="57"/>
      <c r="P58" s="57"/>
      <c r="Q58" s="57"/>
      <c r="R58" s="57"/>
      <c r="S58" s="57"/>
      <c r="T58" s="57"/>
      <c r="U58" s="57"/>
      <c r="V58" s="57"/>
      <c r="AG58"/>
      <c r="AH58"/>
      <c r="AI58" s="57"/>
      <c r="AJ58" s="57"/>
      <c r="AK58" s="57"/>
      <c r="AL58" s="57"/>
      <c r="AM58" s="57"/>
    </row>
    <row r="59" spans="3:39" x14ac:dyDescent="0.25">
      <c r="C59" s="57"/>
      <c r="D59" s="57"/>
      <c r="E59" s="57"/>
      <c r="F59" s="57"/>
      <c r="G59" s="57"/>
      <c r="H59" s="57"/>
      <c r="I59" s="57"/>
      <c r="J59" s="57"/>
      <c r="K59" s="57"/>
      <c r="L59" s="57"/>
      <c r="M59" s="57"/>
      <c r="N59" s="57"/>
      <c r="O59" s="57"/>
      <c r="P59" s="57"/>
      <c r="Q59" s="57"/>
      <c r="R59" s="57"/>
      <c r="S59" s="57"/>
      <c r="T59" s="57"/>
      <c r="U59" s="57"/>
      <c r="V59" s="57"/>
      <c r="AG59"/>
      <c r="AH59"/>
      <c r="AI59" s="57"/>
      <c r="AJ59" s="57"/>
      <c r="AK59" s="57"/>
      <c r="AL59" s="57"/>
      <c r="AM59" s="57"/>
    </row>
    <row r="60" spans="3:39" x14ac:dyDescent="0.25">
      <c r="C60" s="57"/>
      <c r="D60" s="57"/>
      <c r="E60" s="57"/>
      <c r="F60" s="57"/>
      <c r="G60" s="57"/>
      <c r="H60" s="57"/>
      <c r="I60" s="57"/>
      <c r="J60" s="57"/>
      <c r="K60" s="57"/>
      <c r="L60" s="57"/>
      <c r="M60" s="57"/>
      <c r="N60" s="57"/>
      <c r="O60" s="57"/>
      <c r="P60" s="57"/>
      <c r="Q60" s="57"/>
      <c r="R60" s="57"/>
      <c r="S60" s="57"/>
      <c r="T60" s="57"/>
      <c r="U60" s="57"/>
      <c r="V60" s="57"/>
      <c r="AG60"/>
      <c r="AH60"/>
      <c r="AI60" s="57"/>
      <c r="AJ60" s="57"/>
      <c r="AK60" s="57"/>
      <c r="AL60" s="57"/>
      <c r="AM60" s="57"/>
    </row>
    <row r="61" spans="3:39" x14ac:dyDescent="0.25">
      <c r="C61" s="57"/>
      <c r="D61" s="57"/>
      <c r="E61" s="57"/>
      <c r="F61" s="57"/>
      <c r="G61" s="57"/>
      <c r="H61" s="57"/>
      <c r="I61" s="57"/>
      <c r="J61" s="57"/>
      <c r="K61" s="57"/>
      <c r="L61" s="57"/>
      <c r="M61" s="57"/>
      <c r="N61" s="57"/>
      <c r="O61" s="57"/>
      <c r="P61" s="57"/>
      <c r="Q61" s="57"/>
      <c r="R61" s="57"/>
      <c r="S61" s="57"/>
      <c r="T61" s="57"/>
      <c r="U61" s="57"/>
      <c r="V61" s="57"/>
      <c r="AG61"/>
      <c r="AH61"/>
      <c r="AI61" s="57"/>
      <c r="AJ61" s="57"/>
      <c r="AK61" s="57"/>
      <c r="AL61" s="57"/>
      <c r="AM61" s="57"/>
    </row>
    <row r="62" spans="3:39" x14ac:dyDescent="0.25">
      <c r="C62" s="57"/>
      <c r="D62" s="57"/>
      <c r="E62" s="57"/>
      <c r="F62" s="57"/>
      <c r="G62" s="57"/>
      <c r="H62" s="57"/>
      <c r="I62" s="57"/>
      <c r="J62" s="57"/>
      <c r="K62" s="57"/>
      <c r="L62" s="57"/>
      <c r="M62" s="57"/>
      <c r="N62" s="57"/>
      <c r="O62" s="57"/>
      <c r="P62" s="57"/>
      <c r="Q62" s="57"/>
      <c r="R62" s="57"/>
      <c r="S62" s="57"/>
      <c r="T62" s="57"/>
      <c r="U62" s="57"/>
      <c r="V62" s="57"/>
      <c r="AG62"/>
      <c r="AH62"/>
      <c r="AI62" s="57"/>
      <c r="AJ62" s="57"/>
      <c r="AK62" s="57"/>
      <c r="AL62" s="57"/>
      <c r="AM62" s="57"/>
    </row>
    <row r="63" spans="3:39" x14ac:dyDescent="0.25">
      <c r="C63" s="57"/>
      <c r="D63" s="57"/>
      <c r="E63" s="57"/>
      <c r="F63" s="57"/>
      <c r="G63" s="57"/>
      <c r="H63" s="57"/>
      <c r="I63" s="57"/>
      <c r="J63" s="57"/>
      <c r="K63" s="57"/>
      <c r="L63" s="57"/>
      <c r="M63" s="57"/>
      <c r="N63" s="57"/>
      <c r="O63" s="57"/>
      <c r="P63" s="57"/>
      <c r="Q63" s="57"/>
      <c r="R63" s="57"/>
      <c r="S63" s="57"/>
      <c r="T63" s="57"/>
      <c r="U63" s="57"/>
      <c r="V63" s="57"/>
      <c r="AG63"/>
      <c r="AH63"/>
      <c r="AI63" s="57"/>
      <c r="AJ63" s="57"/>
      <c r="AK63" s="57"/>
      <c r="AL63" s="57"/>
      <c r="AM63" s="57"/>
    </row>
    <row r="64" spans="3:39" x14ac:dyDescent="0.25">
      <c r="C64" s="57"/>
      <c r="D64" s="57"/>
      <c r="E64" s="57"/>
      <c r="F64" s="57"/>
      <c r="G64" s="57"/>
      <c r="H64" s="57"/>
      <c r="I64" s="57"/>
      <c r="J64" s="57"/>
      <c r="K64" s="57"/>
      <c r="L64" s="57"/>
      <c r="M64" s="57"/>
      <c r="N64" s="57"/>
      <c r="O64" s="57"/>
      <c r="P64" s="57"/>
      <c r="Q64" s="57"/>
      <c r="R64" s="57"/>
      <c r="S64" s="57"/>
      <c r="T64" s="57"/>
      <c r="U64" s="57"/>
      <c r="V64" s="57"/>
      <c r="AG64"/>
      <c r="AH64"/>
      <c r="AI64" s="57"/>
      <c r="AJ64" s="57"/>
      <c r="AK64" s="57"/>
      <c r="AL64" s="57"/>
      <c r="AM64" s="57"/>
    </row>
    <row r="65" spans="3:39" x14ac:dyDescent="0.25">
      <c r="C65" s="57"/>
      <c r="D65" s="57"/>
      <c r="E65" s="57"/>
      <c r="F65" s="57"/>
      <c r="G65" s="57"/>
      <c r="H65" s="57"/>
      <c r="I65" s="57"/>
      <c r="J65" s="57"/>
      <c r="K65" s="57"/>
      <c r="L65" s="57"/>
      <c r="M65" s="57"/>
      <c r="N65" s="57"/>
      <c r="O65" s="57"/>
      <c r="P65" s="57"/>
      <c r="Q65" s="57"/>
      <c r="R65" s="57"/>
      <c r="S65" s="57"/>
      <c r="T65" s="57"/>
      <c r="U65" s="57"/>
      <c r="V65" s="57"/>
      <c r="AG65"/>
      <c r="AH65"/>
      <c r="AI65" s="57"/>
      <c r="AJ65" s="57"/>
      <c r="AK65" s="57"/>
      <c r="AL65" s="57"/>
      <c r="AM65" s="57"/>
    </row>
    <row r="66" spans="3:39" x14ac:dyDescent="0.25">
      <c r="C66" s="57"/>
      <c r="D66" s="57"/>
      <c r="E66" s="57"/>
      <c r="F66" s="57"/>
      <c r="G66" s="57"/>
      <c r="H66" s="57"/>
      <c r="I66" s="57"/>
      <c r="J66" s="57"/>
      <c r="K66" s="57"/>
      <c r="L66" s="57"/>
      <c r="M66" s="57"/>
      <c r="N66" s="57"/>
      <c r="O66" s="57"/>
      <c r="P66" s="57"/>
      <c r="Q66" s="57"/>
      <c r="R66" s="57"/>
      <c r="S66" s="57"/>
      <c r="T66" s="57"/>
      <c r="U66" s="57"/>
      <c r="V66" s="57"/>
      <c r="AG66"/>
      <c r="AH66"/>
      <c r="AI66" s="57"/>
      <c r="AJ66" s="57"/>
      <c r="AK66" s="57"/>
      <c r="AL66" s="57"/>
      <c r="AM66" s="57"/>
    </row>
    <row r="67" spans="3:39" x14ac:dyDescent="0.25">
      <c r="C67" s="57"/>
      <c r="D67" s="57"/>
      <c r="E67" s="57"/>
      <c r="F67" s="57"/>
      <c r="G67" s="57"/>
      <c r="H67" s="57"/>
      <c r="I67" s="57"/>
      <c r="J67" s="57"/>
      <c r="K67" s="57"/>
      <c r="L67" s="57"/>
      <c r="M67" s="57"/>
      <c r="N67" s="57"/>
      <c r="O67" s="57"/>
      <c r="P67" s="57"/>
      <c r="Q67" s="57"/>
      <c r="R67" s="57"/>
      <c r="S67" s="57"/>
      <c r="T67" s="57"/>
      <c r="U67" s="57"/>
      <c r="V67" s="57"/>
      <c r="AG67"/>
      <c r="AH67"/>
      <c r="AI67" s="57"/>
      <c r="AJ67" s="57"/>
      <c r="AK67" s="57"/>
      <c r="AL67" s="57"/>
      <c r="AM67" s="57"/>
    </row>
    <row r="68" spans="3:39" x14ac:dyDescent="0.25">
      <c r="C68" s="57"/>
      <c r="D68" s="57"/>
      <c r="E68" s="57"/>
      <c r="F68" s="57"/>
      <c r="G68" s="57"/>
      <c r="H68" s="57"/>
      <c r="I68" s="57"/>
      <c r="J68" s="57"/>
      <c r="K68" s="57"/>
      <c r="L68" s="57"/>
      <c r="M68" s="57"/>
      <c r="N68" s="57"/>
      <c r="O68" s="57"/>
      <c r="P68" s="57"/>
      <c r="Q68" s="57"/>
      <c r="R68" s="57"/>
      <c r="S68" s="57"/>
      <c r="T68" s="57"/>
      <c r="U68" s="57"/>
      <c r="V68" s="57"/>
      <c r="AG68"/>
      <c r="AH68"/>
      <c r="AI68" s="57"/>
      <c r="AJ68" s="57"/>
      <c r="AK68" s="57"/>
      <c r="AL68" s="57"/>
      <c r="AM68" s="57"/>
    </row>
    <row r="69" spans="3:39" x14ac:dyDescent="0.25">
      <c r="C69" s="57"/>
      <c r="D69" s="57"/>
      <c r="E69" s="57"/>
      <c r="F69" s="57"/>
      <c r="G69" s="57"/>
      <c r="H69" s="57"/>
      <c r="I69" s="57"/>
      <c r="J69" s="57"/>
      <c r="K69" s="57"/>
      <c r="L69" s="57"/>
      <c r="M69" s="57"/>
      <c r="N69" s="57"/>
      <c r="O69" s="57"/>
      <c r="P69" s="57"/>
      <c r="Q69" s="57"/>
      <c r="R69" s="57"/>
      <c r="S69" s="57"/>
      <c r="T69" s="57"/>
      <c r="U69" s="57"/>
      <c r="V69" s="57"/>
      <c r="AG69"/>
      <c r="AH69"/>
      <c r="AI69" s="57"/>
      <c r="AJ69" s="57"/>
      <c r="AK69" s="57"/>
      <c r="AL69" s="57"/>
      <c r="AM69" s="57"/>
    </row>
    <row r="70" spans="3:39" x14ac:dyDescent="0.25">
      <c r="C70" s="57"/>
      <c r="D70" s="57"/>
      <c r="E70" s="57"/>
      <c r="F70" s="57"/>
      <c r="G70" s="57"/>
      <c r="H70" s="57"/>
      <c r="I70" s="57"/>
      <c r="J70" s="57"/>
      <c r="K70" s="57"/>
      <c r="L70" s="57"/>
      <c r="M70" s="57"/>
      <c r="N70" s="57"/>
      <c r="O70" s="57"/>
      <c r="P70" s="57"/>
      <c r="Q70" s="57"/>
      <c r="R70" s="57"/>
      <c r="S70" s="57"/>
      <c r="T70" s="57"/>
      <c r="U70" s="57"/>
      <c r="V70" s="57"/>
      <c r="AG70"/>
      <c r="AH70"/>
      <c r="AI70" s="57"/>
      <c r="AJ70" s="57"/>
      <c r="AK70" s="57"/>
      <c r="AL70" s="57"/>
      <c r="AM70" s="57"/>
    </row>
    <row r="71" spans="3:39" x14ac:dyDescent="0.25">
      <c r="C71" s="57"/>
      <c r="D71" s="57"/>
      <c r="E71" s="57"/>
      <c r="F71" s="57"/>
      <c r="G71" s="57"/>
      <c r="H71" s="57"/>
      <c r="I71" s="57"/>
      <c r="J71" s="57"/>
      <c r="K71" s="57"/>
      <c r="L71" s="57"/>
      <c r="M71" s="57"/>
      <c r="N71" s="57"/>
      <c r="O71" s="57"/>
      <c r="P71" s="57"/>
      <c r="Q71" s="57"/>
      <c r="R71" s="57"/>
      <c r="S71" s="57"/>
      <c r="T71" s="57"/>
      <c r="U71" s="57"/>
      <c r="V71" s="57"/>
      <c r="AG71"/>
      <c r="AH71"/>
      <c r="AI71" s="57"/>
      <c r="AJ71" s="57"/>
      <c r="AK71" s="57"/>
      <c r="AL71" s="57"/>
      <c r="AM71" s="57"/>
    </row>
    <row r="72" spans="3:39" x14ac:dyDescent="0.25">
      <c r="C72" s="57"/>
      <c r="D72" s="57"/>
      <c r="E72" s="57"/>
      <c r="F72" s="57"/>
      <c r="G72" s="57"/>
      <c r="H72" s="57"/>
      <c r="I72" s="57"/>
      <c r="J72" s="57"/>
      <c r="K72" s="57"/>
      <c r="L72" s="57"/>
      <c r="M72" s="57"/>
      <c r="N72" s="57"/>
      <c r="O72" s="57"/>
      <c r="P72" s="57"/>
      <c r="Q72" s="57"/>
      <c r="R72" s="57"/>
      <c r="S72" s="57"/>
      <c r="T72" s="57"/>
      <c r="U72" s="57"/>
      <c r="V72" s="57"/>
      <c r="AG72"/>
      <c r="AH72"/>
      <c r="AI72" s="57"/>
      <c r="AJ72" s="57"/>
      <c r="AK72" s="57"/>
      <c r="AL72" s="57"/>
      <c r="AM72" s="57"/>
    </row>
    <row r="73" spans="3:39" x14ac:dyDescent="0.25">
      <c r="C73" s="57"/>
      <c r="D73" s="57"/>
      <c r="E73" s="57"/>
      <c r="F73" s="57"/>
      <c r="G73" s="57"/>
      <c r="H73" s="57"/>
      <c r="I73" s="57"/>
      <c r="J73" s="57"/>
      <c r="K73" s="57"/>
      <c r="L73" s="57"/>
      <c r="M73" s="57"/>
      <c r="N73" s="57"/>
      <c r="O73" s="57"/>
      <c r="P73" s="57"/>
      <c r="Q73" s="57"/>
      <c r="R73" s="57"/>
      <c r="S73" s="57"/>
      <c r="T73" s="57"/>
      <c r="U73" s="57"/>
      <c r="V73" s="57"/>
      <c r="AG73"/>
      <c r="AH73"/>
      <c r="AI73" s="57"/>
      <c r="AJ73" s="57"/>
      <c r="AK73" s="57"/>
      <c r="AL73" s="57"/>
      <c r="AM73" s="57"/>
    </row>
    <row r="74" spans="3:39" x14ac:dyDescent="0.25">
      <c r="C74" s="57"/>
      <c r="D74" s="57"/>
      <c r="E74" s="57"/>
      <c r="F74" s="57"/>
      <c r="G74" s="57"/>
      <c r="H74" s="57"/>
      <c r="I74" s="57"/>
      <c r="J74" s="57"/>
      <c r="K74" s="57"/>
      <c r="L74" s="57"/>
      <c r="M74" s="57"/>
      <c r="N74" s="57"/>
      <c r="O74" s="57"/>
      <c r="P74" s="57"/>
      <c r="Q74" s="57"/>
      <c r="R74" s="57"/>
      <c r="S74" s="57"/>
      <c r="T74" s="57"/>
      <c r="U74" s="57"/>
      <c r="V74" s="57"/>
      <c r="AG74" s="57"/>
      <c r="AH74" s="57"/>
      <c r="AI74" s="57"/>
      <c r="AJ74" s="57"/>
      <c r="AK74" s="57"/>
      <c r="AL74" s="57"/>
      <c r="AM74" s="57"/>
    </row>
    <row r="75" spans="3:39" x14ac:dyDescent="0.25">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row>
    <row r="76" spans="3:39" x14ac:dyDescent="0.25">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c r="AL76" s="57"/>
      <c r="AM76" s="57"/>
    </row>
    <row r="77" spans="3:39" x14ac:dyDescent="0.25">
      <c r="C77" s="57"/>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57"/>
      <c r="AM77" s="57"/>
    </row>
    <row r="78" spans="3:39" x14ac:dyDescent="0.25">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row>
    <row r="79" spans="3:39" x14ac:dyDescent="0.25">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row>
    <row r="80" spans="3:39" x14ac:dyDescent="0.25">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row>
    <row r="81" spans="3:39" x14ac:dyDescent="0.25">
      <c r="C81" s="57"/>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57"/>
      <c r="AI81" s="57"/>
      <c r="AJ81" s="57"/>
      <c r="AK81" s="57"/>
      <c r="AL81" s="57"/>
      <c r="AM81" s="57"/>
    </row>
    <row r="82" spans="3:39" x14ac:dyDescent="0.25">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row>
    <row r="83" spans="3:39" x14ac:dyDescent="0.25">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c r="AM83" s="57"/>
    </row>
    <row r="84" spans="3:39" x14ac:dyDescent="0.25">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c r="AM84" s="57"/>
    </row>
    <row r="85" spans="3:39" x14ac:dyDescent="0.25">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c r="AM85" s="57"/>
    </row>
    <row r="86" spans="3:39" x14ac:dyDescent="0.25">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row>
    <row r="87" spans="3:39" x14ac:dyDescent="0.25">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57"/>
      <c r="AM87" s="57"/>
    </row>
    <row r="88" spans="3:39" x14ac:dyDescent="0.25">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row>
    <row r="89" spans="3:39" x14ac:dyDescent="0.25">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row>
    <row r="90" spans="3:39" x14ac:dyDescent="0.25">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row>
    <row r="91" spans="3:39" x14ac:dyDescent="0.25">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row>
    <row r="92" spans="3:39" x14ac:dyDescent="0.25">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row>
    <row r="93" spans="3:39" x14ac:dyDescent="0.25">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row>
    <row r="94" spans="3:39" x14ac:dyDescent="0.25">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row>
    <row r="95" spans="3:39" x14ac:dyDescent="0.25">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row>
    <row r="96" spans="3:39" x14ac:dyDescent="0.25">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row>
    <row r="97" spans="3:39" x14ac:dyDescent="0.25">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row>
    <row r="98" spans="3:39" x14ac:dyDescent="0.25">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row>
    <row r="99" spans="3:39" x14ac:dyDescent="0.25">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row>
    <row r="100" spans="3:39" x14ac:dyDescent="0.25">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row>
    <row r="101" spans="3:39" x14ac:dyDescent="0.25">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row>
    <row r="102" spans="3:39" x14ac:dyDescent="0.25">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row>
    <row r="103" spans="3:39" x14ac:dyDescent="0.25">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row>
    <row r="104" spans="3:39" x14ac:dyDescent="0.25">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row>
    <row r="105" spans="3:39" x14ac:dyDescent="0.25">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row>
    <row r="106" spans="3:39" x14ac:dyDescent="0.25">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row>
    <row r="107" spans="3:39" x14ac:dyDescent="0.25">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row>
    <row r="108" spans="3:39" x14ac:dyDescent="0.25">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row>
    <row r="109" spans="3:39" x14ac:dyDescent="0.25">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row>
    <row r="110" spans="3:39" x14ac:dyDescent="0.25">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row>
    <row r="111" spans="3:39" x14ac:dyDescent="0.25">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row>
    <row r="112" spans="3:39" x14ac:dyDescent="0.25">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row>
    <row r="113" spans="3:39" x14ac:dyDescent="0.25">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row>
    <row r="114" spans="3:39" x14ac:dyDescent="0.25">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row>
    <row r="115" spans="3:39" x14ac:dyDescent="0.25">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row>
    <row r="116" spans="3:39" x14ac:dyDescent="0.25">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row>
    <row r="117" spans="3:39" x14ac:dyDescent="0.25">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row>
    <row r="118" spans="3:39" x14ac:dyDescent="0.25">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row>
    <row r="119" spans="3:39" x14ac:dyDescent="0.25">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row>
    <row r="120" spans="3:39" x14ac:dyDescent="0.25">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row>
    <row r="121" spans="3:39" x14ac:dyDescent="0.25">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row>
    <row r="122" spans="3:39" x14ac:dyDescent="0.25">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row>
    <row r="123" spans="3:39" x14ac:dyDescent="0.25">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row>
    <row r="124" spans="3:39" x14ac:dyDescent="0.25">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row>
    <row r="125" spans="3:39" x14ac:dyDescent="0.25">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row>
    <row r="126" spans="3:39" x14ac:dyDescent="0.25">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row>
    <row r="127" spans="3:39" x14ac:dyDescent="0.25">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row>
    <row r="128" spans="3:39" x14ac:dyDescent="0.25">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row>
    <row r="129" spans="3:39" x14ac:dyDescent="0.25">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row>
    <row r="130" spans="3:39" x14ac:dyDescent="0.25">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row>
    <row r="131" spans="3:39" x14ac:dyDescent="0.25">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row>
    <row r="132" spans="3:39" x14ac:dyDescent="0.25">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row>
    <row r="133" spans="3:39" x14ac:dyDescent="0.25">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row>
    <row r="134" spans="3:39" x14ac:dyDescent="0.25">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row>
    <row r="135" spans="3:39" x14ac:dyDescent="0.25">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row>
    <row r="136" spans="3:39" x14ac:dyDescent="0.25">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row>
    <row r="137" spans="3:39" x14ac:dyDescent="0.25">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row>
    <row r="138" spans="3:39" x14ac:dyDescent="0.25">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row>
    <row r="139" spans="3:39" x14ac:dyDescent="0.25">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row>
    <row r="140" spans="3:39" x14ac:dyDescent="0.25">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row>
    <row r="141" spans="3:39" x14ac:dyDescent="0.25">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row>
    <row r="142" spans="3:39" x14ac:dyDescent="0.25">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row>
    <row r="143" spans="3:39" x14ac:dyDescent="0.25">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row>
    <row r="144" spans="3:39" x14ac:dyDescent="0.25">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row>
    <row r="145" spans="3:39" x14ac:dyDescent="0.25">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row>
    <row r="146" spans="3:39" x14ac:dyDescent="0.25">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row>
    <row r="147" spans="3:39" x14ac:dyDescent="0.25">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row>
    <row r="148" spans="3:39" x14ac:dyDescent="0.25">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row>
    <row r="149" spans="3:39" x14ac:dyDescent="0.25">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row>
    <row r="150" spans="3:39" x14ac:dyDescent="0.25">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row>
    <row r="151" spans="3:39" x14ac:dyDescent="0.25">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row>
    <row r="152" spans="3:39" x14ac:dyDescent="0.25">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row>
    <row r="153" spans="3:39" x14ac:dyDescent="0.25">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row>
    <row r="154" spans="3:39" x14ac:dyDescent="0.25">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c r="AM154" s="57"/>
    </row>
    <row r="155" spans="3:39" x14ac:dyDescent="0.25">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c r="AM155" s="57"/>
    </row>
    <row r="156" spans="3:39" x14ac:dyDescent="0.25">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row>
    <row r="157" spans="3:39" x14ac:dyDescent="0.25">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c r="AM157" s="57"/>
    </row>
    <row r="158" spans="3:39" x14ac:dyDescent="0.25">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row>
    <row r="159" spans="3:39" x14ac:dyDescent="0.25">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row>
    <row r="160" spans="3:39" x14ac:dyDescent="0.25">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row>
    <row r="161" spans="3:39" x14ac:dyDescent="0.25">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c r="AM161" s="57"/>
    </row>
    <row r="162" spans="3:39" x14ac:dyDescent="0.25">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row>
    <row r="163" spans="3:39" x14ac:dyDescent="0.25">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row>
    <row r="164" spans="3:39" x14ac:dyDescent="0.25">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c r="AM164" s="57"/>
    </row>
    <row r="165" spans="3:39" x14ac:dyDescent="0.25">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c r="AM165" s="57"/>
    </row>
    <row r="166" spans="3:39" x14ac:dyDescent="0.25">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c r="AM166" s="57"/>
    </row>
    <row r="167" spans="3:39" x14ac:dyDescent="0.25">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row>
    <row r="168" spans="3:39" x14ac:dyDescent="0.25">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row>
    <row r="169" spans="3:39" x14ac:dyDescent="0.25">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c r="AM169" s="57"/>
    </row>
    <row r="170" spans="3:39" x14ac:dyDescent="0.25">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row>
    <row r="171" spans="3:39" x14ac:dyDescent="0.25">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c r="AM171" s="57"/>
    </row>
    <row r="172" spans="3:39" x14ac:dyDescent="0.25">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c r="AL172" s="57"/>
      <c r="AM172" s="57"/>
    </row>
    <row r="173" spans="3:39" x14ac:dyDescent="0.25">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row>
    <row r="174" spans="3:39" x14ac:dyDescent="0.25">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row>
    <row r="175" spans="3:39" x14ac:dyDescent="0.25">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row>
    <row r="176" spans="3:39" x14ac:dyDescent="0.25">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row>
    <row r="177" spans="3:39" x14ac:dyDescent="0.25">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row>
    <row r="178" spans="3:39" x14ac:dyDescent="0.25">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c r="AM178" s="57"/>
    </row>
    <row r="179" spans="3:39" x14ac:dyDescent="0.25">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row>
    <row r="180" spans="3:39" x14ac:dyDescent="0.25">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row>
    <row r="181" spans="3:39" x14ac:dyDescent="0.25">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row>
    <row r="182" spans="3:39" x14ac:dyDescent="0.25">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row>
    <row r="183" spans="3:39" x14ac:dyDescent="0.25">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row>
    <row r="184" spans="3:39" x14ac:dyDescent="0.25">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row>
    <row r="185" spans="3:39" x14ac:dyDescent="0.25">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row>
    <row r="186" spans="3:39" x14ac:dyDescent="0.25">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row>
    <row r="187" spans="3:39" x14ac:dyDescent="0.25">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row>
    <row r="188" spans="3:39" x14ac:dyDescent="0.25">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row>
    <row r="189" spans="3:39" x14ac:dyDescent="0.25">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row>
    <row r="190" spans="3:39" x14ac:dyDescent="0.25">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c r="AM190" s="57"/>
    </row>
    <row r="191" spans="3:39" x14ac:dyDescent="0.25">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row>
    <row r="192" spans="3:39" x14ac:dyDescent="0.25">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row>
    <row r="193" spans="3:39" x14ac:dyDescent="0.25">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row>
    <row r="194" spans="3:39" x14ac:dyDescent="0.25">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c r="AL194" s="57"/>
      <c r="AM194" s="57"/>
    </row>
    <row r="195" spans="3:39" x14ac:dyDescent="0.25">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row>
    <row r="196" spans="3:39" x14ac:dyDescent="0.25">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c r="AL196" s="57"/>
      <c r="AM196" s="57"/>
    </row>
    <row r="197" spans="3:39" x14ac:dyDescent="0.25">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row>
    <row r="198" spans="3:39" x14ac:dyDescent="0.25">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c r="AM198" s="57"/>
    </row>
    <row r="199" spans="3:39" x14ac:dyDescent="0.25">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row>
    <row r="200" spans="3:39" x14ac:dyDescent="0.25">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row>
    <row r="201" spans="3:39" x14ac:dyDescent="0.25">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row>
    <row r="202" spans="3:39" x14ac:dyDescent="0.25">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row>
    <row r="203" spans="3:39" x14ac:dyDescent="0.25">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row>
    <row r="204" spans="3:39" x14ac:dyDescent="0.25">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row>
    <row r="205" spans="3:39" x14ac:dyDescent="0.25">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row>
  </sheetData>
  <pageMargins left="0" right="0"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A414C-6CC6-4582-9652-1A49FCCEC1CE}">
  <sheetPr codeName="Sheet7">
    <tabColor rgb="FF93B9FF"/>
  </sheetPr>
  <dimension ref="D4:AD69"/>
  <sheetViews>
    <sheetView showGridLines="0" zoomScaleNormal="100" workbookViewId="0">
      <pane xSplit="8" ySplit="15" topLeftCell="I16" activePane="bottomRight" state="frozen"/>
      <selection pane="topRight" activeCell="H1" sqref="H1"/>
      <selection pane="bottomLeft" activeCell="A18" sqref="A18"/>
      <selection pane="bottomRight"/>
    </sheetView>
  </sheetViews>
  <sheetFormatPr defaultRowHeight="11.4" x14ac:dyDescent="0.2"/>
  <cols>
    <col min="1" max="3" width="3.25" customWidth="1"/>
    <col min="4" max="4" width="4.625" customWidth="1"/>
    <col min="5" max="5" width="12.375" customWidth="1"/>
    <col min="6" max="6" width="56.875" customWidth="1"/>
    <col min="7" max="7" width="62.75" customWidth="1"/>
    <col min="8" max="8" width="7.875" hidden="1" customWidth="1"/>
    <col min="9" max="10" width="50" customWidth="1"/>
    <col min="11" max="11" width="13" customWidth="1"/>
    <col min="12" max="12" width="12.625" customWidth="1"/>
    <col min="13" max="13" width="13.75" customWidth="1"/>
    <col min="14" max="14" width="16.875" customWidth="1"/>
    <col min="15" max="15" width="17.125" customWidth="1"/>
    <col min="16" max="16" width="16.625" customWidth="1"/>
    <col min="17" max="17" width="18.375" customWidth="1"/>
    <col min="18" max="18" width="27.375" bestFit="1" customWidth="1"/>
    <col min="19" max="19" width="15.875" customWidth="1"/>
    <col min="20" max="20" width="34" bestFit="1" customWidth="1"/>
    <col min="21" max="21" width="17.125" customWidth="1"/>
    <col min="22" max="22" width="13.125" customWidth="1"/>
    <col min="23" max="23" width="11.875" customWidth="1"/>
    <col min="24" max="24" width="14.25" customWidth="1"/>
    <col min="25" max="25" width="19.25" bestFit="1" customWidth="1"/>
    <col min="26" max="26" width="13" customWidth="1"/>
    <col min="27" max="27" width="19.375" customWidth="1"/>
    <col min="28" max="28" width="21.25" customWidth="1"/>
    <col min="29" max="30" width="19.375" customWidth="1"/>
    <col min="31" max="31" width="12.375" customWidth="1"/>
  </cols>
  <sheetData>
    <row r="4" spans="4:30" ht="19.8" thickBot="1" x14ac:dyDescent="0.4">
      <c r="D4" s="146" t="s">
        <v>174</v>
      </c>
      <c r="E4" s="146"/>
      <c r="F4" s="146"/>
      <c r="G4" s="146"/>
      <c r="H4" s="146"/>
    </row>
    <row r="5" spans="4:30" ht="15" thickTop="1" x14ac:dyDescent="0.3">
      <c r="D5" s="148"/>
      <c r="E5" s="148"/>
      <c r="F5" s="148"/>
      <c r="H5" s="148"/>
    </row>
    <row r="6" spans="4:30" ht="14.4" x14ac:dyDescent="0.3">
      <c r="D6" s="148" t="s">
        <v>868</v>
      </c>
      <c r="E6" s="148"/>
      <c r="F6" s="148"/>
      <c r="H6" s="148"/>
    </row>
    <row r="7" spans="4:30" ht="14.4" x14ac:dyDescent="0.3">
      <c r="D7" s="148" t="s">
        <v>770</v>
      </c>
      <c r="E7" s="148"/>
      <c r="F7" s="148"/>
      <c r="H7" s="148"/>
    </row>
    <row r="8" spans="4:30" ht="14.4" x14ac:dyDescent="0.3">
      <c r="D8" s="148" t="s">
        <v>753</v>
      </c>
      <c r="E8" s="148"/>
      <c r="F8" s="148"/>
      <c r="H8" s="148"/>
      <c r="I8" s="148"/>
      <c r="J8" s="148"/>
    </row>
    <row r="9" spans="4:30" ht="14.4" customHeight="1" x14ac:dyDescent="0.2">
      <c r="F9" s="190"/>
    </row>
    <row r="10" spans="4:30" x14ac:dyDescent="0.2">
      <c r="F10" s="206" t="s">
        <v>605</v>
      </c>
      <c r="J10" s="231"/>
    </row>
    <row r="11" spans="4:30" ht="14.4" x14ac:dyDescent="0.3">
      <c r="F11" s="206" t="str">
        <f>Summary!$F$11</f>
        <v>$2025-26</v>
      </c>
      <c r="H11" s="326"/>
      <c r="I11" s="326"/>
      <c r="J11" s="326"/>
    </row>
    <row r="12" spans="4:30" ht="14.4" x14ac:dyDescent="0.3">
      <c r="F12" s="191">
        <f>MATCH(F11,Lists!C3:C4,)</f>
        <v>2</v>
      </c>
      <c r="H12" s="326"/>
      <c r="I12" s="326"/>
      <c r="J12" s="326"/>
    </row>
    <row r="13" spans="4:30" ht="14.4" x14ac:dyDescent="0.3">
      <c r="F13" s="191"/>
      <c r="H13" s="326"/>
      <c r="I13" s="326"/>
      <c r="J13" s="326"/>
    </row>
    <row r="14" spans="4:30" ht="11.4" customHeight="1" x14ac:dyDescent="0.25">
      <c r="F14" s="341"/>
      <c r="H14" s="341"/>
      <c r="I14" s="341"/>
      <c r="J14" s="341"/>
    </row>
    <row r="15" spans="4:30" s="208" customFormat="1" ht="48" x14ac:dyDescent="0.2">
      <c r="D15" s="215" t="s">
        <v>699</v>
      </c>
      <c r="E15" s="313" t="s">
        <v>833</v>
      </c>
      <c r="F15" s="155" t="s">
        <v>146</v>
      </c>
      <c r="G15" s="156" t="s">
        <v>754</v>
      </c>
      <c r="H15" s="242" t="s">
        <v>717</v>
      </c>
      <c r="I15" s="156" t="s">
        <v>834</v>
      </c>
      <c r="J15" s="156" t="s">
        <v>835</v>
      </c>
      <c r="K15" s="156" t="s">
        <v>147</v>
      </c>
      <c r="L15" s="156" t="s">
        <v>180</v>
      </c>
      <c r="M15" s="157" t="s">
        <v>148</v>
      </c>
      <c r="N15" s="157" t="s">
        <v>149</v>
      </c>
      <c r="O15" s="157" t="s">
        <v>150</v>
      </c>
      <c r="P15" s="157" t="s">
        <v>151</v>
      </c>
      <c r="Q15" s="157" t="s">
        <v>152</v>
      </c>
      <c r="R15" s="157" t="s">
        <v>153</v>
      </c>
      <c r="S15" s="157" t="s">
        <v>154</v>
      </c>
      <c r="T15" s="157" t="s">
        <v>155</v>
      </c>
      <c r="U15" s="157" t="s">
        <v>156</v>
      </c>
      <c r="V15" s="157" t="s">
        <v>157</v>
      </c>
      <c r="W15" s="157" t="s">
        <v>158</v>
      </c>
      <c r="X15" s="157" t="s">
        <v>159</v>
      </c>
      <c r="Y15" s="157" t="s">
        <v>160</v>
      </c>
      <c r="Z15" s="156" t="s">
        <v>161</v>
      </c>
      <c r="AA15" s="157" t="s">
        <v>162</v>
      </c>
      <c r="AB15" s="158" t="s">
        <v>163</v>
      </c>
      <c r="AC15" s="158" t="s">
        <v>164</v>
      </c>
      <c r="AD15" s="158" t="s">
        <v>165</v>
      </c>
    </row>
    <row r="16" spans="4:30" s="208" customFormat="1" ht="12.6" thickBot="1" x14ac:dyDescent="0.3">
      <c r="D16" s="307"/>
      <c r="E16" s="307"/>
      <c r="F16" s="308" t="s">
        <v>173</v>
      </c>
      <c r="G16" s="307"/>
      <c r="H16" s="307"/>
      <c r="I16" s="307"/>
      <c r="J16" s="307"/>
      <c r="K16" s="307"/>
      <c r="L16" s="307"/>
      <c r="M16" s="307"/>
      <c r="N16" s="342" t="str">
        <f>IF(SUM($N$17:$N$66)&gt;0,SUM($N$17:$N$66),"")</f>
        <v/>
      </c>
      <c r="O16" s="307"/>
      <c r="P16" s="307"/>
      <c r="Q16" s="307"/>
      <c r="R16" s="307"/>
      <c r="S16" s="307"/>
      <c r="T16" s="307"/>
      <c r="U16" s="307"/>
      <c r="V16" s="307"/>
      <c r="W16" s="307"/>
      <c r="X16" s="307"/>
      <c r="Y16" s="307"/>
      <c r="Z16" s="307"/>
      <c r="AA16" s="342" t="str">
        <f>IF(SUM($AA$17:$AA$66)&gt;0,SUM($AA$17:$AA$66),"")</f>
        <v/>
      </c>
      <c r="AB16" s="342" t="str">
        <f>IF(SUM($AB$17:$AB$66)&gt;0,SUM($AB$17:$AB$66),"")</f>
        <v/>
      </c>
      <c r="AC16" s="342" t="str">
        <f>IF(AND(TableStormwater[[#This Row],[Your works schedule cost]]&lt;&gt;"",TableStormwater[[#This Row],[Total benchmark cost]]&lt;&gt;""),SUM($AC$17:$AC$66),"")</f>
        <v/>
      </c>
      <c r="AD16" s="380" t="str">
        <f>IFERROR((SUMIFS(AB17:AB66,AA17:AA66,"&lt;&gt;")-SUMIFS(AA17:AA66,AB17:AB66,"&lt;&gt;"))/SUMIFS(AA17:AA66,AB17:AB66,"&lt;&gt;"),"")</f>
        <v/>
      </c>
    </row>
    <row r="17" spans="4:30" ht="12.6" thickTop="1" x14ac:dyDescent="0.25">
      <c r="D17" s="216">
        <f>ROW()-16</f>
        <v>1</v>
      </c>
      <c r="E17" s="312"/>
      <c r="F17" s="187"/>
      <c r="G17" s="96"/>
      <c r="H17" s="244">
        <f>IFERROR(_xlfn.XLOOKUP(F17,Lists!$C$47:$C$63,Lists!$D$47:$D$63),0)</f>
        <v>0</v>
      </c>
      <c r="I17" s="96"/>
      <c r="J17" s="96"/>
      <c r="K17" s="331" t="str" cm="1">
        <f t="array" ref="K17">IFERROR(IF($H17=0,INDEX('Variable index'!$E$79:$F$126,MATCH($F17,'Variable index'!$C$79:$C$126,0),$F$12),INDEX('Variable index'!$E$79:$F$127,MATCH(_xlfn.CONCAT($F17," - ",$G17),'Variable index'!$C$79:$C$126,0),$F$12)),"")</f>
        <v/>
      </c>
      <c r="L17" s="332" t="str">
        <f>IFERROR(_xlfn.CONCAT("$ per ",IF($H17=0,_xlfn.XLOOKUP($F17,'Variable index'!$C$79:$C$126,'Variable index'!$D$79:$D$126),_xlfn.XLOOKUP(_xlfn.CONCAT($F17," - ",$G17),'Variable index'!$C$79:$C$126,'Variable index'!$D$79:$D$126))),"")</f>
        <v/>
      </c>
      <c r="M17" s="301"/>
      <c r="N17" s="343" t="str">
        <f>IFERROR(IF(TableStormwater[[#This Row],[Unit quantity]]="","",TableStormwater[[#This Row],[Unit rate]]*TableStormwater[[#This Row],[Unit quantity]]),"")</f>
        <v/>
      </c>
      <c r="O17" s="247" t="str">
        <f>IF(TableStormwater[[#This Row],[Type of infrastructure]]&lt;&gt;"",Summary!$F$8,"")</f>
        <v/>
      </c>
      <c r="P17" s="246" t="str">
        <f>IF(TableStormwater[[#This Row],[Type of infrastructure]]&lt;&gt;"",Summary!$F$9,"")</f>
        <v/>
      </c>
      <c r="Q17" s="302"/>
      <c r="R17" s="188"/>
      <c r="S17" s="301"/>
      <c r="T17" s="188"/>
      <c r="U17" s="301"/>
      <c r="V17" s="336" t="str" cm="1">
        <f t="array" ref="V17">IF(N17&lt;&gt;"",_xlfn.IFS(AND(N17&gt;='Variable index'!$K$35,N17&lt;'Variable index'!$K$36),'Variable index'!$L$35,AND(N17&gt;='Variable index'!$K$36,N17&lt;'Variable index'!$K$37),'Variable index'!$L$36,AND(N17&gt;='Variable index'!$K$37,N17&lt;'Variable index'!$K$38),'Variable index'!$L$37,N17&gt;='Variable index'!$K$38,'Variable index'!$L$38),"")</f>
        <v/>
      </c>
      <c r="W17" s="237"/>
      <c r="X17" s="336" t="str" cm="1">
        <f t="array" ref="X17">IF(AND(W17&lt;&gt;"",N17&lt;&gt;""),_xlfn.IFS(W17="Yes",_xlfn.IFS(AND(N17&gt;='Variable index'!$K$35,N17&lt;'Variable index'!$K$36),'Variable index'!$M$35,AND(N17&gt;='Variable index'!$K$36,N17&lt;'Variable index'!$K$37),'Variable index'!$M$36,AND(N17&gt;='Variable index'!$K$37,N17&lt;'Variable index'!$K$38),'Variable index'!$M$37,N17&gt;='Variable index'!$K$38,'Variable index'!$M$38),W17="No",0),"")</f>
        <v/>
      </c>
      <c r="Y17" s="120"/>
      <c r="Z17" s="336" t="str" cm="1">
        <f t="array" ref="Z17">IF(Y17&lt;&gt;"",_xlfn.IFS(Y17='Variable index'!$J$53,SUM('Variable index'!$K$49:$M$49),Y17='Variable index'!$J$54,SUM('Variable index'!$L$49:$M$49),Y17='Variable index'!$J$55,SUM('Variable index'!$M$49)),"")</f>
        <v/>
      </c>
      <c r="AA17" s="337" t="str" cm="1">
        <f t="array" ref="AA17">IFERROR(N17*(1+_xlfn.XLOOKUP(O17,'Rawlinsons regional indices'!$A$2:$A$63,'Rawlinsons regional indices'!$C$2:$C$63)+Q17+_xlfn.IFS(P17&lt;'Variable index'!$J$17,'Variable index'!$K$14,AND(P17&gt;='Variable index'!$J$17,P17&lt;'Variable index'!$J$18),'Variable index'!$L$14,P17&gt;='Variable index'!$J$18,'Variable index'!$M$14))+(IF(R17&lt;&gt;"",INDEX('Variable index'!$E$57:$F$65,MATCH($R17,'Variable index'!$C$57:$C$65,0),$F$12),0)*S17)+(IF(T17&lt;&gt;"",INDEX('Variable index'!$E$68:$F$73,MATCH($T17,'Variable index'!$C$68:$C$73,0),$F$12),0)*U17)+(N17*V17)+(N17*X17)+(N17*Z17),"")</f>
        <v/>
      </c>
      <c r="AB17" s="303"/>
      <c r="AC17" s="337" t="str">
        <f>IF(AND(AB17&lt;&gt;"",AA17&lt;&gt;""),AB17-AA17,"")</f>
        <v/>
      </c>
      <c r="AD17" s="340" t="str">
        <f>IF(AND(AB17&lt;&gt;"",AA17&lt;&gt;""),(AB17-AA17)/AA17,"")</f>
        <v/>
      </c>
    </row>
    <row r="18" spans="4:30" ht="12" x14ac:dyDescent="0.25">
      <c r="D18" s="216">
        <f t="shared" ref="D18:D66" si="0">ROW()-16</f>
        <v>2</v>
      </c>
      <c r="E18" s="312"/>
      <c r="F18" s="186"/>
      <c r="G18" s="185"/>
      <c r="H18" s="243">
        <f>IFERROR(_xlfn.XLOOKUP(F18,Lists!$C$47:$C$63,Lists!$D$47:$D$63),0)</f>
        <v>0</v>
      </c>
      <c r="I18" s="185"/>
      <c r="J18" s="185"/>
      <c r="K18" s="333" t="str" cm="1">
        <f t="array" ref="K18">IFERROR(IF($H18=0,INDEX('Variable index'!$E$79:$F$126,MATCH($F18,'Variable index'!$C$79:$C$126,0),$F$12),INDEX('Variable index'!$E$79:$F$127,MATCH(_xlfn.CONCAT($F18," - ",$G18),'Variable index'!$C$79:$C$126,0),$F$12)),"")</f>
        <v/>
      </c>
      <c r="L18" s="334" t="str">
        <f>IFERROR(_xlfn.CONCAT("$ per ",IF($H18=0,_xlfn.XLOOKUP($F18,'Variable index'!$C$79:$C$126,'Variable index'!$D$79:$D$126),_xlfn.XLOOKUP(_xlfn.CONCAT($F18," - ",$G18),'Variable index'!$C$79:$C$126,'Variable index'!$D$79:$D$126))),"")</f>
        <v/>
      </c>
      <c r="M18" s="140"/>
      <c r="N18" s="343" t="str">
        <f>IFERROR(IF(TableStormwater[[#This Row],[Unit quantity]]="","",TableStormwater[[#This Row],[Unit rate]]*TableStormwater[[#This Row],[Unit quantity]]),"")</f>
        <v/>
      </c>
      <c r="O18" s="238" t="str">
        <f>IF(TableStormwater[[#This Row],[Type of infrastructure]]&lt;&gt;"",Summary!$F$8,"")</f>
        <v/>
      </c>
      <c r="P18" s="239" t="str">
        <f>IF(TableStormwater[[#This Row],[Type of infrastructure]]&lt;&gt;"",Summary!$F$9,"")</f>
        <v/>
      </c>
      <c r="Q18" s="241"/>
      <c r="R18" s="188"/>
      <c r="S18" s="140"/>
      <c r="T18" s="188"/>
      <c r="U18" s="140"/>
      <c r="V18" s="338" t="str" cm="1">
        <f t="array" ref="V18">IF(N18&lt;&gt;"",_xlfn.IFS(AND(N18&gt;='Variable index'!$K$35,N18&lt;'Variable index'!$K$36),'Variable index'!$L$35,AND(N18&gt;='Variable index'!$K$36,N18&lt;'Variable index'!$K$37),'Variable index'!$L$36,AND(N18&gt;='Variable index'!$K$37,N18&lt;'Variable index'!$K$38),'Variable index'!$L$37,N18&gt;='Variable index'!$K$38,'Variable index'!$L$38),"")</f>
        <v/>
      </c>
      <c r="W18" s="237"/>
      <c r="X18" s="336" t="str" cm="1">
        <f t="array" ref="X18">IF(AND(W18&lt;&gt;"",N18&lt;&gt;""),_xlfn.IFS(W18="Yes",_xlfn.IFS(AND(N18&gt;='Variable index'!$K$35,N18&lt;'Variable index'!$K$36),'Variable index'!$M$35,AND(N18&gt;='Variable index'!$K$36,N18&lt;'Variable index'!$K$37),'Variable index'!$M$36,AND(N18&gt;='Variable index'!$K$37,N18&lt;'Variable index'!$K$38),'Variable index'!$M$37,N18&gt;='Variable index'!$K$38,'Variable index'!$M$38),W18="No",0),"")</f>
        <v/>
      </c>
      <c r="Y18" s="188"/>
      <c r="Z18" s="336" t="str" cm="1">
        <f t="array" ref="Z18">IF(Y18&lt;&gt;"",_xlfn.IFS(Y18='Variable index'!$J$53,SUM('Variable index'!$K$49:$M$49),Y18='Variable index'!$J$54,SUM('Variable index'!$L$49:$M$49),Y18='Variable index'!$J$55,SUM('Variable index'!$M$49)),"")</f>
        <v/>
      </c>
      <c r="AA18" s="339" t="str" cm="1">
        <f t="array" ref="AA18">IFERROR(N18*(1+_xlfn.XLOOKUP(O18,'Rawlinsons regional indices'!$A$2:$A$63,'Rawlinsons regional indices'!$C$2:$C$63)+Q18+_xlfn.IFS(P18&lt;'Variable index'!$J$17,'Variable index'!$K$14,AND(P18&gt;='Variable index'!$J$17,P18&lt;'Variable index'!$J$18),'Variable index'!$L$14,P18&gt;='Variable index'!$J$18,'Variable index'!$M$14))+(IF(R18&lt;&gt;"",INDEX('Variable index'!$E$57:$F$65,MATCH($R18,'Variable index'!$C$57:$C$65,0),$F$12),0)*S18)+(IF(T18&lt;&gt;"",INDEX('Variable index'!$E$68:$F$73,MATCH($T18,'Variable index'!$C$68:$C$73,0),$F$12),0)*U18)+(N18*V18)+(N18*X18)+(N18*Z18),"")</f>
        <v/>
      </c>
      <c r="AB18" s="303"/>
      <c r="AC18" s="337" t="str">
        <f t="shared" ref="AC18:AC66" si="1">IF(AND(AB18&lt;&gt;"",AA18&lt;&gt;""),AB18-AA18,"")</f>
        <v/>
      </c>
      <c r="AD18" s="340" t="str">
        <f t="shared" ref="AD18:AD66" si="2">IF(AND(AB18&lt;&gt;"",AA18&lt;&gt;""),(AB18-AA18)/AA18,"")</f>
        <v/>
      </c>
    </row>
    <row r="19" spans="4:30" ht="12" x14ac:dyDescent="0.25">
      <c r="D19" s="216">
        <f t="shared" si="0"/>
        <v>3</v>
      </c>
      <c r="E19" s="312"/>
      <c r="F19" s="186"/>
      <c r="G19" s="185"/>
      <c r="H19" s="243">
        <f>IFERROR(_xlfn.XLOOKUP(F19,Lists!$C$47:$C$63,Lists!$D$47:$D$63),0)</f>
        <v>0</v>
      </c>
      <c r="I19" s="185"/>
      <c r="J19" s="185"/>
      <c r="K19" s="333" t="str" cm="1">
        <f t="array" ref="K19">IFERROR(IF($H19=0,INDEX('Variable index'!$E$79:$F$126,MATCH($F19,'Variable index'!$C$79:$C$126,0),$F$12),INDEX('Variable index'!$E$79:$F$127,MATCH(_xlfn.CONCAT($F19," - ",$G19),'Variable index'!$C$79:$C$126,0),$F$12)),"")</f>
        <v/>
      </c>
      <c r="L19" s="334" t="str">
        <f>IFERROR(_xlfn.CONCAT("$ per ",IF($H19=0,_xlfn.XLOOKUP($F19,'Variable index'!$C$79:$C$126,'Variable index'!$D$79:$D$126),_xlfn.XLOOKUP(_xlfn.CONCAT($F19," - ",$G19),'Variable index'!$C$79:$C$126,'Variable index'!$D$79:$D$126))),"")</f>
        <v/>
      </c>
      <c r="M19" s="140"/>
      <c r="N19" s="343" t="str">
        <f>IFERROR(IF(TableStormwater[[#This Row],[Unit quantity]]="","",TableStormwater[[#This Row],[Unit rate]]*TableStormwater[[#This Row],[Unit quantity]]),"")</f>
        <v/>
      </c>
      <c r="O19" s="238" t="str">
        <f>IF(TableStormwater[[#This Row],[Type of infrastructure]]&lt;&gt;"",Summary!$F$8,"")</f>
        <v/>
      </c>
      <c r="P19" s="239" t="str">
        <f>IF(TableStormwater[[#This Row],[Type of infrastructure]]&lt;&gt;"",Summary!$F$9,"")</f>
        <v/>
      </c>
      <c r="Q19" s="241"/>
      <c r="R19" s="188"/>
      <c r="S19" s="140"/>
      <c r="T19" s="188"/>
      <c r="U19" s="140"/>
      <c r="V19" s="338" t="str" cm="1">
        <f t="array" ref="V19">IF(N19&lt;&gt;"",_xlfn.IFS(AND(N19&gt;='Variable index'!$K$35,N19&lt;'Variable index'!$K$36),'Variable index'!$L$35,AND(N19&gt;='Variable index'!$K$36,N19&lt;'Variable index'!$K$37),'Variable index'!$L$36,AND(N19&gt;='Variable index'!$K$37,N19&lt;'Variable index'!$K$38),'Variable index'!$L$37,N19&gt;='Variable index'!$K$38,'Variable index'!$L$38),"")</f>
        <v/>
      </c>
      <c r="W19" s="237"/>
      <c r="X19" s="336" t="str" cm="1">
        <f t="array" ref="X19">IF(AND(W19&lt;&gt;"",N19&lt;&gt;""),_xlfn.IFS(W19="Yes",_xlfn.IFS(AND(N19&gt;='Variable index'!$K$35,N19&lt;'Variable index'!$K$36),'Variable index'!$M$35,AND(N19&gt;='Variable index'!$K$36,N19&lt;'Variable index'!$K$37),'Variable index'!$M$36,AND(N19&gt;='Variable index'!$K$37,N19&lt;'Variable index'!$K$38),'Variable index'!$M$37,N19&gt;='Variable index'!$K$38,'Variable index'!$M$38),W19="No",0),"")</f>
        <v/>
      </c>
      <c r="Y19" s="188"/>
      <c r="Z19" s="336" t="str" cm="1">
        <f t="array" ref="Z19">IF(Y19&lt;&gt;"",_xlfn.IFS(Y19='Variable index'!$J$53,SUM('Variable index'!$K$49:$M$49),Y19='Variable index'!$J$54,SUM('Variable index'!$L$49:$M$49),Y19='Variable index'!$J$55,SUM('Variable index'!$M$49)),"")</f>
        <v/>
      </c>
      <c r="AA19" s="339" t="str" cm="1">
        <f t="array" ref="AA19">IFERROR(N19*(1+_xlfn.XLOOKUP(O19,'Rawlinsons regional indices'!$A$2:$A$63,'Rawlinsons regional indices'!$C$2:$C$63)+Q19+_xlfn.IFS(P19&lt;'Variable index'!$J$17,'Variable index'!$K$14,AND(P19&gt;='Variable index'!$J$17,P19&lt;'Variable index'!$J$18),'Variable index'!$L$14,P19&gt;='Variable index'!$J$18,'Variable index'!$M$14))+(IF(R19&lt;&gt;"",INDEX('Variable index'!$E$57:$F$65,MATCH($R19,'Variable index'!$C$57:$C$65,0),$F$12),0)*S19)+(IF(T19&lt;&gt;"",INDEX('Variable index'!$E$68:$F$73,MATCH($T19,'Variable index'!$C$68:$C$73,0),$F$12),0)*U19)+(N19*V19)+(N19*X19)+(N19*Z19),"")</f>
        <v/>
      </c>
      <c r="AB19" s="303"/>
      <c r="AC19" s="337" t="str">
        <f t="shared" si="1"/>
        <v/>
      </c>
      <c r="AD19" s="340" t="str">
        <f t="shared" si="2"/>
        <v/>
      </c>
    </row>
    <row r="20" spans="4:30" ht="12" x14ac:dyDescent="0.25">
      <c r="D20" s="216">
        <f t="shared" si="0"/>
        <v>4</v>
      </c>
      <c r="E20" s="312"/>
      <c r="F20" s="186"/>
      <c r="G20" s="185"/>
      <c r="H20" s="243">
        <f>IFERROR(_xlfn.XLOOKUP(F20,Lists!$C$47:$C$63,Lists!$D$47:$D$63),0)</f>
        <v>0</v>
      </c>
      <c r="I20" s="185"/>
      <c r="J20" s="185"/>
      <c r="K20" s="333" t="str" cm="1">
        <f t="array" ref="K20">IFERROR(IF($H20=0,INDEX('Variable index'!$E$79:$F$126,MATCH($F20,'Variable index'!$C$79:$C$126,0),$F$12),INDEX('Variable index'!$E$79:$F$127,MATCH(_xlfn.CONCAT($F20," - ",$G20),'Variable index'!$C$79:$C$126,0),$F$12)),"")</f>
        <v/>
      </c>
      <c r="L20" s="334" t="str">
        <f>IFERROR(_xlfn.CONCAT("$ per ",IF($H20=0,_xlfn.XLOOKUP($F20,'Variable index'!$C$79:$C$126,'Variable index'!$D$79:$D$126),_xlfn.XLOOKUP(_xlfn.CONCAT($F20," - ",$G20),'Variable index'!$C$79:$C$126,'Variable index'!$D$79:$D$126))),"")</f>
        <v/>
      </c>
      <c r="M20" s="140"/>
      <c r="N20" s="343" t="str">
        <f>IFERROR(IF(TableStormwater[[#This Row],[Unit quantity]]="","",TableStormwater[[#This Row],[Unit rate]]*TableStormwater[[#This Row],[Unit quantity]]),"")</f>
        <v/>
      </c>
      <c r="O20" s="238" t="str">
        <f>IF(TableStormwater[[#This Row],[Type of infrastructure]]&lt;&gt;"",Summary!$F$8,"")</f>
        <v/>
      </c>
      <c r="P20" s="239" t="str">
        <f>IF(TableStormwater[[#This Row],[Type of infrastructure]]&lt;&gt;"",Summary!$F$9,"")</f>
        <v/>
      </c>
      <c r="Q20" s="241"/>
      <c r="R20" s="188"/>
      <c r="S20" s="140"/>
      <c r="T20" s="188"/>
      <c r="U20" s="140"/>
      <c r="V20" s="338" t="str" cm="1">
        <f t="array" ref="V20">IF(N20&lt;&gt;"",_xlfn.IFS(AND(N20&gt;='Variable index'!$K$35,N20&lt;'Variable index'!$K$36),'Variable index'!$L$35,AND(N20&gt;='Variable index'!$K$36,N20&lt;'Variable index'!$K$37),'Variable index'!$L$36,AND(N20&gt;='Variable index'!$K$37,N20&lt;'Variable index'!$K$38),'Variable index'!$L$37,N20&gt;='Variable index'!$K$38,'Variable index'!$L$38),"")</f>
        <v/>
      </c>
      <c r="W20" s="237"/>
      <c r="X20" s="336" t="str" cm="1">
        <f t="array" ref="X20">IF(AND(W20&lt;&gt;"",N20&lt;&gt;""),_xlfn.IFS(W20="Yes",_xlfn.IFS(AND(N20&gt;='Variable index'!$K$35,N20&lt;'Variable index'!$K$36),'Variable index'!$M$35,AND(N20&gt;='Variable index'!$K$36,N20&lt;'Variable index'!$K$37),'Variable index'!$M$36,AND(N20&gt;='Variable index'!$K$37,N20&lt;'Variable index'!$K$38),'Variable index'!$M$37,N20&gt;='Variable index'!$K$38,'Variable index'!$M$38),W20="No",0),"")</f>
        <v/>
      </c>
      <c r="Y20" s="188"/>
      <c r="Z20" s="336" t="str" cm="1">
        <f t="array" ref="Z20">IF(Y20&lt;&gt;"",_xlfn.IFS(Y20='Variable index'!$J$53,SUM('Variable index'!$K$49:$M$49),Y20='Variable index'!$J$54,SUM('Variable index'!$L$49:$M$49),Y20='Variable index'!$J$55,SUM('Variable index'!$M$49)),"")</f>
        <v/>
      </c>
      <c r="AA20" s="339" t="str" cm="1">
        <f t="array" ref="AA20">IFERROR(N20*(1+_xlfn.XLOOKUP(O20,'Rawlinsons regional indices'!$A$2:$A$63,'Rawlinsons regional indices'!$C$2:$C$63)+Q20+_xlfn.IFS(P20&lt;'Variable index'!$J$17,'Variable index'!$K$14,AND(P20&gt;='Variable index'!$J$17,P20&lt;'Variable index'!$J$18),'Variable index'!$L$14,P20&gt;='Variable index'!$J$18,'Variable index'!$M$14))+(IF(R20&lt;&gt;"",INDEX('Variable index'!$E$57:$F$65,MATCH($R20,'Variable index'!$C$57:$C$65,0),$F$12),0)*S20)+(IF(T20&lt;&gt;"",INDEX('Variable index'!$E$68:$F$73,MATCH($T20,'Variable index'!$C$68:$C$73,0),$F$12),0)*U20)+(N20*V20)+(N20*X20)+(N20*Z20),"")</f>
        <v/>
      </c>
      <c r="AB20" s="303"/>
      <c r="AC20" s="337" t="str">
        <f t="shared" si="1"/>
        <v/>
      </c>
      <c r="AD20" s="340" t="str">
        <f t="shared" si="2"/>
        <v/>
      </c>
    </row>
    <row r="21" spans="4:30" ht="12" x14ac:dyDescent="0.25">
      <c r="D21" s="216">
        <f t="shared" si="0"/>
        <v>5</v>
      </c>
      <c r="E21" s="312"/>
      <c r="F21" s="186"/>
      <c r="G21" s="185"/>
      <c r="H21" s="243">
        <f>IFERROR(_xlfn.XLOOKUP(F21,Lists!$C$47:$C$63,Lists!$D$47:$D$63),0)</f>
        <v>0</v>
      </c>
      <c r="I21" s="185"/>
      <c r="J21" s="185"/>
      <c r="K21" s="333" t="str" cm="1">
        <f t="array" ref="K21">IFERROR(IF($H21=0,INDEX('Variable index'!$E$79:$F$126,MATCH($F21,'Variable index'!$C$79:$C$126,0),$F$12),INDEX('Variable index'!$E$79:$F$127,MATCH(_xlfn.CONCAT($F21," - ",$G21),'Variable index'!$C$79:$C$126,0),$F$12)),"")</f>
        <v/>
      </c>
      <c r="L21" s="334" t="str">
        <f>IFERROR(_xlfn.CONCAT("$ per ",IF($H21=0,_xlfn.XLOOKUP($F21,'Variable index'!$C$79:$C$126,'Variable index'!$D$79:$D$126),_xlfn.XLOOKUP(_xlfn.CONCAT($F21," - ",$G21),'Variable index'!$C$79:$C$126,'Variable index'!$D$79:$D$126))),"")</f>
        <v/>
      </c>
      <c r="M21" s="140"/>
      <c r="N21" s="343" t="str">
        <f>IFERROR(IF(TableStormwater[[#This Row],[Unit quantity]]="","",TableStormwater[[#This Row],[Unit rate]]*TableStormwater[[#This Row],[Unit quantity]]),"")</f>
        <v/>
      </c>
      <c r="O21" s="238" t="str">
        <f>IF(TableStormwater[[#This Row],[Type of infrastructure]]&lt;&gt;"",Summary!$F$8,"")</f>
        <v/>
      </c>
      <c r="P21" s="239" t="str">
        <f>IF(TableStormwater[[#This Row],[Type of infrastructure]]&lt;&gt;"",Summary!$F$9,"")</f>
        <v/>
      </c>
      <c r="Q21" s="241"/>
      <c r="R21" s="188"/>
      <c r="S21" s="140"/>
      <c r="T21" s="188"/>
      <c r="U21" s="140"/>
      <c r="V21" s="338" t="str" cm="1">
        <f t="array" ref="V21">IF(N21&lt;&gt;"",_xlfn.IFS(AND(N21&gt;='Variable index'!$K$35,N21&lt;'Variable index'!$K$36),'Variable index'!$L$35,AND(N21&gt;='Variable index'!$K$36,N21&lt;'Variable index'!$K$37),'Variable index'!$L$36,AND(N21&gt;='Variable index'!$K$37,N21&lt;'Variable index'!$K$38),'Variable index'!$L$37,N21&gt;='Variable index'!$K$38,'Variable index'!$L$38),"")</f>
        <v/>
      </c>
      <c r="W21" s="237"/>
      <c r="X21" s="336" t="str" cm="1">
        <f t="array" ref="X21">IF(AND(W21&lt;&gt;"",N21&lt;&gt;""),_xlfn.IFS(W21="Yes",_xlfn.IFS(AND(N21&gt;='Variable index'!$K$35,N21&lt;'Variable index'!$K$36),'Variable index'!$M$35,AND(N21&gt;='Variable index'!$K$36,N21&lt;'Variable index'!$K$37),'Variable index'!$M$36,AND(N21&gt;='Variable index'!$K$37,N21&lt;'Variable index'!$K$38),'Variable index'!$M$37,N21&gt;='Variable index'!$K$38,'Variable index'!$M$38),W21="No",0),"")</f>
        <v/>
      </c>
      <c r="Y21" s="188"/>
      <c r="Z21" s="336" t="str" cm="1">
        <f t="array" ref="Z21">IF(Y21&lt;&gt;"",_xlfn.IFS(Y21='Variable index'!$J$53,SUM('Variable index'!$K$49:$M$49),Y21='Variable index'!$J$54,SUM('Variable index'!$L$49:$M$49),Y21='Variable index'!$J$55,SUM('Variable index'!$M$49)),"")</f>
        <v/>
      </c>
      <c r="AA21" s="339" t="str" cm="1">
        <f t="array" ref="AA21">IFERROR(N21*(1+_xlfn.XLOOKUP(O21,'Rawlinsons regional indices'!$A$2:$A$63,'Rawlinsons regional indices'!$C$2:$C$63)+Q21+_xlfn.IFS(P21&lt;'Variable index'!$J$17,'Variable index'!$K$14,AND(P21&gt;='Variable index'!$J$17,P21&lt;'Variable index'!$J$18),'Variable index'!$L$14,P21&gt;='Variable index'!$J$18,'Variable index'!$M$14))+(IF(R21&lt;&gt;"",INDEX('Variable index'!$E$57:$F$65,MATCH($R21,'Variable index'!$C$57:$C$65,0),$F$12),0)*S21)+(IF(T21&lt;&gt;"",INDEX('Variable index'!$E$68:$F$73,MATCH($T21,'Variable index'!$C$68:$C$73,0),$F$12),0)*U21)+(N21*V21)+(N21*X21)+(N21*Z21),"")</f>
        <v/>
      </c>
      <c r="AB21" s="303"/>
      <c r="AC21" s="337" t="str">
        <f t="shared" si="1"/>
        <v/>
      </c>
      <c r="AD21" s="340" t="str">
        <f t="shared" si="2"/>
        <v/>
      </c>
    </row>
    <row r="22" spans="4:30" ht="12" x14ac:dyDescent="0.25">
      <c r="D22" s="216">
        <f t="shared" si="0"/>
        <v>6</v>
      </c>
      <c r="E22" s="312"/>
      <c r="F22" s="186"/>
      <c r="G22" s="185"/>
      <c r="H22" s="243">
        <f>IFERROR(_xlfn.XLOOKUP(F22,Lists!$C$47:$C$63,Lists!$D$47:$D$63),0)</f>
        <v>0</v>
      </c>
      <c r="I22" s="185"/>
      <c r="J22" s="185"/>
      <c r="K22" s="333" t="str" cm="1">
        <f t="array" ref="K22">IFERROR(IF($H22=0,INDEX('Variable index'!$E$79:$F$126,MATCH($F22,'Variable index'!$C$79:$C$126,0),$F$12),INDEX('Variable index'!$E$79:$F$127,MATCH(_xlfn.CONCAT($F22," - ",$G22),'Variable index'!$C$79:$C$126,0),$F$12)),"")</f>
        <v/>
      </c>
      <c r="L22" s="334" t="str">
        <f>IFERROR(_xlfn.CONCAT("$ per ",IF($H22=0,_xlfn.XLOOKUP($F22,'Variable index'!$C$79:$C$126,'Variable index'!$D$79:$D$126),_xlfn.XLOOKUP(_xlfn.CONCAT($F22," - ",$G22),'Variable index'!$C$79:$C$126,'Variable index'!$D$79:$D$126))),"")</f>
        <v/>
      </c>
      <c r="M22" s="140"/>
      <c r="N22" s="343" t="str">
        <f>IFERROR(IF(TableStormwater[[#This Row],[Unit quantity]]="","",TableStormwater[[#This Row],[Unit rate]]*TableStormwater[[#This Row],[Unit quantity]]),"")</f>
        <v/>
      </c>
      <c r="O22" s="238" t="str">
        <f>IF(TableStormwater[[#This Row],[Type of infrastructure]]&lt;&gt;"",Summary!$F$8,"")</f>
        <v/>
      </c>
      <c r="P22" s="239" t="str">
        <f>IF(TableStormwater[[#This Row],[Type of infrastructure]]&lt;&gt;"",Summary!$F$9,"")</f>
        <v/>
      </c>
      <c r="Q22" s="241"/>
      <c r="R22" s="188"/>
      <c r="S22" s="140"/>
      <c r="T22" s="188"/>
      <c r="U22" s="140"/>
      <c r="V22" s="338" t="str" cm="1">
        <f t="array" ref="V22">IF(N22&lt;&gt;"",_xlfn.IFS(AND(N22&gt;='Variable index'!$K$35,N22&lt;'Variable index'!$K$36),'Variable index'!$L$35,AND(N22&gt;='Variable index'!$K$36,N22&lt;'Variable index'!$K$37),'Variable index'!$L$36,AND(N22&gt;='Variable index'!$K$37,N22&lt;'Variable index'!$K$38),'Variable index'!$L$37,N22&gt;='Variable index'!$K$38,'Variable index'!$L$38),"")</f>
        <v/>
      </c>
      <c r="W22" s="237"/>
      <c r="X22" s="336" t="str" cm="1">
        <f t="array" ref="X22">IF(AND(W22&lt;&gt;"",N22&lt;&gt;""),_xlfn.IFS(W22="Yes",_xlfn.IFS(AND(N22&gt;='Variable index'!$K$35,N22&lt;'Variable index'!$K$36),'Variable index'!$M$35,AND(N22&gt;='Variable index'!$K$36,N22&lt;'Variable index'!$K$37),'Variable index'!$M$36,AND(N22&gt;='Variable index'!$K$37,N22&lt;'Variable index'!$K$38),'Variable index'!$M$37,N22&gt;='Variable index'!$K$38,'Variable index'!$M$38),W22="No",0),"")</f>
        <v/>
      </c>
      <c r="Y22" s="188"/>
      <c r="Z22" s="336" t="str" cm="1">
        <f t="array" ref="Z22">IF(Y22&lt;&gt;"",_xlfn.IFS(Y22='Variable index'!$J$53,SUM('Variable index'!$K$49:$M$49),Y22='Variable index'!$J$54,SUM('Variable index'!$L$49:$M$49),Y22='Variable index'!$J$55,SUM('Variable index'!$M$49)),"")</f>
        <v/>
      </c>
      <c r="AA22" s="339" t="str" cm="1">
        <f t="array" ref="AA22">IFERROR(N22*(1+_xlfn.XLOOKUP(O22,'Rawlinsons regional indices'!$A$2:$A$63,'Rawlinsons regional indices'!$C$2:$C$63)+Q22+_xlfn.IFS(P22&lt;'Variable index'!$J$17,'Variable index'!$K$14,AND(P22&gt;='Variable index'!$J$17,P22&lt;'Variable index'!$J$18),'Variable index'!$L$14,P22&gt;='Variable index'!$J$18,'Variable index'!$M$14))+(IF(R22&lt;&gt;"",INDEX('Variable index'!$E$57:$F$65,MATCH($R22,'Variable index'!$C$57:$C$65,0),$F$12),0)*S22)+(IF(T22&lt;&gt;"",INDEX('Variable index'!$E$68:$F$73,MATCH($T22,'Variable index'!$C$68:$C$73,0),$F$12),0)*U22)+(N22*V22)+(N22*X22)+(N22*Z22),"")</f>
        <v/>
      </c>
      <c r="AB22" s="303"/>
      <c r="AC22" s="337" t="str">
        <f t="shared" si="1"/>
        <v/>
      </c>
      <c r="AD22" s="340" t="str">
        <f t="shared" si="2"/>
        <v/>
      </c>
    </row>
    <row r="23" spans="4:30" ht="12" x14ac:dyDescent="0.25">
      <c r="D23" s="216">
        <f t="shared" si="0"/>
        <v>7</v>
      </c>
      <c r="E23" s="312"/>
      <c r="F23" s="186"/>
      <c r="G23" s="185"/>
      <c r="H23" s="244">
        <f>IFERROR(_xlfn.XLOOKUP(F23,Lists!$C$47:$C$63,Lists!$D$47:$D$63),0)</f>
        <v>0</v>
      </c>
      <c r="I23" s="96"/>
      <c r="J23" s="96"/>
      <c r="K23" s="333" t="str" cm="1">
        <f t="array" ref="K23">IFERROR(IF($H23=0,INDEX('Variable index'!$E$79:$F$126,MATCH($F23,'Variable index'!$C$79:$C$126,0),$F$12),INDEX('Variable index'!$E$79:$F$127,MATCH(_xlfn.CONCAT($F23," - ",$G23),'Variable index'!$C$79:$C$126,0),$F$12)),"")</f>
        <v/>
      </c>
      <c r="L23" s="334" t="str">
        <f>IFERROR(_xlfn.CONCAT("$ per ",IF($H23=0,_xlfn.XLOOKUP($F23,'Variable index'!$C$79:$C$126,'Variable index'!$D$79:$D$126),_xlfn.XLOOKUP(_xlfn.CONCAT($F23," - ",$G23),'Variable index'!$C$79:$C$126,'Variable index'!$D$79:$D$126))),"")</f>
        <v/>
      </c>
      <c r="M23" s="140"/>
      <c r="N23" s="343" t="str">
        <f>IFERROR(IF(TableStormwater[[#This Row],[Unit quantity]]="","",TableStormwater[[#This Row],[Unit rate]]*TableStormwater[[#This Row],[Unit quantity]]),"")</f>
        <v/>
      </c>
      <c r="O23" s="238" t="str">
        <f>IF(TableStormwater[[#This Row],[Type of infrastructure]]&lt;&gt;"",Summary!$F$8,"")</f>
        <v/>
      </c>
      <c r="P23" s="239" t="str">
        <f>IF(TableStormwater[[#This Row],[Type of infrastructure]]&lt;&gt;"",Summary!$F$9,"")</f>
        <v/>
      </c>
      <c r="Q23" s="241"/>
      <c r="R23" s="188"/>
      <c r="S23" s="140"/>
      <c r="T23" s="188"/>
      <c r="U23" s="140"/>
      <c r="V23" s="336" t="str" cm="1">
        <f t="array" ref="V23">IF(N23&lt;&gt;"",_xlfn.IFS(AND(N23&gt;='Variable index'!$K$35,N23&lt;'Variable index'!$K$36),'Variable index'!$L$35,AND(N23&gt;='Variable index'!$K$36,N23&lt;'Variable index'!$K$37),'Variable index'!$L$36,AND(N23&gt;='Variable index'!$K$37,N23&lt;'Variable index'!$K$38),'Variable index'!$L$37,N23&gt;='Variable index'!$K$38,'Variable index'!$L$38),"")</f>
        <v/>
      </c>
      <c r="W23" s="237"/>
      <c r="X23" s="336" t="str" cm="1">
        <f t="array" ref="X23">IF(AND(W23&lt;&gt;"",N23&lt;&gt;""),_xlfn.IFS(W23="Yes",_xlfn.IFS(AND(N23&gt;='Variable index'!$K$35,N23&lt;'Variable index'!$K$36),'Variable index'!$M$35,AND(N23&gt;='Variable index'!$K$36,N23&lt;'Variable index'!$K$37),'Variable index'!$M$36,AND(N23&gt;='Variable index'!$K$37,N23&lt;'Variable index'!$K$38),'Variable index'!$M$37,N23&gt;='Variable index'!$K$38,'Variable index'!$M$38),W23="No",0),"")</f>
        <v/>
      </c>
      <c r="Y23" s="188"/>
      <c r="Z23" s="336" t="str" cm="1">
        <f t="array" ref="Z23">IF(Y23&lt;&gt;"",_xlfn.IFS(Y23='Variable index'!$J$53,SUM('Variable index'!$K$49:$M$49),Y23='Variable index'!$J$54,SUM('Variable index'!$L$49:$M$49),Y23='Variable index'!$J$55,SUM('Variable index'!$M$49)),"")</f>
        <v/>
      </c>
      <c r="AA23" s="339" t="str" cm="1">
        <f t="array" ref="AA23">IFERROR(N23*(1+_xlfn.XLOOKUP(O23,'Rawlinsons regional indices'!$A$2:$A$63,'Rawlinsons regional indices'!$C$2:$C$63)+Q23+_xlfn.IFS(P23&lt;'Variable index'!$J$17,'Variable index'!$K$14,AND(P23&gt;='Variable index'!$J$17,P23&lt;'Variable index'!$J$18),'Variable index'!$L$14,P23&gt;='Variable index'!$J$18,'Variable index'!$M$14))+(IF(R23&lt;&gt;"",INDEX('Variable index'!$E$57:$F$65,MATCH($R23,'Variable index'!$C$57:$C$65,0),$F$12),0)*S23)+(IF(T23&lt;&gt;"",INDEX('Variable index'!$E$68:$F$73,MATCH($T23,'Variable index'!$C$68:$C$73,0),$F$12),0)*U23)+(N23*V23)+(N23*X23)+(N23*Z23),"")</f>
        <v/>
      </c>
      <c r="AB23" s="303"/>
      <c r="AC23" s="337" t="str">
        <f t="shared" si="1"/>
        <v/>
      </c>
      <c r="AD23" s="340" t="str">
        <f t="shared" si="2"/>
        <v/>
      </c>
    </row>
    <row r="24" spans="4:30" ht="12" x14ac:dyDescent="0.25">
      <c r="D24" s="216">
        <f t="shared" si="0"/>
        <v>8</v>
      </c>
      <c r="E24" s="312"/>
      <c r="F24" s="186"/>
      <c r="G24" s="185"/>
      <c r="H24" s="244">
        <f>IFERROR(_xlfn.XLOOKUP(F24,Lists!$C$47:$C$63,Lists!$D$47:$D$63),0)</f>
        <v>0</v>
      </c>
      <c r="I24" s="96"/>
      <c r="J24" s="96"/>
      <c r="K24" s="331" t="str" cm="1">
        <f t="array" ref="K24">IFERROR(IF($H24=0,INDEX('Variable index'!$E$79:$F$126,MATCH($F24,'Variable index'!$C$79:$C$126,0),$F$12),INDEX('Variable index'!$E$79:$F$127,MATCH(_xlfn.CONCAT($F24," - ",$G24),'Variable index'!$C$79:$C$126,0),$F$12)),"")</f>
        <v/>
      </c>
      <c r="L24" s="332" t="str">
        <f>IFERROR(_xlfn.CONCAT("$ per ",IF($H24=0,_xlfn.XLOOKUP($F24,'Variable index'!$C$79:$C$126,'Variable index'!$D$79:$D$126),_xlfn.XLOOKUP(_xlfn.CONCAT($F24," - ",$G24),'Variable index'!$C$79:$C$126,'Variable index'!$D$79:$D$126))),"")</f>
        <v/>
      </c>
      <c r="M24" s="140"/>
      <c r="N24" s="343" t="str">
        <f>IFERROR(IF(TableStormwater[[#This Row],[Unit quantity]]="","",TableStormwater[[#This Row],[Unit rate]]*TableStormwater[[#This Row],[Unit quantity]]),"")</f>
        <v/>
      </c>
      <c r="O24" s="238" t="str">
        <f>IF(TableStormwater[[#This Row],[Type of infrastructure]]&lt;&gt;"",Summary!$F$8,"")</f>
        <v/>
      </c>
      <c r="P24" s="239" t="str">
        <f>IF(TableStormwater[[#This Row],[Type of infrastructure]]&lt;&gt;"",Summary!$F$9,"")</f>
        <v/>
      </c>
      <c r="Q24" s="241"/>
      <c r="R24" s="188"/>
      <c r="S24" s="140"/>
      <c r="T24" s="188"/>
      <c r="U24" s="140"/>
      <c r="V24" s="336" t="str" cm="1">
        <f t="array" ref="V24">IF(N24&lt;&gt;"",_xlfn.IFS(AND(N24&gt;='Variable index'!$K$35,N24&lt;'Variable index'!$K$36),'Variable index'!$L$35,AND(N24&gt;='Variable index'!$K$36,N24&lt;'Variable index'!$K$37),'Variable index'!$L$36,AND(N24&gt;='Variable index'!$K$37,N24&lt;'Variable index'!$K$38),'Variable index'!$L$37,N24&gt;='Variable index'!$K$38,'Variable index'!$L$38),"")</f>
        <v/>
      </c>
      <c r="W24" s="237"/>
      <c r="X24" s="336" t="str" cm="1">
        <f t="array" ref="X24">IF(AND(W24&lt;&gt;"",N24&lt;&gt;""),_xlfn.IFS(W24="Yes",_xlfn.IFS(AND(N24&gt;='Variable index'!$K$35,N24&lt;'Variable index'!$K$36),'Variable index'!$M$35,AND(N24&gt;='Variable index'!$K$36,N24&lt;'Variable index'!$K$37),'Variable index'!$M$36,AND(N24&gt;='Variable index'!$K$37,N24&lt;'Variable index'!$K$38),'Variable index'!$M$37,N24&gt;='Variable index'!$K$38,'Variable index'!$M$38),W24="No",0),"")</f>
        <v/>
      </c>
      <c r="Y24" s="188"/>
      <c r="Z24" s="336" t="str" cm="1">
        <f t="array" ref="Z24">IF(Y24&lt;&gt;"",_xlfn.IFS(Y24='Variable index'!$J$53,SUM('Variable index'!$K$49:$M$49),Y24='Variable index'!$J$54,SUM('Variable index'!$L$49:$M$49),Y24='Variable index'!$J$55,SUM('Variable index'!$M$49)),"")</f>
        <v/>
      </c>
      <c r="AA24" s="337" t="str" cm="1">
        <f t="array" ref="AA24">IFERROR(N24*(1+_xlfn.XLOOKUP(O24,'Rawlinsons regional indices'!$A$2:$A$63,'Rawlinsons regional indices'!$C$2:$C$63)+Q24+_xlfn.IFS(P24&lt;'Variable index'!$J$17,'Variable index'!$K$14,AND(P24&gt;='Variable index'!$J$17,P24&lt;'Variable index'!$J$18),'Variable index'!$L$14,P24&gt;='Variable index'!$J$18,'Variable index'!$M$14))+(IF(R24&lt;&gt;"",INDEX('Variable index'!$E$57:$F$65,MATCH($R24,'Variable index'!$C$57:$C$65,0),$F$12),0)*S24)+(IF(T24&lt;&gt;"",INDEX('Variable index'!$E$68:$F$73,MATCH($T24,'Variable index'!$C$68:$C$73,0),$F$12),0)*U24)+(N24*V24)+(N24*X24)+(N24*Z24),"")</f>
        <v/>
      </c>
      <c r="AB24" s="303"/>
      <c r="AC24" s="337" t="str">
        <f t="shared" si="1"/>
        <v/>
      </c>
      <c r="AD24" s="340" t="str">
        <f t="shared" si="2"/>
        <v/>
      </c>
    </row>
    <row r="25" spans="4:30" ht="12" x14ac:dyDescent="0.25">
      <c r="D25" s="216">
        <f t="shared" si="0"/>
        <v>9</v>
      </c>
      <c r="E25" s="312"/>
      <c r="F25" s="186"/>
      <c r="G25" s="185"/>
      <c r="H25" s="244">
        <f>IFERROR(_xlfn.XLOOKUP(F25,Lists!$C$47:$C$63,Lists!$D$47:$D$63),0)</f>
        <v>0</v>
      </c>
      <c r="I25" s="96"/>
      <c r="J25" s="96"/>
      <c r="K25" s="331" t="str" cm="1">
        <f t="array" ref="K25">IFERROR(IF($H25=0,INDEX('Variable index'!$E$79:$F$126,MATCH($F25,'Variable index'!$C$79:$C$126,0),$F$12),INDEX('Variable index'!$E$79:$F$127,MATCH(_xlfn.CONCAT($F25," - ",$G25),'Variable index'!$C$79:$C$126,0),$F$12)),"")</f>
        <v/>
      </c>
      <c r="L25" s="332" t="str">
        <f>IFERROR(_xlfn.CONCAT("$ per ",IF($H25=0,_xlfn.XLOOKUP($F25,'Variable index'!$C$79:$C$126,'Variable index'!$D$79:$D$126),_xlfn.XLOOKUP(_xlfn.CONCAT($F25," - ",$G25),'Variable index'!$C$79:$C$126,'Variable index'!$D$79:$D$126))),"")</f>
        <v/>
      </c>
      <c r="M25" s="140"/>
      <c r="N25" s="343" t="str">
        <f>IFERROR(IF(TableStormwater[[#This Row],[Unit quantity]]="","",TableStormwater[[#This Row],[Unit rate]]*TableStormwater[[#This Row],[Unit quantity]]),"")</f>
        <v/>
      </c>
      <c r="O25" s="238" t="str">
        <f>IF(TableStormwater[[#This Row],[Type of infrastructure]]&lt;&gt;"",Summary!$F$8,"")</f>
        <v/>
      </c>
      <c r="P25" s="239" t="str">
        <f>IF(TableStormwater[[#This Row],[Type of infrastructure]]&lt;&gt;"",Summary!$F$9,"")</f>
        <v/>
      </c>
      <c r="Q25" s="241"/>
      <c r="R25" s="188"/>
      <c r="S25" s="140"/>
      <c r="T25" s="188"/>
      <c r="U25" s="140"/>
      <c r="V25" s="336" t="str" cm="1">
        <f t="array" ref="V25">IF(N25&lt;&gt;"",_xlfn.IFS(AND(N25&gt;='Variable index'!$K$35,N25&lt;'Variable index'!$K$36),'Variable index'!$L$35,AND(N25&gt;='Variable index'!$K$36,N25&lt;'Variable index'!$K$37),'Variable index'!$L$36,AND(N25&gt;='Variable index'!$K$37,N25&lt;'Variable index'!$K$38),'Variable index'!$L$37,N25&gt;='Variable index'!$K$38,'Variable index'!$L$38),"")</f>
        <v/>
      </c>
      <c r="W25" s="237"/>
      <c r="X25" s="336" t="str" cm="1">
        <f t="array" ref="X25">IF(AND(W25&lt;&gt;"",N25&lt;&gt;""),_xlfn.IFS(W25="Yes",_xlfn.IFS(AND(N25&gt;='Variable index'!$K$35,N25&lt;'Variable index'!$K$36),'Variable index'!$M$35,AND(N25&gt;='Variable index'!$K$36,N25&lt;'Variable index'!$K$37),'Variable index'!$M$36,AND(N25&gt;='Variable index'!$K$37,N25&lt;'Variable index'!$K$38),'Variable index'!$M$37,N25&gt;='Variable index'!$K$38,'Variable index'!$M$38),W25="No",0),"")</f>
        <v/>
      </c>
      <c r="Y25" s="188"/>
      <c r="Z25" s="336" t="str" cm="1">
        <f t="array" ref="Z25">IF(Y25&lt;&gt;"",_xlfn.IFS(Y25='Variable index'!$J$53,SUM('Variable index'!$K$49:$M$49),Y25='Variable index'!$J$54,SUM('Variable index'!$L$49:$M$49),Y25='Variable index'!$J$55,SUM('Variable index'!$M$49)),"")</f>
        <v/>
      </c>
      <c r="AA25" s="337" t="str" cm="1">
        <f t="array" ref="AA25">IFERROR(N25*(1+_xlfn.XLOOKUP(O25,'Rawlinsons regional indices'!$A$2:$A$63,'Rawlinsons regional indices'!$C$2:$C$63)+Q25+_xlfn.IFS(P25&lt;'Variable index'!$J$17,'Variable index'!$K$14,AND(P25&gt;='Variable index'!$J$17,P25&lt;'Variable index'!$J$18),'Variable index'!$L$14,P25&gt;='Variable index'!$J$18,'Variable index'!$M$14))+(IF(R25&lt;&gt;"",INDEX('Variable index'!$E$57:$F$65,MATCH($R25,'Variable index'!$C$57:$C$65,0),$F$12),0)*S25)+(IF(T25&lt;&gt;"",INDEX('Variable index'!$E$68:$F$73,MATCH($T25,'Variable index'!$C$68:$C$73,0),$F$12),0)*U25)+(N25*V25)+(N25*X25)+(N25*Z25),"")</f>
        <v/>
      </c>
      <c r="AB25" s="303"/>
      <c r="AC25" s="337" t="str">
        <f t="shared" si="1"/>
        <v/>
      </c>
      <c r="AD25" s="340" t="str">
        <f t="shared" si="2"/>
        <v/>
      </c>
    </row>
    <row r="26" spans="4:30" ht="12" x14ac:dyDescent="0.25">
      <c r="D26" s="216">
        <f t="shared" si="0"/>
        <v>10</v>
      </c>
      <c r="E26" s="312"/>
      <c r="F26" s="187"/>
      <c r="G26" s="185"/>
      <c r="H26" s="260">
        <f>IFERROR(_xlfn.XLOOKUP(F26,Lists!$C$47:$C$63,Lists!$D$47:$D$63),0)</f>
        <v>0</v>
      </c>
      <c r="I26" s="96"/>
      <c r="J26" s="96"/>
      <c r="K26" s="331" t="str" cm="1">
        <f t="array" ref="K26">IFERROR(IF($H26=0,INDEX('Variable index'!$E$79:$F$126,MATCH($F26,'Variable index'!$C$79:$C$126,0),$F$12),INDEX('Variable index'!$E$79:$F$127,MATCH(_xlfn.CONCAT($F26," - ",$G26),'Variable index'!$C$79:$C$126,0),$F$12)),"")</f>
        <v/>
      </c>
      <c r="L26" s="332" t="str">
        <f>IFERROR(_xlfn.CONCAT("$ per ",IF($H26=0,_xlfn.XLOOKUP($F26,'Variable index'!$C$79:$C$126,'Variable index'!$D$79:$D$126),_xlfn.XLOOKUP(_xlfn.CONCAT($F26," - ",$G26),'Variable index'!$C$79:$C$126,'Variable index'!$D$79:$D$126))),"")</f>
        <v/>
      </c>
      <c r="M26" s="140"/>
      <c r="N26" s="343" t="str">
        <f>IFERROR(IF(TableStormwater[[#This Row],[Unit quantity]]="","",TableStormwater[[#This Row],[Unit rate]]*TableStormwater[[#This Row],[Unit quantity]]),"")</f>
        <v/>
      </c>
      <c r="O26" s="238" t="str">
        <f>IF(TableStormwater[[#This Row],[Type of infrastructure]]&lt;&gt;"",Summary!$F$8,"")</f>
        <v/>
      </c>
      <c r="P26" s="239" t="str">
        <f>IF(TableStormwater[[#This Row],[Type of infrastructure]]&lt;&gt;"",Summary!$F$9,"")</f>
        <v/>
      </c>
      <c r="Q26" s="241"/>
      <c r="R26" s="188"/>
      <c r="S26" s="140"/>
      <c r="T26" s="188"/>
      <c r="U26" s="140"/>
      <c r="V26" s="336" t="str" cm="1">
        <f t="array" ref="V26">IF(N26&lt;&gt;"",_xlfn.IFS(AND(N26&gt;='Variable index'!$K$35,N26&lt;'Variable index'!$K$36),'Variable index'!$L$35,AND(N26&gt;='Variable index'!$K$36,N26&lt;'Variable index'!$K$37),'Variable index'!$L$36,AND(N26&gt;='Variable index'!$K$37,N26&lt;'Variable index'!$K$38),'Variable index'!$L$37,N26&gt;='Variable index'!$K$38,'Variable index'!$L$38),"")</f>
        <v/>
      </c>
      <c r="W26" s="240"/>
      <c r="X26" s="336" t="str" cm="1">
        <f t="array" ref="X26">IF(AND(W26&lt;&gt;"",N26&lt;&gt;""),_xlfn.IFS(W26="Yes",_xlfn.IFS(AND(N26&gt;='Variable index'!$K$35,N26&lt;'Variable index'!$K$36),'Variable index'!$M$35,AND(N26&gt;='Variable index'!$K$36,N26&lt;'Variable index'!$K$37),'Variable index'!$M$36,AND(N26&gt;='Variable index'!$K$37,N26&lt;'Variable index'!$K$38),'Variable index'!$M$37,N26&gt;='Variable index'!$K$38,'Variable index'!$M$38),W26="No",0),"")</f>
        <v/>
      </c>
      <c r="Y26" s="188"/>
      <c r="Z26" s="336" t="str" cm="1">
        <f t="array" ref="Z26">IF(Y26&lt;&gt;"",_xlfn.IFS(Y26='Variable index'!$J$53,SUM('Variable index'!$K$49:$M$49),Y26='Variable index'!$J$54,SUM('Variable index'!$L$49:$M$49),Y26='Variable index'!$J$55,SUM('Variable index'!$M$49)),"")</f>
        <v/>
      </c>
      <c r="AA26" s="337" t="str" cm="1">
        <f t="array" ref="AA26">IFERROR(N26*(1+_xlfn.XLOOKUP(O26,'Rawlinsons regional indices'!$A$2:$A$63,'Rawlinsons regional indices'!$C$2:$C$63)+Q26+_xlfn.IFS(P26&lt;'Variable index'!$J$17,'Variable index'!$K$14,AND(P26&gt;='Variable index'!$J$17,P26&lt;'Variable index'!$J$18),'Variable index'!$L$14,P26&gt;='Variable index'!$J$18,'Variable index'!$M$14))+(IF(R26&lt;&gt;"",INDEX('Variable index'!$E$57:$F$65,MATCH($R26,'Variable index'!$C$57:$C$65,0),$F$12),0)*S26)+(IF(T26&lt;&gt;"",INDEX('Variable index'!$E$68:$F$73,MATCH($T26,'Variable index'!$C$68:$C$73,0),$F$12),0)*U26)+(N26*V26)+(N26*X26)+(N26*Z26),"")</f>
        <v/>
      </c>
      <c r="AB26" s="303"/>
      <c r="AC26" s="337" t="str">
        <f t="shared" si="1"/>
        <v/>
      </c>
      <c r="AD26" s="340" t="str">
        <f t="shared" si="2"/>
        <v/>
      </c>
    </row>
    <row r="27" spans="4:30" ht="12" x14ac:dyDescent="0.25">
      <c r="D27" s="216">
        <f t="shared" si="0"/>
        <v>11</v>
      </c>
      <c r="E27" s="312"/>
      <c r="F27" s="187"/>
      <c r="G27" s="185"/>
      <c r="H27" s="260">
        <f>IFERROR(_xlfn.XLOOKUP(F27,Lists!$C$47:$C$63,Lists!$D$47:$D$63),0)</f>
        <v>0</v>
      </c>
      <c r="I27" s="96"/>
      <c r="J27" s="96"/>
      <c r="K27" s="331" t="str" cm="1">
        <f t="array" ref="K27">IFERROR(IF($H27=0,INDEX('Variable index'!$E$79:$F$126,MATCH($F27,'Variable index'!$C$79:$C$126,0),$F$12),INDEX('Variable index'!$E$79:$F$127,MATCH(_xlfn.CONCAT($F27," - ",$G27),'Variable index'!$C$79:$C$126,0),$F$12)),"")</f>
        <v/>
      </c>
      <c r="L27" s="332" t="str">
        <f>IFERROR(_xlfn.CONCAT("$ per ",IF($H27=0,_xlfn.XLOOKUP($F27,'Variable index'!$C$79:$C$126,'Variable index'!$D$79:$D$126),_xlfn.XLOOKUP(_xlfn.CONCAT($F27," - ",$G27),'Variable index'!$C$79:$C$126,'Variable index'!$D$79:$D$126))),"")</f>
        <v/>
      </c>
      <c r="M27" s="140"/>
      <c r="N27" s="343" t="str">
        <f>IFERROR(IF(TableStormwater[[#This Row],[Unit quantity]]="","",TableStormwater[[#This Row],[Unit rate]]*TableStormwater[[#This Row],[Unit quantity]]),"")</f>
        <v/>
      </c>
      <c r="O27" s="238" t="str">
        <f>IF(TableStormwater[[#This Row],[Type of infrastructure]]&lt;&gt;"",Summary!$F$8,"")</f>
        <v/>
      </c>
      <c r="P27" s="239" t="str">
        <f>IF(TableStormwater[[#This Row],[Type of infrastructure]]&lt;&gt;"",Summary!$F$9,"")</f>
        <v/>
      </c>
      <c r="Q27" s="241"/>
      <c r="R27" s="188"/>
      <c r="S27" s="140"/>
      <c r="T27" s="188"/>
      <c r="U27" s="140"/>
      <c r="V27" s="336" t="str" cm="1">
        <f t="array" ref="V27">IF(N27&lt;&gt;"",_xlfn.IFS(AND(N27&gt;='Variable index'!$K$35,N27&lt;'Variable index'!$K$36),'Variable index'!$L$35,AND(N27&gt;='Variable index'!$K$36,N27&lt;'Variable index'!$K$37),'Variable index'!$L$36,AND(N27&gt;='Variable index'!$K$37,N27&lt;'Variable index'!$K$38),'Variable index'!$L$37,N27&gt;='Variable index'!$K$38,'Variable index'!$L$38),"")</f>
        <v/>
      </c>
      <c r="W27" s="240"/>
      <c r="X27" s="336" t="str" cm="1">
        <f t="array" ref="X27">IF(AND(W27&lt;&gt;"",N27&lt;&gt;""),_xlfn.IFS(W27="Yes",_xlfn.IFS(AND(N27&gt;='Variable index'!$K$35,N27&lt;'Variable index'!$K$36),'Variable index'!$M$35,AND(N27&gt;='Variable index'!$K$36,N27&lt;'Variable index'!$K$37),'Variable index'!$M$36,AND(N27&gt;='Variable index'!$K$37,N27&lt;'Variable index'!$K$38),'Variable index'!$M$37,N27&gt;='Variable index'!$K$38,'Variable index'!$M$38),W27="No",0),"")</f>
        <v/>
      </c>
      <c r="Y27" s="188"/>
      <c r="Z27" s="336" t="str" cm="1">
        <f t="array" ref="Z27">IF(Y27&lt;&gt;"",_xlfn.IFS(Y27='Variable index'!$J$53,SUM('Variable index'!$K$49:$M$49),Y27='Variable index'!$J$54,SUM('Variable index'!$L$49:$M$49),Y27='Variable index'!$J$55,SUM('Variable index'!$M$49)),"")</f>
        <v/>
      </c>
      <c r="AA27" s="337" t="str" cm="1">
        <f t="array" ref="AA27">IFERROR(N27*(1+_xlfn.XLOOKUP(O27,'Rawlinsons regional indices'!$A$2:$A$63,'Rawlinsons regional indices'!$C$2:$C$63)+Q27+_xlfn.IFS(P27&lt;'Variable index'!$J$17,'Variable index'!$K$14,AND(P27&gt;='Variable index'!$J$17,P27&lt;'Variable index'!$J$18),'Variable index'!$L$14,P27&gt;='Variable index'!$J$18,'Variable index'!$M$14))+(IF(R27&lt;&gt;"",INDEX('Variable index'!$E$57:$F$65,MATCH($R27,'Variable index'!$C$57:$C$65,0),$F$12),0)*S27)+(IF(T27&lt;&gt;"",INDEX('Variable index'!$E$68:$F$73,MATCH($T27,'Variable index'!$C$68:$C$73,0),$F$12),0)*U27)+(N27*V27)+(N27*X27)+(N27*Z27),"")</f>
        <v/>
      </c>
      <c r="AB27" s="303"/>
      <c r="AC27" s="337" t="str">
        <f t="shared" si="1"/>
        <v/>
      </c>
      <c r="AD27" s="340" t="str">
        <f t="shared" si="2"/>
        <v/>
      </c>
    </row>
    <row r="28" spans="4:30" ht="12" x14ac:dyDescent="0.25">
      <c r="D28" s="216">
        <f t="shared" si="0"/>
        <v>12</v>
      </c>
      <c r="E28" s="312"/>
      <c r="F28" s="187"/>
      <c r="G28" s="185"/>
      <c r="H28" s="260">
        <f>IFERROR(_xlfn.XLOOKUP(F28,Lists!$C$47:$C$63,Lists!$D$47:$D$63),0)</f>
        <v>0</v>
      </c>
      <c r="I28" s="96"/>
      <c r="J28" s="96"/>
      <c r="K28" s="331" t="str" cm="1">
        <f t="array" ref="K28">IFERROR(IF($H28=0,INDEX('Variable index'!$E$79:$F$126,MATCH($F28,'Variable index'!$C$79:$C$126,0),$F$12),INDEX('Variable index'!$E$79:$F$127,MATCH(_xlfn.CONCAT($F28," - ",$G28),'Variable index'!$C$79:$C$126,0),$F$12)),"")</f>
        <v/>
      </c>
      <c r="L28" s="332" t="str">
        <f>IFERROR(_xlfn.CONCAT("$ per ",IF($H28=0,_xlfn.XLOOKUP($F28,'Variable index'!$C$79:$C$126,'Variable index'!$D$79:$D$126),_xlfn.XLOOKUP(_xlfn.CONCAT($F28," - ",$G28),'Variable index'!$C$79:$C$126,'Variable index'!$D$79:$D$126))),"")</f>
        <v/>
      </c>
      <c r="M28" s="140"/>
      <c r="N28" s="343" t="str">
        <f>IFERROR(IF(TableStormwater[[#This Row],[Unit quantity]]="","",TableStormwater[[#This Row],[Unit rate]]*TableStormwater[[#This Row],[Unit quantity]]),"")</f>
        <v/>
      </c>
      <c r="O28" s="238" t="str">
        <f>IF(TableStormwater[[#This Row],[Type of infrastructure]]&lt;&gt;"",Summary!$F$8,"")</f>
        <v/>
      </c>
      <c r="P28" s="239" t="str">
        <f>IF(TableStormwater[[#This Row],[Type of infrastructure]]&lt;&gt;"",Summary!$F$9,"")</f>
        <v/>
      </c>
      <c r="Q28" s="241"/>
      <c r="R28" s="188"/>
      <c r="S28" s="140"/>
      <c r="T28" s="188"/>
      <c r="U28" s="140"/>
      <c r="V28" s="336" t="str" cm="1">
        <f t="array" ref="V28">IF(N28&lt;&gt;"",_xlfn.IFS(AND(N28&gt;='Variable index'!$K$35,N28&lt;'Variable index'!$K$36),'Variable index'!$L$35,AND(N28&gt;='Variable index'!$K$36,N28&lt;'Variable index'!$K$37),'Variable index'!$L$36,AND(N28&gt;='Variable index'!$K$37,N28&lt;'Variable index'!$K$38),'Variable index'!$L$37,N28&gt;='Variable index'!$K$38,'Variable index'!$L$38),"")</f>
        <v/>
      </c>
      <c r="W28" s="240"/>
      <c r="X28" s="336" t="str" cm="1">
        <f t="array" ref="X28">IF(AND(W28&lt;&gt;"",N28&lt;&gt;""),_xlfn.IFS(W28="Yes",_xlfn.IFS(AND(N28&gt;='Variable index'!$K$35,N28&lt;'Variable index'!$K$36),'Variable index'!$M$35,AND(N28&gt;='Variable index'!$K$36,N28&lt;'Variable index'!$K$37),'Variable index'!$M$36,AND(N28&gt;='Variable index'!$K$37,N28&lt;'Variable index'!$K$38),'Variable index'!$M$37,N28&gt;='Variable index'!$K$38,'Variable index'!$M$38),W28="No",0),"")</f>
        <v/>
      </c>
      <c r="Y28" s="188"/>
      <c r="Z28" s="336" t="str" cm="1">
        <f t="array" ref="Z28">IF(Y28&lt;&gt;"",_xlfn.IFS(Y28='Variable index'!$J$53,SUM('Variable index'!$K$49:$M$49),Y28='Variable index'!$J$54,SUM('Variable index'!$L$49:$M$49),Y28='Variable index'!$J$55,SUM('Variable index'!$M$49)),"")</f>
        <v/>
      </c>
      <c r="AA28" s="337" t="str" cm="1">
        <f t="array" ref="AA28">IFERROR(N28*(1+_xlfn.XLOOKUP(O28,'Rawlinsons regional indices'!$A$2:$A$63,'Rawlinsons regional indices'!$C$2:$C$63)+Q28+_xlfn.IFS(P28&lt;'Variable index'!$J$17,'Variable index'!$K$14,AND(P28&gt;='Variable index'!$J$17,P28&lt;'Variable index'!$J$18),'Variable index'!$L$14,P28&gt;='Variable index'!$J$18,'Variable index'!$M$14))+(IF(R28&lt;&gt;"",INDEX('Variable index'!$E$57:$F$65,MATCH($R28,'Variable index'!$C$57:$C$65,0),$F$12),0)*S28)+(IF(T28&lt;&gt;"",INDEX('Variable index'!$E$68:$F$73,MATCH($T28,'Variable index'!$C$68:$C$73,0),$F$12),0)*U28)+(N28*V28)+(N28*X28)+(N28*Z28),"")</f>
        <v/>
      </c>
      <c r="AB28" s="303"/>
      <c r="AC28" s="337" t="str">
        <f t="shared" si="1"/>
        <v/>
      </c>
      <c r="AD28" s="340" t="str">
        <f t="shared" si="2"/>
        <v/>
      </c>
    </row>
    <row r="29" spans="4:30" ht="12" x14ac:dyDescent="0.25">
      <c r="D29" s="216">
        <f t="shared" si="0"/>
        <v>13</v>
      </c>
      <c r="E29" s="312"/>
      <c r="F29" s="187"/>
      <c r="G29" s="185"/>
      <c r="H29" s="260">
        <f>IFERROR(_xlfn.XLOOKUP(F29,Lists!$C$47:$C$63,Lists!$D$47:$D$63),0)</f>
        <v>0</v>
      </c>
      <c r="I29" s="96"/>
      <c r="J29" s="96"/>
      <c r="K29" s="331" t="str" cm="1">
        <f t="array" ref="K29">IFERROR(IF($H29=0,INDEX('Variable index'!$E$79:$F$126,MATCH($F29,'Variable index'!$C$79:$C$126,0),$F$12),INDEX('Variable index'!$E$79:$F$127,MATCH(_xlfn.CONCAT($F29," - ",$G29),'Variable index'!$C$79:$C$126,0),$F$12)),"")</f>
        <v/>
      </c>
      <c r="L29" s="332" t="str">
        <f>IFERROR(_xlfn.CONCAT("$ per ",IF($H29=0,_xlfn.XLOOKUP($F29,'Variable index'!$C$79:$C$126,'Variable index'!$D$79:$D$126),_xlfn.XLOOKUP(_xlfn.CONCAT($F29," - ",$G29),'Variable index'!$C$79:$C$126,'Variable index'!$D$79:$D$126))),"")</f>
        <v/>
      </c>
      <c r="M29" s="140"/>
      <c r="N29" s="343" t="str">
        <f>IFERROR(IF(TableStormwater[[#This Row],[Unit quantity]]="","",TableStormwater[[#This Row],[Unit rate]]*TableStormwater[[#This Row],[Unit quantity]]),"")</f>
        <v/>
      </c>
      <c r="O29" s="238" t="str">
        <f>IF(TableStormwater[[#This Row],[Type of infrastructure]]&lt;&gt;"",Summary!$F$8,"")</f>
        <v/>
      </c>
      <c r="P29" s="239" t="str">
        <f>IF(TableStormwater[[#This Row],[Type of infrastructure]]&lt;&gt;"",Summary!$F$9,"")</f>
        <v/>
      </c>
      <c r="Q29" s="241"/>
      <c r="R29" s="188"/>
      <c r="S29" s="140"/>
      <c r="T29" s="188"/>
      <c r="U29" s="140"/>
      <c r="V29" s="336" t="str" cm="1">
        <f t="array" ref="V29">IF(N29&lt;&gt;"",_xlfn.IFS(AND(N29&gt;='Variable index'!$K$35,N29&lt;'Variable index'!$K$36),'Variable index'!$L$35,AND(N29&gt;='Variable index'!$K$36,N29&lt;'Variable index'!$K$37),'Variable index'!$L$36,AND(N29&gt;='Variable index'!$K$37,N29&lt;'Variable index'!$K$38),'Variable index'!$L$37,N29&gt;='Variable index'!$K$38,'Variable index'!$L$38),"")</f>
        <v/>
      </c>
      <c r="W29" s="240"/>
      <c r="X29" s="336" t="str" cm="1">
        <f t="array" ref="X29">IF(AND(W29&lt;&gt;"",N29&lt;&gt;""),_xlfn.IFS(W29="Yes",_xlfn.IFS(AND(N29&gt;='Variable index'!$K$35,N29&lt;'Variable index'!$K$36),'Variable index'!$M$35,AND(N29&gt;='Variable index'!$K$36,N29&lt;'Variable index'!$K$37),'Variable index'!$M$36,AND(N29&gt;='Variable index'!$K$37,N29&lt;'Variable index'!$K$38),'Variable index'!$M$37,N29&gt;='Variable index'!$K$38,'Variable index'!$M$38),W29="No",0),"")</f>
        <v/>
      </c>
      <c r="Y29" s="188"/>
      <c r="Z29" s="336" t="str" cm="1">
        <f t="array" ref="Z29">IF(Y29&lt;&gt;"",_xlfn.IFS(Y29='Variable index'!$J$53,SUM('Variable index'!$K$49:$M$49),Y29='Variable index'!$J$54,SUM('Variable index'!$L$49:$M$49),Y29='Variable index'!$J$55,SUM('Variable index'!$M$49)),"")</f>
        <v/>
      </c>
      <c r="AA29" s="337" t="str" cm="1">
        <f t="array" ref="AA29">IFERROR(N29*(1+_xlfn.XLOOKUP(O29,'Rawlinsons regional indices'!$A$2:$A$63,'Rawlinsons regional indices'!$C$2:$C$63)+Q29+_xlfn.IFS(P29&lt;'Variable index'!$J$17,'Variable index'!$K$14,AND(P29&gt;='Variable index'!$J$17,P29&lt;'Variable index'!$J$18),'Variable index'!$L$14,P29&gt;='Variable index'!$J$18,'Variable index'!$M$14))+(IF(R29&lt;&gt;"",INDEX('Variable index'!$E$57:$F$65,MATCH($R29,'Variable index'!$C$57:$C$65,0),$F$12),0)*S29)+(IF(T29&lt;&gt;"",INDEX('Variable index'!$E$68:$F$73,MATCH($T29,'Variable index'!$C$68:$C$73,0),$F$12),0)*U29)+(N29*V29)+(N29*X29)+(N29*Z29),"")</f>
        <v/>
      </c>
      <c r="AB29" s="303"/>
      <c r="AC29" s="337" t="str">
        <f t="shared" si="1"/>
        <v/>
      </c>
      <c r="AD29" s="340" t="str">
        <f t="shared" si="2"/>
        <v/>
      </c>
    </row>
    <row r="30" spans="4:30" ht="12" x14ac:dyDescent="0.25">
      <c r="D30" s="216">
        <f t="shared" si="0"/>
        <v>14</v>
      </c>
      <c r="E30" s="312"/>
      <c r="F30" s="187"/>
      <c r="G30" s="185"/>
      <c r="H30" s="260">
        <f>IFERROR(_xlfn.XLOOKUP(F30,Lists!$C$47:$C$63,Lists!$D$47:$D$63),0)</f>
        <v>0</v>
      </c>
      <c r="I30" s="96"/>
      <c r="J30" s="96"/>
      <c r="K30" s="331" t="str" cm="1">
        <f t="array" ref="K30">IFERROR(IF($H30=0,INDEX('Variable index'!$E$79:$F$126,MATCH($F30,'Variable index'!$C$79:$C$126,0),$F$12),INDEX('Variable index'!$E$79:$F$127,MATCH(_xlfn.CONCAT($F30," - ",$G30),'Variable index'!$C$79:$C$126,0),$F$12)),"")</f>
        <v/>
      </c>
      <c r="L30" s="332" t="str">
        <f>IFERROR(_xlfn.CONCAT("$ per ",IF($H30=0,_xlfn.XLOOKUP($F30,'Variable index'!$C$79:$C$126,'Variable index'!$D$79:$D$126),_xlfn.XLOOKUP(_xlfn.CONCAT($F30," - ",$G30),'Variable index'!$C$79:$C$126,'Variable index'!$D$79:$D$126))),"")</f>
        <v/>
      </c>
      <c r="M30" s="140"/>
      <c r="N30" s="343" t="str">
        <f>IFERROR(IF(TableStormwater[[#This Row],[Unit quantity]]="","",TableStormwater[[#This Row],[Unit rate]]*TableStormwater[[#This Row],[Unit quantity]]),"")</f>
        <v/>
      </c>
      <c r="O30" s="238" t="str">
        <f>IF(TableStormwater[[#This Row],[Type of infrastructure]]&lt;&gt;"",Summary!$F$8,"")</f>
        <v/>
      </c>
      <c r="P30" s="239" t="str">
        <f>IF(TableStormwater[[#This Row],[Type of infrastructure]]&lt;&gt;"",Summary!$F$9,"")</f>
        <v/>
      </c>
      <c r="Q30" s="241"/>
      <c r="R30" s="188"/>
      <c r="S30" s="140"/>
      <c r="T30" s="188"/>
      <c r="U30" s="140"/>
      <c r="V30" s="336" t="str" cm="1">
        <f t="array" ref="V30">IF(N30&lt;&gt;"",_xlfn.IFS(AND(N30&gt;='Variable index'!$K$35,N30&lt;'Variable index'!$K$36),'Variable index'!$L$35,AND(N30&gt;='Variable index'!$K$36,N30&lt;'Variable index'!$K$37),'Variable index'!$L$36,AND(N30&gt;='Variable index'!$K$37,N30&lt;'Variable index'!$K$38),'Variable index'!$L$37,N30&gt;='Variable index'!$K$38,'Variable index'!$L$38),"")</f>
        <v/>
      </c>
      <c r="W30" s="240"/>
      <c r="X30" s="336" t="str" cm="1">
        <f t="array" ref="X30">IF(AND(W30&lt;&gt;"",N30&lt;&gt;""),_xlfn.IFS(W30="Yes",_xlfn.IFS(AND(N30&gt;='Variable index'!$K$35,N30&lt;'Variable index'!$K$36),'Variable index'!$M$35,AND(N30&gt;='Variable index'!$K$36,N30&lt;'Variable index'!$K$37),'Variable index'!$M$36,AND(N30&gt;='Variable index'!$K$37,N30&lt;'Variable index'!$K$38),'Variable index'!$M$37,N30&gt;='Variable index'!$K$38,'Variable index'!$M$38),W30="No",0),"")</f>
        <v/>
      </c>
      <c r="Y30" s="188"/>
      <c r="Z30" s="336" t="str" cm="1">
        <f t="array" ref="Z30">IF(Y30&lt;&gt;"",_xlfn.IFS(Y30='Variable index'!$J$53,SUM('Variable index'!$K$49:$M$49),Y30='Variable index'!$J$54,SUM('Variable index'!$L$49:$M$49),Y30='Variable index'!$J$55,SUM('Variable index'!$M$49)),"")</f>
        <v/>
      </c>
      <c r="AA30" s="337" t="str" cm="1">
        <f t="array" ref="AA30">IFERROR(N30*(1+_xlfn.XLOOKUP(O30,'Rawlinsons regional indices'!$A$2:$A$63,'Rawlinsons regional indices'!$C$2:$C$63)+Q30+_xlfn.IFS(P30&lt;'Variable index'!$J$17,'Variable index'!$K$14,AND(P30&gt;='Variable index'!$J$17,P30&lt;'Variable index'!$J$18),'Variable index'!$L$14,P30&gt;='Variable index'!$J$18,'Variable index'!$M$14))+(IF(R30&lt;&gt;"",INDEX('Variable index'!$E$57:$F$65,MATCH($R30,'Variable index'!$C$57:$C$65,0),$F$12),0)*S30)+(IF(T30&lt;&gt;"",INDEX('Variable index'!$E$68:$F$73,MATCH($T30,'Variable index'!$C$68:$C$73,0),$F$12),0)*U30)+(N30*V30)+(N30*X30)+(N30*Z30),"")</f>
        <v/>
      </c>
      <c r="AB30" s="303"/>
      <c r="AC30" s="337" t="str">
        <f t="shared" si="1"/>
        <v/>
      </c>
      <c r="AD30" s="340" t="str">
        <f t="shared" si="2"/>
        <v/>
      </c>
    </row>
    <row r="31" spans="4:30" ht="12" x14ac:dyDescent="0.25">
      <c r="D31" s="216">
        <f t="shared" si="0"/>
        <v>15</v>
      </c>
      <c r="E31" s="312"/>
      <c r="F31" s="187"/>
      <c r="G31" s="185"/>
      <c r="H31" s="260">
        <f>IFERROR(_xlfn.XLOOKUP(F31,Lists!$C$47:$C$63,Lists!$D$47:$D$63),0)</f>
        <v>0</v>
      </c>
      <c r="I31" s="96"/>
      <c r="J31" s="96"/>
      <c r="K31" s="331" t="str" cm="1">
        <f t="array" ref="K31">IFERROR(IF($H31=0,INDEX('Variable index'!$E$79:$F$126,MATCH($F31,'Variable index'!$C$79:$C$126,0),$F$12),INDEX('Variable index'!$E$79:$F$127,MATCH(_xlfn.CONCAT($F31," - ",$G31),'Variable index'!$C$79:$C$126,0),$F$12)),"")</f>
        <v/>
      </c>
      <c r="L31" s="332" t="str">
        <f>IFERROR(_xlfn.CONCAT("$ per ",IF($H31=0,_xlfn.XLOOKUP($F31,'Variable index'!$C$79:$C$126,'Variable index'!$D$79:$D$126),_xlfn.XLOOKUP(_xlfn.CONCAT($F31," - ",$G31),'Variable index'!$C$79:$C$126,'Variable index'!$D$79:$D$126))),"")</f>
        <v/>
      </c>
      <c r="M31" s="140"/>
      <c r="N31" s="343" t="str">
        <f>IFERROR(IF(TableStormwater[[#This Row],[Unit quantity]]="","",TableStormwater[[#This Row],[Unit rate]]*TableStormwater[[#This Row],[Unit quantity]]),"")</f>
        <v/>
      </c>
      <c r="O31" s="238" t="str">
        <f>IF(TableStormwater[[#This Row],[Type of infrastructure]]&lt;&gt;"",Summary!$F$8,"")</f>
        <v/>
      </c>
      <c r="P31" s="239" t="str">
        <f>IF(TableStormwater[[#This Row],[Type of infrastructure]]&lt;&gt;"",Summary!$F$9,"")</f>
        <v/>
      </c>
      <c r="Q31" s="241"/>
      <c r="R31" s="188"/>
      <c r="S31" s="140"/>
      <c r="T31" s="188"/>
      <c r="U31" s="140"/>
      <c r="V31" s="336" t="str" cm="1">
        <f t="array" ref="V31">IF(N31&lt;&gt;"",_xlfn.IFS(AND(N31&gt;='Variable index'!$K$35,N31&lt;'Variable index'!$K$36),'Variable index'!$L$35,AND(N31&gt;='Variable index'!$K$36,N31&lt;'Variable index'!$K$37),'Variable index'!$L$36,AND(N31&gt;='Variable index'!$K$37,N31&lt;'Variable index'!$K$38),'Variable index'!$L$37,N31&gt;='Variable index'!$K$38,'Variable index'!$L$38),"")</f>
        <v/>
      </c>
      <c r="W31" s="240"/>
      <c r="X31" s="336" t="str" cm="1">
        <f t="array" ref="X31">IF(AND(W31&lt;&gt;"",N31&lt;&gt;""),_xlfn.IFS(W31="Yes",_xlfn.IFS(AND(N31&gt;='Variable index'!$K$35,N31&lt;'Variable index'!$K$36),'Variable index'!$M$35,AND(N31&gt;='Variable index'!$K$36,N31&lt;'Variable index'!$K$37),'Variable index'!$M$36,AND(N31&gt;='Variable index'!$K$37,N31&lt;'Variable index'!$K$38),'Variable index'!$M$37,N31&gt;='Variable index'!$K$38,'Variable index'!$M$38),W31="No",0),"")</f>
        <v/>
      </c>
      <c r="Y31" s="188"/>
      <c r="Z31" s="336" t="str" cm="1">
        <f t="array" ref="Z31">IF(Y31&lt;&gt;"",_xlfn.IFS(Y31='Variable index'!$J$53,SUM('Variable index'!$K$49:$M$49),Y31='Variable index'!$J$54,SUM('Variable index'!$L$49:$M$49),Y31='Variable index'!$J$55,SUM('Variable index'!$M$49)),"")</f>
        <v/>
      </c>
      <c r="AA31" s="337" t="str" cm="1">
        <f t="array" ref="AA31">IFERROR(N31*(1+_xlfn.XLOOKUP(O31,'Rawlinsons regional indices'!$A$2:$A$63,'Rawlinsons regional indices'!$C$2:$C$63)+Q31+_xlfn.IFS(P31&lt;'Variable index'!$J$17,'Variable index'!$K$14,AND(P31&gt;='Variable index'!$J$17,P31&lt;'Variable index'!$J$18),'Variable index'!$L$14,P31&gt;='Variable index'!$J$18,'Variable index'!$M$14))+(IF(R31&lt;&gt;"",INDEX('Variable index'!$E$57:$F$65,MATCH($R31,'Variable index'!$C$57:$C$65,0),$F$12),0)*S31)+(IF(T31&lt;&gt;"",INDEX('Variable index'!$E$68:$F$73,MATCH($T31,'Variable index'!$C$68:$C$73,0),$F$12),0)*U31)+(N31*V31)+(N31*X31)+(N31*Z31),"")</f>
        <v/>
      </c>
      <c r="AB31" s="303"/>
      <c r="AC31" s="337" t="str">
        <f t="shared" si="1"/>
        <v/>
      </c>
      <c r="AD31" s="340" t="str">
        <f t="shared" si="2"/>
        <v/>
      </c>
    </row>
    <row r="32" spans="4:30" ht="12" x14ac:dyDescent="0.25">
      <c r="D32" s="216">
        <f t="shared" si="0"/>
        <v>16</v>
      </c>
      <c r="E32" s="312"/>
      <c r="F32" s="187"/>
      <c r="G32" s="185"/>
      <c r="H32" s="260">
        <f>IFERROR(_xlfn.XLOOKUP(F32,Lists!$C$47:$C$63,Lists!$D$47:$D$63),0)</f>
        <v>0</v>
      </c>
      <c r="I32" s="96"/>
      <c r="J32" s="96"/>
      <c r="K32" s="331" t="str" cm="1">
        <f t="array" ref="K32">IFERROR(IF($H32=0,INDEX('Variable index'!$E$79:$F$126,MATCH($F32,'Variable index'!$C$79:$C$126,0),$F$12),INDEX('Variable index'!$E$79:$F$127,MATCH(_xlfn.CONCAT($F32," - ",$G32),'Variable index'!$C$79:$C$126,0),$F$12)),"")</f>
        <v/>
      </c>
      <c r="L32" s="332" t="str">
        <f>IFERROR(_xlfn.CONCAT("$ per ",IF($H32=0,_xlfn.XLOOKUP($F32,'Variable index'!$C$79:$C$126,'Variable index'!$D$79:$D$126),_xlfn.XLOOKUP(_xlfn.CONCAT($F32," - ",$G32),'Variable index'!$C$79:$C$126,'Variable index'!$D$79:$D$126))),"")</f>
        <v/>
      </c>
      <c r="M32" s="140"/>
      <c r="N32" s="343" t="str">
        <f>IFERROR(IF(TableStormwater[[#This Row],[Unit quantity]]="","",TableStormwater[[#This Row],[Unit rate]]*TableStormwater[[#This Row],[Unit quantity]]),"")</f>
        <v/>
      </c>
      <c r="O32" s="238" t="str">
        <f>IF(TableStormwater[[#This Row],[Type of infrastructure]]&lt;&gt;"",Summary!$F$8,"")</f>
        <v/>
      </c>
      <c r="P32" s="239" t="str">
        <f>IF(TableStormwater[[#This Row],[Type of infrastructure]]&lt;&gt;"",Summary!$F$9,"")</f>
        <v/>
      </c>
      <c r="Q32" s="241"/>
      <c r="R32" s="188"/>
      <c r="S32" s="140"/>
      <c r="T32" s="188"/>
      <c r="U32" s="140"/>
      <c r="V32" s="336" t="str" cm="1">
        <f t="array" ref="V32">IF(N32&lt;&gt;"",_xlfn.IFS(AND(N32&gt;='Variable index'!$K$35,N32&lt;'Variable index'!$K$36),'Variable index'!$L$35,AND(N32&gt;='Variable index'!$K$36,N32&lt;'Variable index'!$K$37),'Variable index'!$L$36,AND(N32&gt;='Variable index'!$K$37,N32&lt;'Variable index'!$K$38),'Variable index'!$L$37,N32&gt;='Variable index'!$K$38,'Variable index'!$L$38),"")</f>
        <v/>
      </c>
      <c r="W32" s="240"/>
      <c r="X32" s="336" t="str" cm="1">
        <f t="array" ref="X32">IF(AND(W32&lt;&gt;"",N32&lt;&gt;""),_xlfn.IFS(W32="Yes",_xlfn.IFS(AND(N32&gt;='Variable index'!$K$35,N32&lt;'Variable index'!$K$36),'Variable index'!$M$35,AND(N32&gt;='Variable index'!$K$36,N32&lt;'Variable index'!$K$37),'Variable index'!$M$36,AND(N32&gt;='Variable index'!$K$37,N32&lt;'Variable index'!$K$38),'Variable index'!$M$37,N32&gt;='Variable index'!$K$38,'Variable index'!$M$38),W32="No",0),"")</f>
        <v/>
      </c>
      <c r="Y32" s="188"/>
      <c r="Z32" s="336" t="str" cm="1">
        <f t="array" ref="Z32">IF(Y32&lt;&gt;"",_xlfn.IFS(Y32='Variable index'!$J$53,SUM('Variable index'!$K$49:$M$49),Y32='Variable index'!$J$54,SUM('Variable index'!$L$49:$M$49),Y32='Variable index'!$J$55,SUM('Variable index'!$M$49)),"")</f>
        <v/>
      </c>
      <c r="AA32" s="337" t="str" cm="1">
        <f t="array" ref="AA32">IFERROR(N32*(1+_xlfn.XLOOKUP(O32,'Rawlinsons regional indices'!$A$2:$A$63,'Rawlinsons regional indices'!$C$2:$C$63)+Q32+_xlfn.IFS(P32&lt;'Variable index'!$J$17,'Variable index'!$K$14,AND(P32&gt;='Variable index'!$J$17,P32&lt;'Variable index'!$J$18),'Variable index'!$L$14,P32&gt;='Variable index'!$J$18,'Variable index'!$M$14))+(IF(R32&lt;&gt;"",INDEX('Variable index'!$E$57:$F$65,MATCH($R32,'Variable index'!$C$57:$C$65,0),$F$12),0)*S32)+(IF(T32&lt;&gt;"",INDEX('Variable index'!$E$68:$F$73,MATCH($T32,'Variable index'!$C$68:$C$73,0),$F$12),0)*U32)+(N32*V32)+(N32*X32)+(N32*Z32),"")</f>
        <v/>
      </c>
      <c r="AB32" s="303"/>
      <c r="AC32" s="337" t="str">
        <f t="shared" si="1"/>
        <v/>
      </c>
      <c r="AD32" s="340" t="str">
        <f t="shared" si="2"/>
        <v/>
      </c>
    </row>
    <row r="33" spans="4:30" ht="12" x14ac:dyDescent="0.25">
      <c r="D33" s="216">
        <f t="shared" si="0"/>
        <v>17</v>
      </c>
      <c r="E33" s="312"/>
      <c r="F33" s="187"/>
      <c r="G33" s="185"/>
      <c r="H33" s="260">
        <f>IFERROR(_xlfn.XLOOKUP(F33,Lists!$C$47:$C$63,Lists!$D$47:$D$63),0)</f>
        <v>0</v>
      </c>
      <c r="I33" s="96"/>
      <c r="J33" s="96"/>
      <c r="K33" s="331" t="str" cm="1">
        <f t="array" ref="K33">IFERROR(IF($H33=0,INDEX('Variable index'!$E$79:$F$126,MATCH($F33,'Variable index'!$C$79:$C$126,0),$F$12),INDEX('Variable index'!$E$79:$F$127,MATCH(_xlfn.CONCAT($F33," - ",$G33),'Variable index'!$C$79:$C$126,0),$F$12)),"")</f>
        <v/>
      </c>
      <c r="L33" s="332" t="str">
        <f>IFERROR(_xlfn.CONCAT("$ per ",IF($H33=0,_xlfn.XLOOKUP($F33,'Variable index'!$C$79:$C$126,'Variable index'!$D$79:$D$126),_xlfn.XLOOKUP(_xlfn.CONCAT($F33," - ",$G33),'Variable index'!$C$79:$C$126,'Variable index'!$D$79:$D$126))),"")</f>
        <v/>
      </c>
      <c r="M33" s="140"/>
      <c r="N33" s="343" t="str">
        <f>IFERROR(IF(TableStormwater[[#This Row],[Unit quantity]]="","",TableStormwater[[#This Row],[Unit rate]]*TableStormwater[[#This Row],[Unit quantity]]),"")</f>
        <v/>
      </c>
      <c r="O33" s="238" t="str">
        <f>IF(TableStormwater[[#This Row],[Type of infrastructure]]&lt;&gt;"",Summary!$F$8,"")</f>
        <v/>
      </c>
      <c r="P33" s="239" t="str">
        <f>IF(TableStormwater[[#This Row],[Type of infrastructure]]&lt;&gt;"",Summary!$F$9,"")</f>
        <v/>
      </c>
      <c r="Q33" s="241"/>
      <c r="R33" s="188"/>
      <c r="S33" s="140"/>
      <c r="T33" s="188"/>
      <c r="U33" s="140"/>
      <c r="V33" s="336" t="str" cm="1">
        <f t="array" ref="V33">IF(N33&lt;&gt;"",_xlfn.IFS(AND(N33&gt;='Variable index'!$K$35,N33&lt;'Variable index'!$K$36),'Variable index'!$L$35,AND(N33&gt;='Variable index'!$K$36,N33&lt;'Variable index'!$K$37),'Variable index'!$L$36,AND(N33&gt;='Variable index'!$K$37,N33&lt;'Variable index'!$K$38),'Variable index'!$L$37,N33&gt;='Variable index'!$K$38,'Variable index'!$L$38),"")</f>
        <v/>
      </c>
      <c r="W33" s="240"/>
      <c r="X33" s="336" t="str" cm="1">
        <f t="array" ref="X33">IF(AND(W33&lt;&gt;"",N33&lt;&gt;""),_xlfn.IFS(W33="Yes",_xlfn.IFS(AND(N33&gt;='Variable index'!$K$35,N33&lt;'Variable index'!$K$36),'Variable index'!$M$35,AND(N33&gt;='Variable index'!$K$36,N33&lt;'Variable index'!$K$37),'Variable index'!$M$36,AND(N33&gt;='Variable index'!$K$37,N33&lt;'Variable index'!$K$38),'Variable index'!$M$37,N33&gt;='Variable index'!$K$38,'Variable index'!$M$38),W33="No",0),"")</f>
        <v/>
      </c>
      <c r="Y33" s="188"/>
      <c r="Z33" s="336" t="str" cm="1">
        <f t="array" ref="Z33">IF(Y33&lt;&gt;"",_xlfn.IFS(Y33='Variable index'!$J$53,SUM('Variable index'!$K$49:$M$49),Y33='Variable index'!$J$54,SUM('Variable index'!$L$49:$M$49),Y33='Variable index'!$J$55,SUM('Variable index'!$M$49)),"")</f>
        <v/>
      </c>
      <c r="AA33" s="337" t="str" cm="1">
        <f t="array" ref="AA33">IFERROR(N33*(1+_xlfn.XLOOKUP(O33,'Rawlinsons regional indices'!$A$2:$A$63,'Rawlinsons regional indices'!$C$2:$C$63)+Q33+_xlfn.IFS(P33&lt;'Variable index'!$J$17,'Variable index'!$K$14,AND(P33&gt;='Variable index'!$J$17,P33&lt;'Variable index'!$J$18),'Variable index'!$L$14,P33&gt;='Variable index'!$J$18,'Variable index'!$M$14))+(IF(R33&lt;&gt;"",INDEX('Variable index'!$E$57:$F$65,MATCH($R33,'Variable index'!$C$57:$C$65,0),$F$12),0)*S33)+(IF(T33&lt;&gt;"",INDEX('Variable index'!$E$68:$F$73,MATCH($T33,'Variable index'!$C$68:$C$73,0),$F$12),0)*U33)+(N33*V33)+(N33*X33)+(N33*Z33),"")</f>
        <v/>
      </c>
      <c r="AB33" s="303"/>
      <c r="AC33" s="337" t="str">
        <f t="shared" si="1"/>
        <v/>
      </c>
      <c r="AD33" s="340" t="str">
        <f t="shared" si="2"/>
        <v/>
      </c>
    </row>
    <row r="34" spans="4:30" ht="12" x14ac:dyDescent="0.25">
      <c r="D34" s="216">
        <f t="shared" si="0"/>
        <v>18</v>
      </c>
      <c r="E34" s="312"/>
      <c r="F34" s="187"/>
      <c r="G34" s="185"/>
      <c r="H34" s="260">
        <f>IFERROR(_xlfn.XLOOKUP(F34,Lists!$C$47:$C$63,Lists!$D$47:$D$63),0)</f>
        <v>0</v>
      </c>
      <c r="I34" s="96"/>
      <c r="J34" s="96"/>
      <c r="K34" s="331" t="str" cm="1">
        <f t="array" ref="K34">IFERROR(IF($H34=0,INDEX('Variable index'!$E$79:$F$126,MATCH($F34,'Variable index'!$C$79:$C$126,0),$F$12),INDEX('Variable index'!$E$79:$F$127,MATCH(_xlfn.CONCAT($F34," - ",$G34),'Variable index'!$C$79:$C$126,0),$F$12)),"")</f>
        <v/>
      </c>
      <c r="L34" s="332" t="str">
        <f>IFERROR(_xlfn.CONCAT("$ per ",IF($H34=0,_xlfn.XLOOKUP($F34,'Variable index'!$C$79:$C$126,'Variable index'!$D$79:$D$126),_xlfn.XLOOKUP(_xlfn.CONCAT($F34," - ",$G34),'Variable index'!$C$79:$C$126,'Variable index'!$D$79:$D$126))),"")</f>
        <v/>
      </c>
      <c r="M34" s="140"/>
      <c r="N34" s="343" t="str">
        <f>IFERROR(IF(TableStormwater[[#This Row],[Unit quantity]]="","",TableStormwater[[#This Row],[Unit rate]]*TableStormwater[[#This Row],[Unit quantity]]),"")</f>
        <v/>
      </c>
      <c r="O34" s="238" t="str">
        <f>IF(TableStormwater[[#This Row],[Type of infrastructure]]&lt;&gt;"",Summary!$F$8,"")</f>
        <v/>
      </c>
      <c r="P34" s="239" t="str">
        <f>IF(TableStormwater[[#This Row],[Type of infrastructure]]&lt;&gt;"",Summary!$F$9,"")</f>
        <v/>
      </c>
      <c r="Q34" s="241"/>
      <c r="R34" s="188"/>
      <c r="S34" s="140"/>
      <c r="T34" s="188"/>
      <c r="U34" s="140"/>
      <c r="V34" s="336" t="str" cm="1">
        <f t="array" ref="V34">IF(N34&lt;&gt;"",_xlfn.IFS(AND(N34&gt;='Variable index'!$K$35,N34&lt;'Variable index'!$K$36),'Variable index'!$L$35,AND(N34&gt;='Variable index'!$K$36,N34&lt;'Variable index'!$K$37),'Variable index'!$L$36,AND(N34&gt;='Variable index'!$K$37,N34&lt;'Variable index'!$K$38),'Variable index'!$L$37,N34&gt;='Variable index'!$K$38,'Variable index'!$L$38),"")</f>
        <v/>
      </c>
      <c r="W34" s="240"/>
      <c r="X34" s="336" t="str" cm="1">
        <f t="array" ref="X34">IF(AND(W34&lt;&gt;"",N34&lt;&gt;""),_xlfn.IFS(W34="Yes",_xlfn.IFS(AND(N34&gt;='Variable index'!$K$35,N34&lt;'Variable index'!$K$36),'Variable index'!$M$35,AND(N34&gt;='Variable index'!$K$36,N34&lt;'Variable index'!$K$37),'Variable index'!$M$36,AND(N34&gt;='Variable index'!$K$37,N34&lt;'Variable index'!$K$38),'Variable index'!$M$37,N34&gt;='Variable index'!$K$38,'Variable index'!$M$38),W34="No",0),"")</f>
        <v/>
      </c>
      <c r="Y34" s="188"/>
      <c r="Z34" s="336" t="str" cm="1">
        <f t="array" ref="Z34">IF(Y34&lt;&gt;"",_xlfn.IFS(Y34='Variable index'!$J$53,SUM('Variable index'!$K$49:$M$49),Y34='Variable index'!$J$54,SUM('Variable index'!$L$49:$M$49),Y34='Variable index'!$J$55,SUM('Variable index'!$M$49)),"")</f>
        <v/>
      </c>
      <c r="AA34" s="337" t="str" cm="1">
        <f t="array" ref="AA34">IFERROR(N34*(1+_xlfn.XLOOKUP(O34,'Rawlinsons regional indices'!$A$2:$A$63,'Rawlinsons regional indices'!$C$2:$C$63)+Q34+_xlfn.IFS(P34&lt;'Variable index'!$J$17,'Variable index'!$K$14,AND(P34&gt;='Variable index'!$J$17,P34&lt;'Variable index'!$J$18),'Variable index'!$L$14,P34&gt;='Variable index'!$J$18,'Variable index'!$M$14))+(IF(R34&lt;&gt;"",INDEX('Variable index'!$E$57:$F$65,MATCH($R34,'Variable index'!$C$57:$C$65,0),$F$12),0)*S34)+(IF(T34&lt;&gt;"",INDEX('Variable index'!$E$68:$F$73,MATCH($T34,'Variable index'!$C$68:$C$73,0),$F$12),0)*U34)+(N34*V34)+(N34*X34)+(N34*Z34),"")</f>
        <v/>
      </c>
      <c r="AB34" s="303"/>
      <c r="AC34" s="337" t="str">
        <f t="shared" si="1"/>
        <v/>
      </c>
      <c r="AD34" s="340" t="str">
        <f t="shared" si="2"/>
        <v/>
      </c>
    </row>
    <row r="35" spans="4:30" ht="12" x14ac:dyDescent="0.25">
      <c r="D35" s="216">
        <f t="shared" si="0"/>
        <v>19</v>
      </c>
      <c r="E35" s="312"/>
      <c r="F35" s="187"/>
      <c r="G35" s="185"/>
      <c r="H35" s="260">
        <f>IFERROR(_xlfn.XLOOKUP(F35,Lists!$C$47:$C$63,Lists!$D$47:$D$63),0)</f>
        <v>0</v>
      </c>
      <c r="I35" s="96"/>
      <c r="J35" s="96"/>
      <c r="K35" s="331" t="str" cm="1">
        <f t="array" ref="K35">IFERROR(IF($H35=0,INDEX('Variable index'!$E$79:$F$126,MATCH($F35,'Variable index'!$C$79:$C$126,0),$F$12),INDEX('Variable index'!$E$79:$F$127,MATCH(_xlfn.CONCAT($F35," - ",$G35),'Variable index'!$C$79:$C$126,0),$F$12)),"")</f>
        <v/>
      </c>
      <c r="L35" s="332" t="str">
        <f>IFERROR(_xlfn.CONCAT("$ per ",IF($H35=0,_xlfn.XLOOKUP($F35,'Variable index'!$C$79:$C$126,'Variable index'!$D$79:$D$126),_xlfn.XLOOKUP(_xlfn.CONCAT($F35," - ",$G35),'Variable index'!$C$79:$C$126,'Variable index'!$D$79:$D$126))),"")</f>
        <v/>
      </c>
      <c r="M35" s="140"/>
      <c r="N35" s="343" t="str">
        <f>IFERROR(IF(TableStormwater[[#This Row],[Unit quantity]]="","",TableStormwater[[#This Row],[Unit rate]]*TableStormwater[[#This Row],[Unit quantity]]),"")</f>
        <v/>
      </c>
      <c r="O35" s="238" t="str">
        <f>IF(TableStormwater[[#This Row],[Type of infrastructure]]&lt;&gt;"",Summary!$F$8,"")</f>
        <v/>
      </c>
      <c r="P35" s="239" t="str">
        <f>IF(TableStormwater[[#This Row],[Type of infrastructure]]&lt;&gt;"",Summary!$F$9,"")</f>
        <v/>
      </c>
      <c r="Q35" s="241"/>
      <c r="R35" s="188"/>
      <c r="S35" s="140"/>
      <c r="T35" s="188"/>
      <c r="U35" s="140"/>
      <c r="V35" s="336" t="str" cm="1">
        <f t="array" ref="V35">IF(N35&lt;&gt;"",_xlfn.IFS(AND(N35&gt;='Variable index'!$K$35,N35&lt;'Variable index'!$K$36),'Variable index'!$L$35,AND(N35&gt;='Variable index'!$K$36,N35&lt;'Variable index'!$K$37),'Variable index'!$L$36,AND(N35&gt;='Variable index'!$K$37,N35&lt;'Variable index'!$K$38),'Variable index'!$L$37,N35&gt;='Variable index'!$K$38,'Variable index'!$L$38),"")</f>
        <v/>
      </c>
      <c r="W35" s="240"/>
      <c r="X35" s="336" t="str" cm="1">
        <f t="array" ref="X35">IF(AND(W35&lt;&gt;"",N35&lt;&gt;""),_xlfn.IFS(W35="Yes",_xlfn.IFS(AND(N35&gt;='Variable index'!$K$35,N35&lt;'Variable index'!$K$36),'Variable index'!$M$35,AND(N35&gt;='Variable index'!$K$36,N35&lt;'Variable index'!$K$37),'Variable index'!$M$36,AND(N35&gt;='Variable index'!$K$37,N35&lt;'Variable index'!$K$38),'Variable index'!$M$37,N35&gt;='Variable index'!$K$38,'Variable index'!$M$38),W35="No",0),"")</f>
        <v/>
      </c>
      <c r="Y35" s="188"/>
      <c r="Z35" s="336" t="str" cm="1">
        <f t="array" ref="Z35">IF(Y35&lt;&gt;"",_xlfn.IFS(Y35='Variable index'!$J$53,SUM('Variable index'!$K$49:$M$49),Y35='Variable index'!$J$54,SUM('Variable index'!$L$49:$M$49),Y35='Variable index'!$J$55,SUM('Variable index'!$M$49)),"")</f>
        <v/>
      </c>
      <c r="AA35" s="337" t="str" cm="1">
        <f t="array" ref="AA35">IFERROR(N35*(1+_xlfn.XLOOKUP(O35,'Rawlinsons regional indices'!$A$2:$A$63,'Rawlinsons regional indices'!$C$2:$C$63)+Q35+_xlfn.IFS(P35&lt;'Variable index'!$J$17,'Variable index'!$K$14,AND(P35&gt;='Variable index'!$J$17,P35&lt;'Variable index'!$J$18),'Variable index'!$L$14,P35&gt;='Variable index'!$J$18,'Variable index'!$M$14))+(IF(R35&lt;&gt;"",INDEX('Variable index'!$E$57:$F$65,MATCH($R35,'Variable index'!$C$57:$C$65,0),$F$12),0)*S35)+(IF(T35&lt;&gt;"",INDEX('Variable index'!$E$68:$F$73,MATCH($T35,'Variable index'!$C$68:$C$73,0),$F$12),0)*U35)+(N35*V35)+(N35*X35)+(N35*Z35),"")</f>
        <v/>
      </c>
      <c r="AB35" s="303"/>
      <c r="AC35" s="337" t="str">
        <f t="shared" si="1"/>
        <v/>
      </c>
      <c r="AD35" s="340" t="str">
        <f t="shared" si="2"/>
        <v/>
      </c>
    </row>
    <row r="36" spans="4:30" ht="12" x14ac:dyDescent="0.25">
      <c r="D36" s="216">
        <f t="shared" si="0"/>
        <v>20</v>
      </c>
      <c r="E36" s="312"/>
      <c r="F36" s="187"/>
      <c r="G36" s="185"/>
      <c r="H36" s="260">
        <f>IFERROR(_xlfn.XLOOKUP(F36,Lists!$C$47:$C$63,Lists!$D$47:$D$63),0)</f>
        <v>0</v>
      </c>
      <c r="I36" s="96"/>
      <c r="J36" s="96"/>
      <c r="K36" s="331" t="str" cm="1">
        <f t="array" ref="K36">IFERROR(IF($H36=0,INDEX('Variable index'!$E$79:$F$126,MATCH($F36,'Variable index'!$C$79:$C$126,0),$F$12),INDEX('Variable index'!$E$79:$F$127,MATCH(_xlfn.CONCAT($F36," - ",$G36),'Variable index'!$C$79:$C$126,0),$F$12)),"")</f>
        <v/>
      </c>
      <c r="L36" s="332" t="str">
        <f>IFERROR(_xlfn.CONCAT("$ per ",IF($H36=0,_xlfn.XLOOKUP($F36,'Variable index'!$C$79:$C$126,'Variable index'!$D$79:$D$126),_xlfn.XLOOKUP(_xlfn.CONCAT($F36," - ",$G36),'Variable index'!$C$79:$C$126,'Variable index'!$D$79:$D$126))),"")</f>
        <v/>
      </c>
      <c r="M36" s="140"/>
      <c r="N36" s="343" t="str">
        <f>IFERROR(IF(TableStormwater[[#This Row],[Unit quantity]]="","",TableStormwater[[#This Row],[Unit rate]]*TableStormwater[[#This Row],[Unit quantity]]),"")</f>
        <v/>
      </c>
      <c r="O36" s="238" t="str">
        <f>IF(TableStormwater[[#This Row],[Type of infrastructure]]&lt;&gt;"",Summary!$F$8,"")</f>
        <v/>
      </c>
      <c r="P36" s="239" t="str">
        <f>IF(TableStormwater[[#This Row],[Type of infrastructure]]&lt;&gt;"",Summary!$F$9,"")</f>
        <v/>
      </c>
      <c r="Q36" s="241"/>
      <c r="R36" s="188"/>
      <c r="S36" s="140"/>
      <c r="T36" s="188"/>
      <c r="U36" s="140"/>
      <c r="V36" s="336" t="str" cm="1">
        <f t="array" ref="V36">IF(N36&lt;&gt;"",_xlfn.IFS(AND(N36&gt;='Variable index'!$K$35,N36&lt;'Variable index'!$K$36),'Variable index'!$L$35,AND(N36&gt;='Variable index'!$K$36,N36&lt;'Variable index'!$K$37),'Variable index'!$L$36,AND(N36&gt;='Variable index'!$K$37,N36&lt;'Variable index'!$K$38),'Variable index'!$L$37,N36&gt;='Variable index'!$K$38,'Variable index'!$L$38),"")</f>
        <v/>
      </c>
      <c r="W36" s="240"/>
      <c r="X36" s="336" t="str" cm="1">
        <f t="array" ref="X36">IF(AND(W36&lt;&gt;"",N36&lt;&gt;""),_xlfn.IFS(W36="Yes",_xlfn.IFS(AND(N36&gt;='Variable index'!$K$35,N36&lt;'Variable index'!$K$36),'Variable index'!$M$35,AND(N36&gt;='Variable index'!$K$36,N36&lt;'Variable index'!$K$37),'Variable index'!$M$36,AND(N36&gt;='Variable index'!$K$37,N36&lt;'Variable index'!$K$38),'Variable index'!$M$37,N36&gt;='Variable index'!$K$38,'Variable index'!$M$38),W36="No",0),"")</f>
        <v/>
      </c>
      <c r="Y36" s="188"/>
      <c r="Z36" s="336" t="str" cm="1">
        <f t="array" ref="Z36">IF(Y36&lt;&gt;"",_xlfn.IFS(Y36='Variable index'!$J$53,SUM('Variable index'!$K$49:$M$49),Y36='Variable index'!$J$54,SUM('Variable index'!$L$49:$M$49),Y36='Variable index'!$J$55,SUM('Variable index'!$M$49)),"")</f>
        <v/>
      </c>
      <c r="AA36" s="337" t="str" cm="1">
        <f t="array" ref="AA36">IFERROR(N36*(1+_xlfn.XLOOKUP(O36,'Rawlinsons regional indices'!$A$2:$A$63,'Rawlinsons regional indices'!$C$2:$C$63)+Q36+_xlfn.IFS(P36&lt;'Variable index'!$J$17,'Variable index'!$K$14,AND(P36&gt;='Variable index'!$J$17,P36&lt;'Variable index'!$J$18),'Variable index'!$L$14,P36&gt;='Variable index'!$J$18,'Variable index'!$M$14))+(IF(R36&lt;&gt;"",INDEX('Variable index'!$E$57:$F$65,MATCH($R36,'Variable index'!$C$57:$C$65,0),$F$12),0)*S36)+(IF(T36&lt;&gt;"",INDEX('Variable index'!$E$68:$F$73,MATCH($T36,'Variable index'!$C$68:$C$73,0),$F$12),0)*U36)+(N36*V36)+(N36*X36)+(N36*Z36),"")</f>
        <v/>
      </c>
      <c r="AB36" s="303"/>
      <c r="AC36" s="337" t="str">
        <f t="shared" si="1"/>
        <v/>
      </c>
      <c r="AD36" s="340" t="str">
        <f t="shared" si="2"/>
        <v/>
      </c>
    </row>
    <row r="37" spans="4:30" ht="12" x14ac:dyDescent="0.25">
      <c r="D37" s="216">
        <f t="shared" si="0"/>
        <v>21</v>
      </c>
      <c r="E37" s="312"/>
      <c r="F37" s="187"/>
      <c r="G37" s="185"/>
      <c r="H37" s="260">
        <f>IFERROR(_xlfn.XLOOKUP(F37,Lists!$C$47:$C$63,Lists!$D$47:$D$63),0)</f>
        <v>0</v>
      </c>
      <c r="I37" s="96"/>
      <c r="J37" s="96"/>
      <c r="K37" s="331" t="str" cm="1">
        <f t="array" ref="K37">IFERROR(IF($H37=0,INDEX('Variable index'!$E$79:$F$126,MATCH($F37,'Variable index'!$C$79:$C$126,0),$F$12),INDEX('Variable index'!$E$79:$F$127,MATCH(_xlfn.CONCAT($F37," - ",$G37),'Variable index'!$C$79:$C$126,0),$F$12)),"")</f>
        <v/>
      </c>
      <c r="L37" s="332" t="str">
        <f>IFERROR(_xlfn.CONCAT("$ per ",IF($H37=0,_xlfn.XLOOKUP($F37,'Variable index'!$C$79:$C$126,'Variable index'!$D$79:$D$126),_xlfn.XLOOKUP(_xlfn.CONCAT($F37," - ",$G37),'Variable index'!$C$79:$C$126,'Variable index'!$D$79:$D$126))),"")</f>
        <v/>
      </c>
      <c r="M37" s="140"/>
      <c r="N37" s="343" t="str">
        <f>IFERROR(IF(TableStormwater[[#This Row],[Unit quantity]]="","",TableStormwater[[#This Row],[Unit rate]]*TableStormwater[[#This Row],[Unit quantity]]),"")</f>
        <v/>
      </c>
      <c r="O37" s="238" t="str">
        <f>IF(TableStormwater[[#This Row],[Type of infrastructure]]&lt;&gt;"",Summary!$F$8,"")</f>
        <v/>
      </c>
      <c r="P37" s="239" t="str">
        <f>IF(TableStormwater[[#This Row],[Type of infrastructure]]&lt;&gt;"",Summary!$F$9,"")</f>
        <v/>
      </c>
      <c r="Q37" s="241"/>
      <c r="R37" s="188"/>
      <c r="S37" s="140"/>
      <c r="T37" s="188"/>
      <c r="U37" s="140"/>
      <c r="V37" s="336" t="str" cm="1">
        <f t="array" ref="V37">IF(N37&lt;&gt;"",_xlfn.IFS(AND(N37&gt;='Variable index'!$K$35,N37&lt;'Variable index'!$K$36),'Variable index'!$L$35,AND(N37&gt;='Variable index'!$K$36,N37&lt;'Variable index'!$K$37),'Variable index'!$L$36,AND(N37&gt;='Variable index'!$K$37,N37&lt;'Variable index'!$K$38),'Variable index'!$L$37,N37&gt;='Variable index'!$K$38,'Variable index'!$L$38),"")</f>
        <v/>
      </c>
      <c r="W37" s="240"/>
      <c r="X37" s="336" t="str" cm="1">
        <f t="array" ref="X37">IF(AND(W37&lt;&gt;"",N37&lt;&gt;""),_xlfn.IFS(W37="Yes",_xlfn.IFS(AND(N37&gt;='Variable index'!$K$35,N37&lt;'Variable index'!$K$36),'Variable index'!$M$35,AND(N37&gt;='Variable index'!$K$36,N37&lt;'Variable index'!$K$37),'Variable index'!$M$36,AND(N37&gt;='Variable index'!$K$37,N37&lt;'Variable index'!$K$38),'Variable index'!$M$37,N37&gt;='Variable index'!$K$38,'Variable index'!$M$38),W37="No",0),"")</f>
        <v/>
      </c>
      <c r="Y37" s="188"/>
      <c r="Z37" s="336" t="str" cm="1">
        <f t="array" ref="Z37">IF(Y37&lt;&gt;"",_xlfn.IFS(Y37='Variable index'!$J$53,SUM('Variable index'!$K$49:$M$49),Y37='Variable index'!$J$54,SUM('Variable index'!$L$49:$M$49),Y37='Variable index'!$J$55,SUM('Variable index'!$M$49)),"")</f>
        <v/>
      </c>
      <c r="AA37" s="337" t="str" cm="1">
        <f t="array" ref="AA37">IFERROR(N37*(1+_xlfn.XLOOKUP(O37,'Rawlinsons regional indices'!$A$2:$A$63,'Rawlinsons regional indices'!$C$2:$C$63)+Q37+_xlfn.IFS(P37&lt;'Variable index'!$J$17,'Variable index'!$K$14,AND(P37&gt;='Variable index'!$J$17,P37&lt;'Variable index'!$J$18),'Variable index'!$L$14,P37&gt;='Variable index'!$J$18,'Variable index'!$M$14))+(IF(R37&lt;&gt;"",INDEX('Variable index'!$E$57:$F$65,MATCH($R37,'Variable index'!$C$57:$C$65,0),$F$12),0)*S37)+(IF(T37&lt;&gt;"",INDEX('Variable index'!$E$68:$F$73,MATCH($T37,'Variable index'!$C$68:$C$73,0),$F$12),0)*U37)+(N37*V37)+(N37*X37)+(N37*Z37),"")</f>
        <v/>
      </c>
      <c r="AB37" s="303"/>
      <c r="AC37" s="337" t="str">
        <f t="shared" si="1"/>
        <v/>
      </c>
      <c r="AD37" s="340" t="str">
        <f t="shared" si="2"/>
        <v/>
      </c>
    </row>
    <row r="38" spans="4:30" ht="12" x14ac:dyDescent="0.25">
      <c r="D38" s="216">
        <f t="shared" si="0"/>
        <v>22</v>
      </c>
      <c r="E38" s="312"/>
      <c r="F38" s="187"/>
      <c r="G38" s="185"/>
      <c r="H38" s="260">
        <f>IFERROR(_xlfn.XLOOKUP(F38,Lists!$C$47:$C$63,Lists!$D$47:$D$63),0)</f>
        <v>0</v>
      </c>
      <c r="I38" s="96"/>
      <c r="J38" s="96"/>
      <c r="K38" s="331" t="str" cm="1">
        <f t="array" ref="K38">IFERROR(IF($H38=0,INDEX('Variable index'!$E$79:$F$126,MATCH($F38,'Variable index'!$C$79:$C$126,0),$F$12),INDEX('Variable index'!$E$79:$F$127,MATCH(_xlfn.CONCAT($F38," - ",$G38),'Variable index'!$C$79:$C$126,0),$F$12)),"")</f>
        <v/>
      </c>
      <c r="L38" s="332" t="str">
        <f>IFERROR(_xlfn.CONCAT("$ per ",IF($H38=0,_xlfn.XLOOKUP($F38,'Variable index'!$C$79:$C$126,'Variable index'!$D$79:$D$126),_xlfn.XLOOKUP(_xlfn.CONCAT($F38," - ",$G38),'Variable index'!$C$79:$C$126,'Variable index'!$D$79:$D$126))),"")</f>
        <v/>
      </c>
      <c r="M38" s="140"/>
      <c r="N38" s="343" t="str">
        <f>IFERROR(IF(TableStormwater[[#This Row],[Unit quantity]]="","",TableStormwater[[#This Row],[Unit rate]]*TableStormwater[[#This Row],[Unit quantity]]),"")</f>
        <v/>
      </c>
      <c r="O38" s="238" t="str">
        <f>IF(TableStormwater[[#This Row],[Type of infrastructure]]&lt;&gt;"",Summary!$F$8,"")</f>
        <v/>
      </c>
      <c r="P38" s="239" t="str">
        <f>IF(TableStormwater[[#This Row],[Type of infrastructure]]&lt;&gt;"",Summary!$F$9,"")</f>
        <v/>
      </c>
      <c r="Q38" s="241"/>
      <c r="R38" s="188"/>
      <c r="S38" s="140"/>
      <c r="T38" s="188"/>
      <c r="U38" s="140"/>
      <c r="V38" s="336" t="str" cm="1">
        <f t="array" ref="V38">IF(N38&lt;&gt;"",_xlfn.IFS(AND(N38&gt;='Variable index'!$K$35,N38&lt;'Variable index'!$K$36),'Variable index'!$L$35,AND(N38&gt;='Variable index'!$K$36,N38&lt;'Variable index'!$K$37),'Variable index'!$L$36,AND(N38&gt;='Variable index'!$K$37,N38&lt;'Variable index'!$K$38),'Variable index'!$L$37,N38&gt;='Variable index'!$K$38,'Variable index'!$L$38),"")</f>
        <v/>
      </c>
      <c r="W38" s="240"/>
      <c r="X38" s="336" t="str" cm="1">
        <f t="array" ref="X38">IF(AND(W38&lt;&gt;"",N38&lt;&gt;""),_xlfn.IFS(W38="Yes",_xlfn.IFS(AND(N38&gt;='Variable index'!$K$35,N38&lt;'Variable index'!$K$36),'Variable index'!$M$35,AND(N38&gt;='Variable index'!$K$36,N38&lt;'Variable index'!$K$37),'Variable index'!$M$36,AND(N38&gt;='Variable index'!$K$37,N38&lt;'Variable index'!$K$38),'Variable index'!$M$37,N38&gt;='Variable index'!$K$38,'Variable index'!$M$38),W38="No",0),"")</f>
        <v/>
      </c>
      <c r="Y38" s="188"/>
      <c r="Z38" s="336" t="str" cm="1">
        <f t="array" ref="Z38">IF(Y38&lt;&gt;"",_xlfn.IFS(Y38='Variable index'!$J$53,SUM('Variable index'!$K$49:$M$49),Y38='Variable index'!$J$54,SUM('Variable index'!$L$49:$M$49),Y38='Variable index'!$J$55,SUM('Variable index'!$M$49)),"")</f>
        <v/>
      </c>
      <c r="AA38" s="337" t="str" cm="1">
        <f t="array" ref="AA38">IFERROR(N38*(1+_xlfn.XLOOKUP(O38,'Rawlinsons regional indices'!$A$2:$A$63,'Rawlinsons regional indices'!$C$2:$C$63)+Q38+_xlfn.IFS(P38&lt;'Variable index'!$J$17,'Variable index'!$K$14,AND(P38&gt;='Variable index'!$J$17,P38&lt;'Variable index'!$J$18),'Variable index'!$L$14,P38&gt;='Variable index'!$J$18,'Variable index'!$M$14))+(IF(R38&lt;&gt;"",INDEX('Variable index'!$E$57:$F$65,MATCH($R38,'Variable index'!$C$57:$C$65,0),$F$12),0)*S38)+(IF(T38&lt;&gt;"",INDEX('Variable index'!$E$68:$F$73,MATCH($T38,'Variable index'!$C$68:$C$73,0),$F$12),0)*U38)+(N38*V38)+(N38*X38)+(N38*Z38),"")</f>
        <v/>
      </c>
      <c r="AB38" s="303"/>
      <c r="AC38" s="337" t="str">
        <f t="shared" si="1"/>
        <v/>
      </c>
      <c r="AD38" s="340" t="str">
        <f t="shared" si="2"/>
        <v/>
      </c>
    </row>
    <row r="39" spans="4:30" ht="12" x14ac:dyDescent="0.25">
      <c r="D39" s="216">
        <f t="shared" si="0"/>
        <v>23</v>
      </c>
      <c r="E39" s="312"/>
      <c r="F39" s="187"/>
      <c r="G39" s="185"/>
      <c r="H39" s="260">
        <f>IFERROR(_xlfn.XLOOKUP(F39,Lists!$C$47:$C$63,Lists!$D$47:$D$63),0)</f>
        <v>0</v>
      </c>
      <c r="I39" s="96"/>
      <c r="J39" s="96"/>
      <c r="K39" s="331" t="str" cm="1">
        <f t="array" ref="K39">IFERROR(IF($H39=0,INDEX('Variable index'!$E$79:$F$126,MATCH($F39,'Variable index'!$C$79:$C$126,0),$F$12),INDEX('Variable index'!$E$79:$F$127,MATCH(_xlfn.CONCAT($F39," - ",$G39),'Variable index'!$C$79:$C$126,0),$F$12)),"")</f>
        <v/>
      </c>
      <c r="L39" s="332" t="str">
        <f>IFERROR(_xlfn.CONCAT("$ per ",IF($H39=0,_xlfn.XLOOKUP($F39,'Variable index'!$C$79:$C$126,'Variable index'!$D$79:$D$126),_xlfn.XLOOKUP(_xlfn.CONCAT($F39," - ",$G39),'Variable index'!$C$79:$C$126,'Variable index'!$D$79:$D$126))),"")</f>
        <v/>
      </c>
      <c r="M39" s="140"/>
      <c r="N39" s="343" t="str">
        <f>IFERROR(IF(TableStormwater[[#This Row],[Unit quantity]]="","",TableStormwater[[#This Row],[Unit rate]]*TableStormwater[[#This Row],[Unit quantity]]),"")</f>
        <v/>
      </c>
      <c r="O39" s="238" t="str">
        <f>IF(TableStormwater[[#This Row],[Type of infrastructure]]&lt;&gt;"",Summary!$F$8,"")</f>
        <v/>
      </c>
      <c r="P39" s="239" t="str">
        <f>IF(TableStormwater[[#This Row],[Type of infrastructure]]&lt;&gt;"",Summary!$F$9,"")</f>
        <v/>
      </c>
      <c r="Q39" s="241"/>
      <c r="R39" s="188"/>
      <c r="S39" s="140"/>
      <c r="T39" s="188"/>
      <c r="U39" s="140"/>
      <c r="V39" s="336" t="str" cm="1">
        <f t="array" ref="V39">IF(N39&lt;&gt;"",_xlfn.IFS(AND(N39&gt;='Variable index'!$K$35,N39&lt;'Variable index'!$K$36),'Variable index'!$L$35,AND(N39&gt;='Variable index'!$K$36,N39&lt;'Variable index'!$K$37),'Variable index'!$L$36,AND(N39&gt;='Variable index'!$K$37,N39&lt;'Variable index'!$K$38),'Variable index'!$L$37,N39&gt;='Variable index'!$K$38,'Variable index'!$L$38),"")</f>
        <v/>
      </c>
      <c r="W39" s="240"/>
      <c r="X39" s="336" t="str" cm="1">
        <f t="array" ref="X39">IF(AND(W39&lt;&gt;"",N39&lt;&gt;""),_xlfn.IFS(W39="Yes",_xlfn.IFS(AND(N39&gt;='Variable index'!$K$35,N39&lt;'Variable index'!$K$36),'Variable index'!$M$35,AND(N39&gt;='Variable index'!$K$36,N39&lt;'Variable index'!$K$37),'Variable index'!$M$36,AND(N39&gt;='Variable index'!$K$37,N39&lt;'Variable index'!$K$38),'Variable index'!$M$37,N39&gt;='Variable index'!$K$38,'Variable index'!$M$38),W39="No",0),"")</f>
        <v/>
      </c>
      <c r="Y39" s="188"/>
      <c r="Z39" s="336" t="str" cm="1">
        <f t="array" ref="Z39">IF(Y39&lt;&gt;"",_xlfn.IFS(Y39='Variable index'!$J$53,SUM('Variable index'!$K$49:$M$49),Y39='Variable index'!$J$54,SUM('Variable index'!$L$49:$M$49),Y39='Variable index'!$J$55,SUM('Variable index'!$M$49)),"")</f>
        <v/>
      </c>
      <c r="AA39" s="337" t="str" cm="1">
        <f t="array" ref="AA39">IFERROR(N39*(1+_xlfn.XLOOKUP(O39,'Rawlinsons regional indices'!$A$2:$A$63,'Rawlinsons regional indices'!$C$2:$C$63)+Q39+_xlfn.IFS(P39&lt;'Variable index'!$J$17,'Variable index'!$K$14,AND(P39&gt;='Variable index'!$J$17,P39&lt;'Variable index'!$J$18),'Variable index'!$L$14,P39&gt;='Variable index'!$J$18,'Variable index'!$M$14))+(IF(R39&lt;&gt;"",INDEX('Variable index'!$E$57:$F$65,MATCH($R39,'Variable index'!$C$57:$C$65,0),$F$12),0)*S39)+(IF(T39&lt;&gt;"",INDEX('Variable index'!$E$68:$F$73,MATCH($T39,'Variable index'!$C$68:$C$73,0),$F$12),0)*U39)+(N39*V39)+(N39*X39)+(N39*Z39),"")</f>
        <v/>
      </c>
      <c r="AB39" s="303"/>
      <c r="AC39" s="337" t="str">
        <f t="shared" si="1"/>
        <v/>
      </c>
      <c r="AD39" s="340" t="str">
        <f t="shared" si="2"/>
        <v/>
      </c>
    </row>
    <row r="40" spans="4:30" ht="12" x14ac:dyDescent="0.25">
      <c r="D40" s="216">
        <f t="shared" si="0"/>
        <v>24</v>
      </c>
      <c r="E40" s="312"/>
      <c r="F40" s="187"/>
      <c r="G40" s="185"/>
      <c r="H40" s="260">
        <f>IFERROR(_xlfn.XLOOKUP(F40,Lists!$C$47:$C$63,Lists!$D$47:$D$63),0)</f>
        <v>0</v>
      </c>
      <c r="I40" s="96"/>
      <c r="J40" s="96"/>
      <c r="K40" s="331" t="str" cm="1">
        <f t="array" ref="K40">IFERROR(IF($H40=0,INDEX('Variable index'!$E$79:$F$126,MATCH($F40,'Variable index'!$C$79:$C$126,0),$F$12),INDEX('Variable index'!$E$79:$F$127,MATCH(_xlfn.CONCAT($F40," - ",$G40),'Variable index'!$C$79:$C$126,0),$F$12)),"")</f>
        <v/>
      </c>
      <c r="L40" s="332" t="str">
        <f>IFERROR(_xlfn.CONCAT("$ per ",IF($H40=0,_xlfn.XLOOKUP($F40,'Variable index'!$C$79:$C$126,'Variable index'!$D$79:$D$126),_xlfn.XLOOKUP(_xlfn.CONCAT($F40," - ",$G40),'Variable index'!$C$79:$C$126,'Variable index'!$D$79:$D$126))),"")</f>
        <v/>
      </c>
      <c r="M40" s="140"/>
      <c r="N40" s="343" t="str">
        <f>IFERROR(IF(TableStormwater[[#This Row],[Unit quantity]]="","",TableStormwater[[#This Row],[Unit rate]]*TableStormwater[[#This Row],[Unit quantity]]),"")</f>
        <v/>
      </c>
      <c r="O40" s="238" t="str">
        <f>IF(TableStormwater[[#This Row],[Type of infrastructure]]&lt;&gt;"",Summary!$F$8,"")</f>
        <v/>
      </c>
      <c r="P40" s="239" t="str">
        <f>IF(TableStormwater[[#This Row],[Type of infrastructure]]&lt;&gt;"",Summary!$F$9,"")</f>
        <v/>
      </c>
      <c r="Q40" s="241"/>
      <c r="R40" s="188"/>
      <c r="S40" s="140"/>
      <c r="T40" s="188"/>
      <c r="U40" s="140"/>
      <c r="V40" s="336" t="str" cm="1">
        <f t="array" ref="V40">IF(N40&lt;&gt;"",_xlfn.IFS(AND(N40&gt;='Variable index'!$K$35,N40&lt;'Variable index'!$K$36),'Variable index'!$L$35,AND(N40&gt;='Variable index'!$K$36,N40&lt;'Variable index'!$K$37),'Variable index'!$L$36,AND(N40&gt;='Variable index'!$K$37,N40&lt;'Variable index'!$K$38),'Variable index'!$L$37,N40&gt;='Variable index'!$K$38,'Variable index'!$L$38),"")</f>
        <v/>
      </c>
      <c r="W40" s="240"/>
      <c r="X40" s="336" t="str" cm="1">
        <f t="array" ref="X40">IF(AND(W40&lt;&gt;"",N40&lt;&gt;""),_xlfn.IFS(W40="Yes",_xlfn.IFS(AND(N40&gt;='Variable index'!$K$35,N40&lt;'Variable index'!$K$36),'Variable index'!$M$35,AND(N40&gt;='Variable index'!$K$36,N40&lt;'Variable index'!$K$37),'Variable index'!$M$36,AND(N40&gt;='Variable index'!$K$37,N40&lt;'Variable index'!$K$38),'Variable index'!$M$37,N40&gt;='Variable index'!$K$38,'Variable index'!$M$38),W40="No",0),"")</f>
        <v/>
      </c>
      <c r="Y40" s="188"/>
      <c r="Z40" s="336" t="str" cm="1">
        <f t="array" ref="Z40">IF(Y40&lt;&gt;"",_xlfn.IFS(Y40='Variable index'!$J$53,SUM('Variable index'!$K$49:$M$49),Y40='Variable index'!$J$54,SUM('Variable index'!$L$49:$M$49),Y40='Variable index'!$J$55,SUM('Variable index'!$M$49)),"")</f>
        <v/>
      </c>
      <c r="AA40" s="337" t="str" cm="1">
        <f t="array" ref="AA40">IFERROR(N40*(1+_xlfn.XLOOKUP(O40,'Rawlinsons regional indices'!$A$2:$A$63,'Rawlinsons regional indices'!$C$2:$C$63)+Q40+_xlfn.IFS(P40&lt;'Variable index'!$J$17,'Variable index'!$K$14,AND(P40&gt;='Variable index'!$J$17,P40&lt;'Variable index'!$J$18),'Variable index'!$L$14,P40&gt;='Variable index'!$J$18,'Variable index'!$M$14))+(IF(R40&lt;&gt;"",INDEX('Variable index'!$E$57:$F$65,MATCH($R40,'Variable index'!$C$57:$C$65,0),$F$12),0)*S40)+(IF(T40&lt;&gt;"",INDEX('Variable index'!$E$68:$F$73,MATCH($T40,'Variable index'!$C$68:$C$73,0),$F$12),0)*U40)+(N40*V40)+(N40*X40)+(N40*Z40),"")</f>
        <v/>
      </c>
      <c r="AB40" s="303"/>
      <c r="AC40" s="337" t="str">
        <f t="shared" si="1"/>
        <v/>
      </c>
      <c r="AD40" s="340" t="str">
        <f t="shared" si="2"/>
        <v/>
      </c>
    </row>
    <row r="41" spans="4:30" ht="12" x14ac:dyDescent="0.25">
      <c r="D41" s="216">
        <f t="shared" si="0"/>
        <v>25</v>
      </c>
      <c r="E41" s="312"/>
      <c r="F41" s="187"/>
      <c r="G41" s="185"/>
      <c r="H41" s="260">
        <f>IFERROR(_xlfn.XLOOKUP(F41,Lists!$C$47:$C$63,Lists!$D$47:$D$63),0)</f>
        <v>0</v>
      </c>
      <c r="I41" s="96"/>
      <c r="J41" s="96"/>
      <c r="K41" s="331" t="str" cm="1">
        <f t="array" ref="K41">IFERROR(IF($H41=0,INDEX('Variable index'!$E$79:$F$126,MATCH($F41,'Variable index'!$C$79:$C$126,0),$F$12),INDEX('Variable index'!$E$79:$F$127,MATCH(_xlfn.CONCAT($F41," - ",$G41),'Variable index'!$C$79:$C$126,0),$F$12)),"")</f>
        <v/>
      </c>
      <c r="L41" s="332" t="str">
        <f>IFERROR(_xlfn.CONCAT("$ per ",IF($H41=0,_xlfn.XLOOKUP($F41,'Variable index'!$C$79:$C$126,'Variable index'!$D$79:$D$126),_xlfn.XLOOKUP(_xlfn.CONCAT($F41," - ",$G41),'Variable index'!$C$79:$C$126,'Variable index'!$D$79:$D$126))),"")</f>
        <v/>
      </c>
      <c r="M41" s="140"/>
      <c r="N41" s="343" t="str">
        <f>IFERROR(IF(TableStormwater[[#This Row],[Unit quantity]]="","",TableStormwater[[#This Row],[Unit rate]]*TableStormwater[[#This Row],[Unit quantity]]),"")</f>
        <v/>
      </c>
      <c r="O41" s="238" t="str">
        <f>IF(TableStormwater[[#This Row],[Type of infrastructure]]&lt;&gt;"",Summary!$F$8,"")</f>
        <v/>
      </c>
      <c r="P41" s="239" t="str">
        <f>IF(TableStormwater[[#This Row],[Type of infrastructure]]&lt;&gt;"",Summary!$F$9,"")</f>
        <v/>
      </c>
      <c r="Q41" s="241"/>
      <c r="R41" s="188"/>
      <c r="S41" s="140"/>
      <c r="T41" s="188"/>
      <c r="U41" s="140"/>
      <c r="V41" s="336" t="str" cm="1">
        <f t="array" ref="V41">IF(N41&lt;&gt;"",_xlfn.IFS(AND(N41&gt;='Variable index'!$K$35,N41&lt;'Variable index'!$K$36),'Variable index'!$L$35,AND(N41&gt;='Variable index'!$K$36,N41&lt;'Variable index'!$K$37),'Variable index'!$L$36,AND(N41&gt;='Variable index'!$K$37,N41&lt;'Variable index'!$K$38),'Variable index'!$L$37,N41&gt;='Variable index'!$K$38,'Variable index'!$L$38),"")</f>
        <v/>
      </c>
      <c r="W41" s="240"/>
      <c r="X41" s="336" t="str" cm="1">
        <f t="array" ref="X41">IF(AND(W41&lt;&gt;"",N41&lt;&gt;""),_xlfn.IFS(W41="Yes",_xlfn.IFS(AND(N41&gt;='Variable index'!$K$35,N41&lt;'Variable index'!$K$36),'Variable index'!$M$35,AND(N41&gt;='Variable index'!$K$36,N41&lt;'Variable index'!$K$37),'Variable index'!$M$36,AND(N41&gt;='Variable index'!$K$37,N41&lt;'Variable index'!$K$38),'Variable index'!$M$37,N41&gt;='Variable index'!$K$38,'Variable index'!$M$38),W41="No",0),"")</f>
        <v/>
      </c>
      <c r="Y41" s="188"/>
      <c r="Z41" s="336" t="str" cm="1">
        <f t="array" ref="Z41">IF(Y41&lt;&gt;"",_xlfn.IFS(Y41='Variable index'!$J$53,SUM('Variable index'!$K$49:$M$49),Y41='Variable index'!$J$54,SUM('Variable index'!$L$49:$M$49),Y41='Variable index'!$J$55,SUM('Variable index'!$M$49)),"")</f>
        <v/>
      </c>
      <c r="AA41" s="337" t="str" cm="1">
        <f t="array" ref="AA41">IFERROR(N41*(1+_xlfn.XLOOKUP(O41,'Rawlinsons regional indices'!$A$2:$A$63,'Rawlinsons regional indices'!$C$2:$C$63)+Q41+_xlfn.IFS(P41&lt;'Variable index'!$J$17,'Variable index'!$K$14,AND(P41&gt;='Variable index'!$J$17,P41&lt;'Variable index'!$J$18),'Variable index'!$L$14,P41&gt;='Variable index'!$J$18,'Variable index'!$M$14))+(IF(R41&lt;&gt;"",INDEX('Variable index'!$E$57:$F$65,MATCH($R41,'Variable index'!$C$57:$C$65,0),$F$12),0)*S41)+(IF(T41&lt;&gt;"",INDEX('Variable index'!$E$68:$F$73,MATCH($T41,'Variable index'!$C$68:$C$73,0),$F$12),0)*U41)+(N41*V41)+(N41*X41)+(N41*Z41),"")</f>
        <v/>
      </c>
      <c r="AB41" s="303"/>
      <c r="AC41" s="337" t="str">
        <f t="shared" si="1"/>
        <v/>
      </c>
      <c r="AD41" s="340" t="str">
        <f t="shared" si="2"/>
        <v/>
      </c>
    </row>
    <row r="42" spans="4:30" ht="12" x14ac:dyDescent="0.25">
      <c r="D42" s="216">
        <f t="shared" si="0"/>
        <v>26</v>
      </c>
      <c r="E42" s="312"/>
      <c r="F42" s="187"/>
      <c r="G42" s="185"/>
      <c r="H42" s="260">
        <f>IFERROR(_xlfn.XLOOKUP(F42,Lists!$C$47:$C$63,Lists!$D$47:$D$63),0)</f>
        <v>0</v>
      </c>
      <c r="I42" s="96"/>
      <c r="J42" s="96"/>
      <c r="K42" s="331" t="str" cm="1">
        <f t="array" ref="K42">IFERROR(IF($H42=0,INDEX('Variable index'!$E$79:$F$126,MATCH($F42,'Variable index'!$C$79:$C$126,0),$F$12),INDEX('Variable index'!$E$79:$F$127,MATCH(_xlfn.CONCAT($F42," - ",$G42),'Variable index'!$C$79:$C$126,0),$F$12)),"")</f>
        <v/>
      </c>
      <c r="L42" s="332" t="str">
        <f>IFERROR(_xlfn.CONCAT("$ per ",IF($H42=0,_xlfn.XLOOKUP($F42,'Variable index'!$C$79:$C$126,'Variable index'!$D$79:$D$126),_xlfn.XLOOKUP(_xlfn.CONCAT($F42," - ",$G42),'Variable index'!$C$79:$C$126,'Variable index'!$D$79:$D$126))),"")</f>
        <v/>
      </c>
      <c r="M42" s="140"/>
      <c r="N42" s="343" t="str">
        <f>IFERROR(IF(TableStormwater[[#This Row],[Unit quantity]]="","",TableStormwater[[#This Row],[Unit rate]]*TableStormwater[[#This Row],[Unit quantity]]),"")</f>
        <v/>
      </c>
      <c r="O42" s="238" t="str">
        <f>IF(TableStormwater[[#This Row],[Type of infrastructure]]&lt;&gt;"",Summary!$F$8,"")</f>
        <v/>
      </c>
      <c r="P42" s="239" t="str">
        <f>IF(TableStormwater[[#This Row],[Type of infrastructure]]&lt;&gt;"",Summary!$F$9,"")</f>
        <v/>
      </c>
      <c r="Q42" s="241"/>
      <c r="R42" s="188"/>
      <c r="S42" s="140"/>
      <c r="T42" s="188"/>
      <c r="U42" s="140"/>
      <c r="V42" s="336" t="str" cm="1">
        <f t="array" ref="V42">IF(N42&lt;&gt;"",_xlfn.IFS(AND(N42&gt;='Variable index'!$K$35,N42&lt;'Variable index'!$K$36),'Variable index'!$L$35,AND(N42&gt;='Variable index'!$K$36,N42&lt;'Variable index'!$K$37),'Variable index'!$L$36,AND(N42&gt;='Variable index'!$K$37,N42&lt;'Variable index'!$K$38),'Variable index'!$L$37,N42&gt;='Variable index'!$K$38,'Variable index'!$L$38),"")</f>
        <v/>
      </c>
      <c r="W42" s="240"/>
      <c r="X42" s="336" t="str" cm="1">
        <f t="array" ref="X42">IF(AND(W42&lt;&gt;"",N42&lt;&gt;""),_xlfn.IFS(W42="Yes",_xlfn.IFS(AND(N42&gt;='Variable index'!$K$35,N42&lt;'Variable index'!$K$36),'Variable index'!$M$35,AND(N42&gt;='Variable index'!$K$36,N42&lt;'Variable index'!$K$37),'Variable index'!$M$36,AND(N42&gt;='Variable index'!$K$37,N42&lt;'Variable index'!$K$38),'Variable index'!$M$37,N42&gt;='Variable index'!$K$38,'Variable index'!$M$38),W42="No",0),"")</f>
        <v/>
      </c>
      <c r="Y42" s="188"/>
      <c r="Z42" s="336" t="str" cm="1">
        <f t="array" ref="Z42">IF(Y42&lt;&gt;"",_xlfn.IFS(Y42='Variable index'!$J$53,SUM('Variable index'!$K$49:$M$49),Y42='Variable index'!$J$54,SUM('Variable index'!$L$49:$M$49),Y42='Variable index'!$J$55,SUM('Variable index'!$M$49)),"")</f>
        <v/>
      </c>
      <c r="AA42" s="337" t="str" cm="1">
        <f t="array" ref="AA42">IFERROR(N42*(1+_xlfn.XLOOKUP(O42,'Rawlinsons regional indices'!$A$2:$A$63,'Rawlinsons regional indices'!$C$2:$C$63)+Q42+_xlfn.IFS(P42&lt;'Variable index'!$J$17,'Variable index'!$K$14,AND(P42&gt;='Variable index'!$J$17,P42&lt;'Variable index'!$J$18),'Variable index'!$L$14,P42&gt;='Variable index'!$J$18,'Variable index'!$M$14))+(IF(R42&lt;&gt;"",INDEX('Variable index'!$E$57:$F$65,MATCH($R42,'Variable index'!$C$57:$C$65,0),$F$12),0)*S42)+(IF(T42&lt;&gt;"",INDEX('Variable index'!$E$68:$F$73,MATCH($T42,'Variable index'!$C$68:$C$73,0),$F$12),0)*U42)+(N42*V42)+(N42*X42)+(N42*Z42),"")</f>
        <v/>
      </c>
      <c r="AB42" s="303"/>
      <c r="AC42" s="337" t="str">
        <f t="shared" si="1"/>
        <v/>
      </c>
      <c r="AD42" s="340" t="str">
        <f t="shared" si="2"/>
        <v/>
      </c>
    </row>
    <row r="43" spans="4:30" ht="12" x14ac:dyDescent="0.25">
      <c r="D43" s="216">
        <f t="shared" si="0"/>
        <v>27</v>
      </c>
      <c r="E43" s="312"/>
      <c r="F43" s="187"/>
      <c r="G43" s="185"/>
      <c r="H43" s="260">
        <f>IFERROR(_xlfn.XLOOKUP(F43,Lists!$C$47:$C$63,Lists!$D$47:$D$63),0)</f>
        <v>0</v>
      </c>
      <c r="I43" s="96"/>
      <c r="J43" s="96"/>
      <c r="K43" s="331" t="str" cm="1">
        <f t="array" ref="K43">IFERROR(IF($H43=0,INDEX('Variable index'!$E$79:$F$126,MATCH($F43,'Variable index'!$C$79:$C$126,0),$F$12),INDEX('Variable index'!$E$79:$F$127,MATCH(_xlfn.CONCAT($F43," - ",$G43),'Variable index'!$C$79:$C$126,0),$F$12)),"")</f>
        <v/>
      </c>
      <c r="L43" s="332" t="str">
        <f>IFERROR(_xlfn.CONCAT("$ per ",IF($H43=0,_xlfn.XLOOKUP($F43,'Variable index'!$C$79:$C$126,'Variable index'!$D$79:$D$126),_xlfn.XLOOKUP(_xlfn.CONCAT($F43," - ",$G43),'Variable index'!$C$79:$C$126,'Variable index'!$D$79:$D$126))),"")</f>
        <v/>
      </c>
      <c r="M43" s="140"/>
      <c r="N43" s="343" t="str">
        <f>IFERROR(IF(TableStormwater[[#This Row],[Unit quantity]]="","",TableStormwater[[#This Row],[Unit rate]]*TableStormwater[[#This Row],[Unit quantity]]),"")</f>
        <v/>
      </c>
      <c r="O43" s="238" t="str">
        <f>IF(TableStormwater[[#This Row],[Type of infrastructure]]&lt;&gt;"",Summary!$F$8,"")</f>
        <v/>
      </c>
      <c r="P43" s="239" t="str">
        <f>IF(TableStormwater[[#This Row],[Type of infrastructure]]&lt;&gt;"",Summary!$F$9,"")</f>
        <v/>
      </c>
      <c r="Q43" s="241"/>
      <c r="R43" s="188"/>
      <c r="S43" s="140"/>
      <c r="T43" s="188"/>
      <c r="U43" s="140"/>
      <c r="V43" s="336" t="str" cm="1">
        <f t="array" ref="V43">IF(N43&lt;&gt;"",_xlfn.IFS(AND(N43&gt;='Variable index'!$K$35,N43&lt;'Variable index'!$K$36),'Variable index'!$L$35,AND(N43&gt;='Variable index'!$K$36,N43&lt;'Variable index'!$K$37),'Variable index'!$L$36,AND(N43&gt;='Variable index'!$K$37,N43&lt;'Variable index'!$K$38),'Variable index'!$L$37,N43&gt;='Variable index'!$K$38,'Variable index'!$L$38),"")</f>
        <v/>
      </c>
      <c r="W43" s="240"/>
      <c r="X43" s="336" t="str" cm="1">
        <f t="array" ref="X43">IF(AND(W43&lt;&gt;"",N43&lt;&gt;""),_xlfn.IFS(W43="Yes",_xlfn.IFS(AND(N43&gt;='Variable index'!$K$35,N43&lt;'Variable index'!$K$36),'Variable index'!$M$35,AND(N43&gt;='Variable index'!$K$36,N43&lt;'Variable index'!$K$37),'Variable index'!$M$36,AND(N43&gt;='Variable index'!$K$37,N43&lt;'Variable index'!$K$38),'Variable index'!$M$37,N43&gt;='Variable index'!$K$38,'Variable index'!$M$38),W43="No",0),"")</f>
        <v/>
      </c>
      <c r="Y43" s="188"/>
      <c r="Z43" s="336" t="str" cm="1">
        <f t="array" ref="Z43">IF(Y43&lt;&gt;"",_xlfn.IFS(Y43='Variable index'!$J$53,SUM('Variable index'!$K$49:$M$49),Y43='Variable index'!$J$54,SUM('Variable index'!$L$49:$M$49),Y43='Variable index'!$J$55,SUM('Variable index'!$M$49)),"")</f>
        <v/>
      </c>
      <c r="AA43" s="337" t="str" cm="1">
        <f t="array" ref="AA43">IFERROR(N43*(1+_xlfn.XLOOKUP(O43,'Rawlinsons regional indices'!$A$2:$A$63,'Rawlinsons regional indices'!$C$2:$C$63)+Q43+_xlfn.IFS(P43&lt;'Variable index'!$J$17,'Variable index'!$K$14,AND(P43&gt;='Variable index'!$J$17,P43&lt;'Variable index'!$J$18),'Variable index'!$L$14,P43&gt;='Variable index'!$J$18,'Variable index'!$M$14))+(IF(R43&lt;&gt;"",INDEX('Variable index'!$E$57:$F$65,MATCH($R43,'Variable index'!$C$57:$C$65,0),$F$12),0)*S43)+(IF(T43&lt;&gt;"",INDEX('Variable index'!$E$68:$F$73,MATCH($T43,'Variable index'!$C$68:$C$73,0),$F$12),0)*U43)+(N43*V43)+(N43*X43)+(N43*Z43),"")</f>
        <v/>
      </c>
      <c r="AB43" s="303"/>
      <c r="AC43" s="337" t="str">
        <f t="shared" si="1"/>
        <v/>
      </c>
      <c r="AD43" s="340" t="str">
        <f t="shared" si="2"/>
        <v/>
      </c>
    </row>
    <row r="44" spans="4:30" ht="12" x14ac:dyDescent="0.25">
      <c r="D44" s="216">
        <f t="shared" si="0"/>
        <v>28</v>
      </c>
      <c r="E44" s="312"/>
      <c r="F44" s="187"/>
      <c r="G44" s="185"/>
      <c r="H44" s="260">
        <f>IFERROR(_xlfn.XLOOKUP(F44,Lists!$C$47:$C$63,Lists!$D$47:$D$63),0)</f>
        <v>0</v>
      </c>
      <c r="I44" s="96"/>
      <c r="J44" s="96"/>
      <c r="K44" s="331" t="str" cm="1">
        <f t="array" ref="K44">IFERROR(IF($H44=0,INDEX('Variable index'!$E$79:$F$126,MATCH($F44,'Variable index'!$C$79:$C$126,0),$F$12),INDEX('Variable index'!$E$79:$F$127,MATCH(_xlfn.CONCAT($F44," - ",$G44),'Variable index'!$C$79:$C$126,0),$F$12)),"")</f>
        <v/>
      </c>
      <c r="L44" s="332" t="str">
        <f>IFERROR(_xlfn.CONCAT("$ per ",IF($H44=0,_xlfn.XLOOKUP($F44,'Variable index'!$C$79:$C$126,'Variable index'!$D$79:$D$126),_xlfn.XLOOKUP(_xlfn.CONCAT($F44," - ",$G44),'Variable index'!$C$79:$C$126,'Variable index'!$D$79:$D$126))),"")</f>
        <v/>
      </c>
      <c r="M44" s="140"/>
      <c r="N44" s="343" t="str">
        <f>IFERROR(IF(TableStormwater[[#This Row],[Unit quantity]]="","",TableStormwater[[#This Row],[Unit rate]]*TableStormwater[[#This Row],[Unit quantity]]),"")</f>
        <v/>
      </c>
      <c r="O44" s="238" t="str">
        <f>IF(TableStormwater[[#This Row],[Type of infrastructure]]&lt;&gt;"",Summary!$F$8,"")</f>
        <v/>
      </c>
      <c r="P44" s="239" t="str">
        <f>IF(TableStormwater[[#This Row],[Type of infrastructure]]&lt;&gt;"",Summary!$F$9,"")</f>
        <v/>
      </c>
      <c r="Q44" s="241"/>
      <c r="R44" s="188"/>
      <c r="S44" s="140"/>
      <c r="T44" s="188"/>
      <c r="U44" s="140"/>
      <c r="V44" s="336" t="str" cm="1">
        <f t="array" ref="V44">IF(N44&lt;&gt;"",_xlfn.IFS(AND(N44&gt;='Variable index'!$K$35,N44&lt;'Variable index'!$K$36),'Variable index'!$L$35,AND(N44&gt;='Variable index'!$K$36,N44&lt;'Variable index'!$K$37),'Variable index'!$L$36,AND(N44&gt;='Variable index'!$K$37,N44&lt;'Variable index'!$K$38),'Variable index'!$L$37,N44&gt;='Variable index'!$K$38,'Variable index'!$L$38),"")</f>
        <v/>
      </c>
      <c r="W44" s="240"/>
      <c r="X44" s="336" t="str" cm="1">
        <f t="array" ref="X44">IF(AND(W44&lt;&gt;"",N44&lt;&gt;""),_xlfn.IFS(W44="Yes",_xlfn.IFS(AND(N44&gt;='Variable index'!$K$35,N44&lt;'Variable index'!$K$36),'Variable index'!$M$35,AND(N44&gt;='Variable index'!$K$36,N44&lt;'Variable index'!$K$37),'Variable index'!$M$36,AND(N44&gt;='Variable index'!$K$37,N44&lt;'Variable index'!$K$38),'Variable index'!$M$37,N44&gt;='Variable index'!$K$38,'Variable index'!$M$38),W44="No",0),"")</f>
        <v/>
      </c>
      <c r="Y44" s="188"/>
      <c r="Z44" s="336" t="str" cm="1">
        <f t="array" ref="Z44">IF(Y44&lt;&gt;"",_xlfn.IFS(Y44='Variable index'!$J$53,SUM('Variable index'!$K$49:$M$49),Y44='Variable index'!$J$54,SUM('Variable index'!$L$49:$M$49),Y44='Variable index'!$J$55,SUM('Variable index'!$M$49)),"")</f>
        <v/>
      </c>
      <c r="AA44" s="337" t="str" cm="1">
        <f t="array" ref="AA44">IFERROR(N44*(1+_xlfn.XLOOKUP(O44,'Rawlinsons regional indices'!$A$2:$A$63,'Rawlinsons regional indices'!$C$2:$C$63)+Q44+_xlfn.IFS(P44&lt;'Variable index'!$J$17,'Variable index'!$K$14,AND(P44&gt;='Variable index'!$J$17,P44&lt;'Variable index'!$J$18),'Variable index'!$L$14,P44&gt;='Variable index'!$J$18,'Variable index'!$M$14))+(IF(R44&lt;&gt;"",INDEX('Variable index'!$E$57:$F$65,MATCH($R44,'Variable index'!$C$57:$C$65,0),$F$12),0)*S44)+(IF(T44&lt;&gt;"",INDEX('Variable index'!$E$68:$F$73,MATCH($T44,'Variable index'!$C$68:$C$73,0),$F$12),0)*U44)+(N44*V44)+(N44*X44)+(N44*Z44),"")</f>
        <v/>
      </c>
      <c r="AB44" s="303"/>
      <c r="AC44" s="337" t="str">
        <f t="shared" si="1"/>
        <v/>
      </c>
      <c r="AD44" s="340" t="str">
        <f t="shared" si="2"/>
        <v/>
      </c>
    </row>
    <row r="45" spans="4:30" ht="12" x14ac:dyDescent="0.25">
      <c r="D45" s="216">
        <f t="shared" si="0"/>
        <v>29</v>
      </c>
      <c r="E45" s="312"/>
      <c r="F45" s="187"/>
      <c r="G45" s="185"/>
      <c r="H45" s="260">
        <f>IFERROR(_xlfn.XLOOKUP(F45,Lists!$C$47:$C$63,Lists!$D$47:$D$63),0)</f>
        <v>0</v>
      </c>
      <c r="I45" s="96"/>
      <c r="J45" s="96"/>
      <c r="K45" s="331" t="str" cm="1">
        <f t="array" ref="K45">IFERROR(IF($H45=0,INDEX('Variable index'!$E$79:$F$126,MATCH($F45,'Variable index'!$C$79:$C$126,0),$F$12),INDEX('Variable index'!$E$79:$F$127,MATCH(_xlfn.CONCAT($F45," - ",$G45),'Variable index'!$C$79:$C$126,0),$F$12)),"")</f>
        <v/>
      </c>
      <c r="L45" s="332" t="str">
        <f>IFERROR(_xlfn.CONCAT("$ per ",IF($H45=0,_xlfn.XLOOKUP($F45,'Variable index'!$C$79:$C$126,'Variable index'!$D$79:$D$126),_xlfn.XLOOKUP(_xlfn.CONCAT($F45," - ",$G45),'Variable index'!$C$79:$C$126,'Variable index'!$D$79:$D$126))),"")</f>
        <v/>
      </c>
      <c r="M45" s="140"/>
      <c r="N45" s="343" t="str">
        <f>IFERROR(IF(TableStormwater[[#This Row],[Unit quantity]]="","",TableStormwater[[#This Row],[Unit rate]]*TableStormwater[[#This Row],[Unit quantity]]),"")</f>
        <v/>
      </c>
      <c r="O45" s="238" t="str">
        <f>IF(TableStormwater[[#This Row],[Type of infrastructure]]&lt;&gt;"",Summary!$F$8,"")</f>
        <v/>
      </c>
      <c r="P45" s="239" t="str">
        <f>IF(TableStormwater[[#This Row],[Type of infrastructure]]&lt;&gt;"",Summary!$F$9,"")</f>
        <v/>
      </c>
      <c r="Q45" s="241"/>
      <c r="R45" s="188"/>
      <c r="S45" s="140"/>
      <c r="T45" s="188"/>
      <c r="U45" s="140"/>
      <c r="V45" s="336" t="str" cm="1">
        <f t="array" ref="V45">IF(N45&lt;&gt;"",_xlfn.IFS(AND(N45&gt;='Variable index'!$K$35,N45&lt;'Variable index'!$K$36),'Variable index'!$L$35,AND(N45&gt;='Variable index'!$K$36,N45&lt;'Variable index'!$K$37),'Variable index'!$L$36,AND(N45&gt;='Variable index'!$K$37,N45&lt;'Variable index'!$K$38),'Variable index'!$L$37,N45&gt;='Variable index'!$K$38,'Variable index'!$L$38),"")</f>
        <v/>
      </c>
      <c r="W45" s="240"/>
      <c r="X45" s="336" t="str" cm="1">
        <f t="array" ref="X45">IF(AND(W45&lt;&gt;"",N45&lt;&gt;""),_xlfn.IFS(W45="Yes",_xlfn.IFS(AND(N45&gt;='Variable index'!$K$35,N45&lt;'Variable index'!$K$36),'Variable index'!$M$35,AND(N45&gt;='Variable index'!$K$36,N45&lt;'Variable index'!$K$37),'Variable index'!$M$36,AND(N45&gt;='Variable index'!$K$37,N45&lt;'Variable index'!$K$38),'Variable index'!$M$37,N45&gt;='Variable index'!$K$38,'Variable index'!$M$38),W45="No",0),"")</f>
        <v/>
      </c>
      <c r="Y45" s="188"/>
      <c r="Z45" s="336" t="str" cm="1">
        <f t="array" ref="Z45">IF(Y45&lt;&gt;"",_xlfn.IFS(Y45='Variable index'!$J$53,SUM('Variable index'!$K$49:$M$49),Y45='Variable index'!$J$54,SUM('Variable index'!$L$49:$M$49),Y45='Variable index'!$J$55,SUM('Variable index'!$M$49)),"")</f>
        <v/>
      </c>
      <c r="AA45" s="337" t="str" cm="1">
        <f t="array" ref="AA45">IFERROR(N45*(1+_xlfn.XLOOKUP(O45,'Rawlinsons regional indices'!$A$2:$A$63,'Rawlinsons regional indices'!$C$2:$C$63)+Q45+_xlfn.IFS(P45&lt;'Variable index'!$J$17,'Variable index'!$K$14,AND(P45&gt;='Variable index'!$J$17,P45&lt;'Variable index'!$J$18),'Variable index'!$L$14,P45&gt;='Variable index'!$J$18,'Variable index'!$M$14))+(IF(R45&lt;&gt;"",INDEX('Variable index'!$E$57:$F$65,MATCH($R45,'Variable index'!$C$57:$C$65,0),$F$12),0)*S45)+(IF(T45&lt;&gt;"",INDEX('Variable index'!$E$68:$F$73,MATCH($T45,'Variable index'!$C$68:$C$73,0),$F$12),0)*U45)+(N45*V45)+(N45*X45)+(N45*Z45),"")</f>
        <v/>
      </c>
      <c r="AB45" s="303"/>
      <c r="AC45" s="337" t="str">
        <f t="shared" si="1"/>
        <v/>
      </c>
      <c r="AD45" s="340" t="str">
        <f t="shared" si="2"/>
        <v/>
      </c>
    </row>
    <row r="46" spans="4:30" ht="12" x14ac:dyDescent="0.25">
      <c r="D46" s="216">
        <f t="shared" si="0"/>
        <v>30</v>
      </c>
      <c r="E46" s="312"/>
      <c r="F46" s="187"/>
      <c r="G46" s="185"/>
      <c r="H46" s="260">
        <f>IFERROR(_xlfn.XLOOKUP(F46,Lists!$C$47:$C$63,Lists!$D$47:$D$63),0)</f>
        <v>0</v>
      </c>
      <c r="I46" s="96"/>
      <c r="J46" s="96"/>
      <c r="K46" s="331" t="str" cm="1">
        <f t="array" ref="K46">IFERROR(IF($H46=0,INDEX('Variable index'!$E$79:$F$126,MATCH($F46,'Variable index'!$C$79:$C$126,0),$F$12),INDEX('Variable index'!$E$79:$F$127,MATCH(_xlfn.CONCAT($F46," - ",$G46),'Variable index'!$C$79:$C$126,0),$F$12)),"")</f>
        <v/>
      </c>
      <c r="L46" s="332" t="str">
        <f>IFERROR(_xlfn.CONCAT("$ per ",IF($H46=0,_xlfn.XLOOKUP($F46,'Variable index'!$C$79:$C$126,'Variable index'!$D$79:$D$126),_xlfn.XLOOKUP(_xlfn.CONCAT($F46," - ",$G46),'Variable index'!$C$79:$C$126,'Variable index'!$D$79:$D$126))),"")</f>
        <v/>
      </c>
      <c r="M46" s="140"/>
      <c r="N46" s="343" t="str">
        <f>IFERROR(IF(TableStormwater[[#This Row],[Unit quantity]]="","",TableStormwater[[#This Row],[Unit rate]]*TableStormwater[[#This Row],[Unit quantity]]),"")</f>
        <v/>
      </c>
      <c r="O46" s="238" t="str">
        <f>IF(TableStormwater[[#This Row],[Type of infrastructure]]&lt;&gt;"",Summary!$F$8,"")</f>
        <v/>
      </c>
      <c r="P46" s="239" t="str">
        <f>IF(TableStormwater[[#This Row],[Type of infrastructure]]&lt;&gt;"",Summary!$F$9,"")</f>
        <v/>
      </c>
      <c r="Q46" s="241"/>
      <c r="R46" s="188"/>
      <c r="S46" s="140"/>
      <c r="T46" s="188"/>
      <c r="U46" s="140"/>
      <c r="V46" s="336" t="str" cm="1">
        <f t="array" ref="V46">IF(N46&lt;&gt;"",_xlfn.IFS(AND(N46&gt;='Variable index'!$K$35,N46&lt;'Variable index'!$K$36),'Variable index'!$L$35,AND(N46&gt;='Variable index'!$K$36,N46&lt;'Variable index'!$K$37),'Variable index'!$L$36,AND(N46&gt;='Variable index'!$K$37,N46&lt;'Variable index'!$K$38),'Variable index'!$L$37,N46&gt;='Variable index'!$K$38,'Variable index'!$L$38),"")</f>
        <v/>
      </c>
      <c r="W46" s="240"/>
      <c r="X46" s="336" t="str" cm="1">
        <f t="array" ref="X46">IF(AND(W46&lt;&gt;"",N46&lt;&gt;""),_xlfn.IFS(W46="Yes",_xlfn.IFS(AND(N46&gt;='Variable index'!$K$35,N46&lt;'Variable index'!$K$36),'Variable index'!$M$35,AND(N46&gt;='Variable index'!$K$36,N46&lt;'Variable index'!$K$37),'Variable index'!$M$36,AND(N46&gt;='Variable index'!$K$37,N46&lt;'Variable index'!$K$38),'Variable index'!$M$37,N46&gt;='Variable index'!$K$38,'Variable index'!$M$38),W46="No",0),"")</f>
        <v/>
      </c>
      <c r="Y46" s="188"/>
      <c r="Z46" s="336" t="str" cm="1">
        <f t="array" ref="Z46">IF(Y46&lt;&gt;"",_xlfn.IFS(Y46='Variable index'!$J$53,SUM('Variable index'!$K$49:$M$49),Y46='Variable index'!$J$54,SUM('Variable index'!$L$49:$M$49),Y46='Variable index'!$J$55,SUM('Variable index'!$M$49)),"")</f>
        <v/>
      </c>
      <c r="AA46" s="337" t="str" cm="1">
        <f t="array" ref="AA46">IFERROR(N46*(1+_xlfn.XLOOKUP(O46,'Rawlinsons regional indices'!$A$2:$A$63,'Rawlinsons regional indices'!$C$2:$C$63)+Q46+_xlfn.IFS(P46&lt;'Variable index'!$J$17,'Variable index'!$K$14,AND(P46&gt;='Variable index'!$J$17,P46&lt;'Variable index'!$J$18),'Variable index'!$L$14,P46&gt;='Variable index'!$J$18,'Variable index'!$M$14))+(IF(R46&lt;&gt;"",INDEX('Variable index'!$E$57:$F$65,MATCH($R46,'Variable index'!$C$57:$C$65,0),$F$12),0)*S46)+(IF(T46&lt;&gt;"",INDEX('Variable index'!$E$68:$F$73,MATCH($T46,'Variable index'!$C$68:$C$73,0),$F$12),0)*U46)+(N46*V46)+(N46*X46)+(N46*Z46),"")</f>
        <v/>
      </c>
      <c r="AB46" s="303"/>
      <c r="AC46" s="337" t="str">
        <f t="shared" si="1"/>
        <v/>
      </c>
      <c r="AD46" s="340" t="str">
        <f t="shared" si="2"/>
        <v/>
      </c>
    </row>
    <row r="47" spans="4:30" ht="12" x14ac:dyDescent="0.25">
      <c r="D47" s="216">
        <f t="shared" si="0"/>
        <v>31</v>
      </c>
      <c r="E47" s="312"/>
      <c r="F47" s="187"/>
      <c r="G47" s="185"/>
      <c r="H47" s="260">
        <f>IFERROR(_xlfn.XLOOKUP(F47,Lists!$C$47:$C$63,Lists!$D$47:$D$63),0)</f>
        <v>0</v>
      </c>
      <c r="I47" s="96"/>
      <c r="J47" s="96"/>
      <c r="K47" s="331" t="str" cm="1">
        <f t="array" ref="K47">IFERROR(IF($H47=0,INDEX('Variable index'!$E$79:$F$126,MATCH($F47,'Variable index'!$C$79:$C$126,0),$F$12),INDEX('Variable index'!$E$79:$F$127,MATCH(_xlfn.CONCAT($F47," - ",$G47),'Variable index'!$C$79:$C$126,0),$F$12)),"")</f>
        <v/>
      </c>
      <c r="L47" s="332" t="str">
        <f>IFERROR(_xlfn.CONCAT("$ per ",IF($H47=0,_xlfn.XLOOKUP($F47,'Variable index'!$C$79:$C$126,'Variable index'!$D$79:$D$126),_xlfn.XLOOKUP(_xlfn.CONCAT($F47," - ",$G47),'Variable index'!$C$79:$C$126,'Variable index'!$D$79:$D$126))),"")</f>
        <v/>
      </c>
      <c r="M47" s="140"/>
      <c r="N47" s="343" t="str">
        <f>IFERROR(IF(TableStormwater[[#This Row],[Unit quantity]]="","",TableStormwater[[#This Row],[Unit rate]]*TableStormwater[[#This Row],[Unit quantity]]),"")</f>
        <v/>
      </c>
      <c r="O47" s="238" t="str">
        <f>IF(TableStormwater[[#This Row],[Type of infrastructure]]&lt;&gt;"",Summary!$F$8,"")</f>
        <v/>
      </c>
      <c r="P47" s="239" t="str">
        <f>IF(TableStormwater[[#This Row],[Type of infrastructure]]&lt;&gt;"",Summary!$F$9,"")</f>
        <v/>
      </c>
      <c r="Q47" s="241"/>
      <c r="R47" s="188"/>
      <c r="S47" s="140"/>
      <c r="T47" s="188"/>
      <c r="U47" s="140"/>
      <c r="V47" s="336" t="str" cm="1">
        <f t="array" ref="V47">IF(N47&lt;&gt;"",_xlfn.IFS(AND(N47&gt;='Variable index'!$K$35,N47&lt;'Variable index'!$K$36),'Variable index'!$L$35,AND(N47&gt;='Variable index'!$K$36,N47&lt;'Variable index'!$K$37),'Variable index'!$L$36,AND(N47&gt;='Variable index'!$K$37,N47&lt;'Variable index'!$K$38),'Variable index'!$L$37,N47&gt;='Variable index'!$K$38,'Variable index'!$L$38),"")</f>
        <v/>
      </c>
      <c r="W47" s="240"/>
      <c r="X47" s="336" t="str" cm="1">
        <f t="array" ref="X47">IF(AND(W47&lt;&gt;"",N47&lt;&gt;""),_xlfn.IFS(W47="Yes",_xlfn.IFS(AND(N47&gt;='Variable index'!$K$35,N47&lt;'Variable index'!$K$36),'Variable index'!$M$35,AND(N47&gt;='Variable index'!$K$36,N47&lt;'Variable index'!$K$37),'Variable index'!$M$36,AND(N47&gt;='Variable index'!$K$37,N47&lt;'Variable index'!$K$38),'Variable index'!$M$37,N47&gt;='Variable index'!$K$38,'Variable index'!$M$38),W47="No",0),"")</f>
        <v/>
      </c>
      <c r="Y47" s="188"/>
      <c r="Z47" s="336" t="str" cm="1">
        <f t="array" ref="Z47">IF(Y47&lt;&gt;"",_xlfn.IFS(Y47='Variable index'!$J$53,SUM('Variable index'!$K$49:$M$49),Y47='Variable index'!$J$54,SUM('Variable index'!$L$49:$M$49),Y47='Variable index'!$J$55,SUM('Variable index'!$M$49)),"")</f>
        <v/>
      </c>
      <c r="AA47" s="337" t="str" cm="1">
        <f t="array" ref="AA47">IFERROR(N47*(1+_xlfn.XLOOKUP(O47,'Rawlinsons regional indices'!$A$2:$A$63,'Rawlinsons regional indices'!$C$2:$C$63)+Q47+_xlfn.IFS(P47&lt;'Variable index'!$J$17,'Variable index'!$K$14,AND(P47&gt;='Variable index'!$J$17,P47&lt;'Variable index'!$J$18),'Variable index'!$L$14,P47&gt;='Variable index'!$J$18,'Variable index'!$M$14))+(IF(R47&lt;&gt;"",INDEX('Variable index'!$E$57:$F$65,MATCH($R47,'Variable index'!$C$57:$C$65,0),$F$12),0)*S47)+(IF(T47&lt;&gt;"",INDEX('Variable index'!$E$68:$F$73,MATCH($T47,'Variable index'!$C$68:$C$73,0),$F$12),0)*U47)+(N47*V47)+(N47*X47)+(N47*Z47),"")</f>
        <v/>
      </c>
      <c r="AB47" s="303"/>
      <c r="AC47" s="337" t="str">
        <f t="shared" si="1"/>
        <v/>
      </c>
      <c r="AD47" s="340" t="str">
        <f t="shared" si="2"/>
        <v/>
      </c>
    </row>
    <row r="48" spans="4:30" ht="12" x14ac:dyDescent="0.25">
      <c r="D48" s="216">
        <f t="shared" si="0"/>
        <v>32</v>
      </c>
      <c r="E48" s="312"/>
      <c r="F48" s="187"/>
      <c r="G48" s="185"/>
      <c r="H48" s="260">
        <f>IFERROR(_xlfn.XLOOKUP(F48,Lists!$C$47:$C$63,Lists!$D$47:$D$63),0)</f>
        <v>0</v>
      </c>
      <c r="I48" s="96"/>
      <c r="J48" s="96"/>
      <c r="K48" s="331" t="str" cm="1">
        <f t="array" ref="K48">IFERROR(IF($H48=0,INDEX('Variable index'!$E$79:$F$126,MATCH($F48,'Variable index'!$C$79:$C$126,0),$F$12),INDEX('Variable index'!$E$79:$F$127,MATCH(_xlfn.CONCAT($F48," - ",$G48),'Variable index'!$C$79:$C$126,0),$F$12)),"")</f>
        <v/>
      </c>
      <c r="L48" s="332" t="str">
        <f>IFERROR(_xlfn.CONCAT("$ per ",IF($H48=0,_xlfn.XLOOKUP($F48,'Variable index'!$C$79:$C$126,'Variable index'!$D$79:$D$126),_xlfn.XLOOKUP(_xlfn.CONCAT($F48," - ",$G48),'Variable index'!$C$79:$C$126,'Variable index'!$D$79:$D$126))),"")</f>
        <v/>
      </c>
      <c r="M48" s="140"/>
      <c r="N48" s="343" t="str">
        <f>IFERROR(IF(TableStormwater[[#This Row],[Unit quantity]]="","",TableStormwater[[#This Row],[Unit rate]]*TableStormwater[[#This Row],[Unit quantity]]),"")</f>
        <v/>
      </c>
      <c r="O48" s="238" t="str">
        <f>IF(TableStormwater[[#This Row],[Type of infrastructure]]&lt;&gt;"",Summary!$F$8,"")</f>
        <v/>
      </c>
      <c r="P48" s="239" t="str">
        <f>IF(TableStormwater[[#This Row],[Type of infrastructure]]&lt;&gt;"",Summary!$F$9,"")</f>
        <v/>
      </c>
      <c r="Q48" s="241"/>
      <c r="R48" s="188"/>
      <c r="S48" s="140"/>
      <c r="T48" s="188"/>
      <c r="U48" s="140"/>
      <c r="V48" s="336" t="str" cm="1">
        <f t="array" ref="V48">IF(N48&lt;&gt;"",_xlfn.IFS(AND(N48&gt;='Variable index'!$K$35,N48&lt;'Variable index'!$K$36),'Variable index'!$L$35,AND(N48&gt;='Variable index'!$K$36,N48&lt;'Variable index'!$K$37),'Variable index'!$L$36,AND(N48&gt;='Variable index'!$K$37,N48&lt;'Variable index'!$K$38),'Variable index'!$L$37,N48&gt;='Variable index'!$K$38,'Variable index'!$L$38),"")</f>
        <v/>
      </c>
      <c r="W48" s="240"/>
      <c r="X48" s="336" t="str" cm="1">
        <f t="array" ref="X48">IF(AND(W48&lt;&gt;"",N48&lt;&gt;""),_xlfn.IFS(W48="Yes",_xlfn.IFS(AND(N48&gt;='Variable index'!$K$35,N48&lt;'Variable index'!$K$36),'Variable index'!$M$35,AND(N48&gt;='Variable index'!$K$36,N48&lt;'Variable index'!$K$37),'Variable index'!$M$36,AND(N48&gt;='Variable index'!$K$37,N48&lt;'Variable index'!$K$38),'Variable index'!$M$37,N48&gt;='Variable index'!$K$38,'Variable index'!$M$38),W48="No",0),"")</f>
        <v/>
      </c>
      <c r="Y48" s="188"/>
      <c r="Z48" s="336" t="str" cm="1">
        <f t="array" ref="Z48">IF(Y48&lt;&gt;"",_xlfn.IFS(Y48='Variable index'!$J$53,SUM('Variable index'!$K$49:$M$49),Y48='Variable index'!$J$54,SUM('Variable index'!$L$49:$M$49),Y48='Variable index'!$J$55,SUM('Variable index'!$M$49)),"")</f>
        <v/>
      </c>
      <c r="AA48" s="337" t="str" cm="1">
        <f t="array" ref="AA48">IFERROR(N48*(1+_xlfn.XLOOKUP(O48,'Rawlinsons regional indices'!$A$2:$A$63,'Rawlinsons regional indices'!$C$2:$C$63)+Q48+_xlfn.IFS(P48&lt;'Variable index'!$J$17,'Variable index'!$K$14,AND(P48&gt;='Variable index'!$J$17,P48&lt;'Variable index'!$J$18),'Variable index'!$L$14,P48&gt;='Variable index'!$J$18,'Variable index'!$M$14))+(IF(R48&lt;&gt;"",INDEX('Variable index'!$E$57:$F$65,MATCH($R48,'Variable index'!$C$57:$C$65,0),$F$12),0)*S48)+(IF(T48&lt;&gt;"",INDEX('Variable index'!$E$68:$F$73,MATCH($T48,'Variable index'!$C$68:$C$73,0),$F$12),0)*U48)+(N48*V48)+(N48*X48)+(N48*Z48),"")</f>
        <v/>
      </c>
      <c r="AB48" s="303"/>
      <c r="AC48" s="337" t="str">
        <f t="shared" si="1"/>
        <v/>
      </c>
      <c r="AD48" s="340" t="str">
        <f t="shared" si="2"/>
        <v/>
      </c>
    </row>
    <row r="49" spans="4:30" ht="12" x14ac:dyDescent="0.25">
      <c r="D49" s="216">
        <f t="shared" si="0"/>
        <v>33</v>
      </c>
      <c r="E49" s="312"/>
      <c r="F49" s="187"/>
      <c r="G49" s="185"/>
      <c r="H49" s="260">
        <f>IFERROR(_xlfn.XLOOKUP(F49,Lists!$C$47:$C$63,Lists!$D$47:$D$63),0)</f>
        <v>0</v>
      </c>
      <c r="I49" s="96"/>
      <c r="J49" s="96"/>
      <c r="K49" s="331" t="str" cm="1">
        <f t="array" ref="K49">IFERROR(IF($H49=0,INDEX('Variable index'!$E$79:$F$126,MATCH($F49,'Variable index'!$C$79:$C$126,0),$F$12),INDEX('Variable index'!$E$79:$F$127,MATCH(_xlfn.CONCAT($F49," - ",$G49),'Variable index'!$C$79:$C$126,0),$F$12)),"")</f>
        <v/>
      </c>
      <c r="L49" s="332" t="str">
        <f>IFERROR(_xlfn.CONCAT("$ per ",IF($H49=0,_xlfn.XLOOKUP($F49,'Variable index'!$C$79:$C$126,'Variable index'!$D$79:$D$126),_xlfn.XLOOKUP(_xlfn.CONCAT($F49," - ",$G49),'Variable index'!$C$79:$C$126,'Variable index'!$D$79:$D$126))),"")</f>
        <v/>
      </c>
      <c r="M49" s="140"/>
      <c r="N49" s="343" t="str">
        <f>IFERROR(IF(TableStormwater[[#This Row],[Unit quantity]]="","",TableStormwater[[#This Row],[Unit rate]]*TableStormwater[[#This Row],[Unit quantity]]),"")</f>
        <v/>
      </c>
      <c r="O49" s="238" t="str">
        <f>IF(TableStormwater[[#This Row],[Type of infrastructure]]&lt;&gt;"",Summary!$F$8,"")</f>
        <v/>
      </c>
      <c r="P49" s="239" t="str">
        <f>IF(TableStormwater[[#This Row],[Type of infrastructure]]&lt;&gt;"",Summary!$F$9,"")</f>
        <v/>
      </c>
      <c r="Q49" s="241"/>
      <c r="R49" s="188"/>
      <c r="S49" s="140"/>
      <c r="T49" s="188"/>
      <c r="U49" s="140"/>
      <c r="V49" s="336" t="str" cm="1">
        <f t="array" ref="V49">IF(N49&lt;&gt;"",_xlfn.IFS(AND(N49&gt;='Variable index'!$K$35,N49&lt;'Variable index'!$K$36),'Variable index'!$L$35,AND(N49&gt;='Variable index'!$K$36,N49&lt;'Variable index'!$K$37),'Variable index'!$L$36,AND(N49&gt;='Variable index'!$K$37,N49&lt;'Variable index'!$K$38),'Variable index'!$L$37,N49&gt;='Variable index'!$K$38,'Variable index'!$L$38),"")</f>
        <v/>
      </c>
      <c r="W49" s="240"/>
      <c r="X49" s="336" t="str" cm="1">
        <f t="array" ref="X49">IF(AND(W49&lt;&gt;"",N49&lt;&gt;""),_xlfn.IFS(W49="Yes",_xlfn.IFS(AND(N49&gt;='Variable index'!$K$35,N49&lt;'Variable index'!$K$36),'Variable index'!$M$35,AND(N49&gt;='Variable index'!$K$36,N49&lt;'Variable index'!$K$37),'Variable index'!$M$36,AND(N49&gt;='Variable index'!$K$37,N49&lt;'Variable index'!$K$38),'Variable index'!$M$37,N49&gt;='Variable index'!$K$38,'Variable index'!$M$38),W49="No",0),"")</f>
        <v/>
      </c>
      <c r="Y49" s="188"/>
      <c r="Z49" s="336" t="str" cm="1">
        <f t="array" ref="Z49">IF(Y49&lt;&gt;"",_xlfn.IFS(Y49='Variable index'!$J$53,SUM('Variable index'!$K$49:$M$49),Y49='Variable index'!$J$54,SUM('Variable index'!$L$49:$M$49),Y49='Variable index'!$J$55,SUM('Variable index'!$M$49)),"")</f>
        <v/>
      </c>
      <c r="AA49" s="337" t="str" cm="1">
        <f t="array" ref="AA49">IFERROR(N49*(1+_xlfn.XLOOKUP(O49,'Rawlinsons regional indices'!$A$2:$A$63,'Rawlinsons regional indices'!$C$2:$C$63)+Q49+_xlfn.IFS(P49&lt;'Variable index'!$J$17,'Variable index'!$K$14,AND(P49&gt;='Variable index'!$J$17,P49&lt;'Variable index'!$J$18),'Variable index'!$L$14,P49&gt;='Variable index'!$J$18,'Variable index'!$M$14))+(IF(R49&lt;&gt;"",INDEX('Variable index'!$E$57:$F$65,MATCH($R49,'Variable index'!$C$57:$C$65,0),$F$12),0)*S49)+(IF(T49&lt;&gt;"",INDEX('Variable index'!$E$68:$F$73,MATCH($T49,'Variable index'!$C$68:$C$73,0),$F$12),0)*U49)+(N49*V49)+(N49*X49)+(N49*Z49),"")</f>
        <v/>
      </c>
      <c r="AB49" s="303"/>
      <c r="AC49" s="337" t="str">
        <f t="shared" si="1"/>
        <v/>
      </c>
      <c r="AD49" s="340" t="str">
        <f t="shared" si="2"/>
        <v/>
      </c>
    </row>
    <row r="50" spans="4:30" ht="12" x14ac:dyDescent="0.25">
      <c r="D50" s="216">
        <f t="shared" si="0"/>
        <v>34</v>
      </c>
      <c r="E50" s="312"/>
      <c r="F50" s="187"/>
      <c r="G50" s="185"/>
      <c r="H50" s="260">
        <f>IFERROR(_xlfn.XLOOKUP(F50,Lists!$C$47:$C$63,Lists!$D$47:$D$63),0)</f>
        <v>0</v>
      </c>
      <c r="I50" s="96"/>
      <c r="J50" s="96"/>
      <c r="K50" s="331" t="str" cm="1">
        <f t="array" ref="K50">IFERROR(IF($H50=0,INDEX('Variable index'!$E$79:$F$126,MATCH($F50,'Variable index'!$C$79:$C$126,0),$F$12),INDEX('Variable index'!$E$79:$F$127,MATCH(_xlfn.CONCAT($F50," - ",$G50),'Variable index'!$C$79:$C$126,0),$F$12)),"")</f>
        <v/>
      </c>
      <c r="L50" s="332" t="str">
        <f>IFERROR(_xlfn.CONCAT("$ per ",IF($H50=0,_xlfn.XLOOKUP($F50,'Variable index'!$C$79:$C$126,'Variable index'!$D$79:$D$126),_xlfn.XLOOKUP(_xlfn.CONCAT($F50," - ",$G50),'Variable index'!$C$79:$C$126,'Variable index'!$D$79:$D$126))),"")</f>
        <v/>
      </c>
      <c r="M50" s="140"/>
      <c r="N50" s="343" t="str">
        <f>IFERROR(IF(TableStormwater[[#This Row],[Unit quantity]]="","",TableStormwater[[#This Row],[Unit rate]]*TableStormwater[[#This Row],[Unit quantity]]),"")</f>
        <v/>
      </c>
      <c r="O50" s="238" t="str">
        <f>IF(TableStormwater[[#This Row],[Type of infrastructure]]&lt;&gt;"",Summary!$F$8,"")</f>
        <v/>
      </c>
      <c r="P50" s="239" t="str">
        <f>IF(TableStormwater[[#This Row],[Type of infrastructure]]&lt;&gt;"",Summary!$F$9,"")</f>
        <v/>
      </c>
      <c r="Q50" s="241"/>
      <c r="R50" s="188"/>
      <c r="S50" s="140"/>
      <c r="T50" s="188"/>
      <c r="U50" s="140"/>
      <c r="V50" s="336" t="str" cm="1">
        <f t="array" ref="V50">IF(N50&lt;&gt;"",_xlfn.IFS(AND(N50&gt;='Variable index'!$K$35,N50&lt;'Variable index'!$K$36),'Variable index'!$L$35,AND(N50&gt;='Variable index'!$K$36,N50&lt;'Variable index'!$K$37),'Variable index'!$L$36,AND(N50&gt;='Variable index'!$K$37,N50&lt;'Variable index'!$K$38),'Variable index'!$L$37,N50&gt;='Variable index'!$K$38,'Variable index'!$L$38),"")</f>
        <v/>
      </c>
      <c r="W50" s="240"/>
      <c r="X50" s="336" t="str" cm="1">
        <f t="array" ref="X50">IF(AND(W50&lt;&gt;"",N50&lt;&gt;""),_xlfn.IFS(W50="Yes",_xlfn.IFS(AND(N50&gt;='Variable index'!$K$35,N50&lt;'Variable index'!$K$36),'Variable index'!$M$35,AND(N50&gt;='Variable index'!$K$36,N50&lt;'Variable index'!$K$37),'Variable index'!$M$36,AND(N50&gt;='Variable index'!$K$37,N50&lt;'Variable index'!$K$38),'Variable index'!$M$37,N50&gt;='Variable index'!$K$38,'Variable index'!$M$38),W50="No",0),"")</f>
        <v/>
      </c>
      <c r="Y50" s="188"/>
      <c r="Z50" s="336" t="str" cm="1">
        <f t="array" ref="Z50">IF(Y50&lt;&gt;"",_xlfn.IFS(Y50='Variable index'!$J$53,SUM('Variable index'!$K$49:$M$49),Y50='Variable index'!$J$54,SUM('Variable index'!$L$49:$M$49),Y50='Variable index'!$J$55,SUM('Variable index'!$M$49)),"")</f>
        <v/>
      </c>
      <c r="AA50" s="337" t="str" cm="1">
        <f t="array" ref="AA50">IFERROR(N50*(1+_xlfn.XLOOKUP(O50,'Rawlinsons regional indices'!$A$2:$A$63,'Rawlinsons regional indices'!$C$2:$C$63)+Q50+_xlfn.IFS(P50&lt;'Variable index'!$J$17,'Variable index'!$K$14,AND(P50&gt;='Variable index'!$J$17,P50&lt;'Variable index'!$J$18),'Variable index'!$L$14,P50&gt;='Variable index'!$J$18,'Variable index'!$M$14))+(IF(R50&lt;&gt;"",INDEX('Variable index'!$E$57:$F$65,MATCH($R50,'Variable index'!$C$57:$C$65,0),$F$12),0)*S50)+(IF(T50&lt;&gt;"",INDEX('Variable index'!$E$68:$F$73,MATCH($T50,'Variable index'!$C$68:$C$73,0),$F$12),0)*U50)+(N50*V50)+(N50*X50)+(N50*Z50),"")</f>
        <v/>
      </c>
      <c r="AB50" s="303"/>
      <c r="AC50" s="337" t="str">
        <f t="shared" si="1"/>
        <v/>
      </c>
      <c r="AD50" s="340" t="str">
        <f t="shared" si="2"/>
        <v/>
      </c>
    </row>
    <row r="51" spans="4:30" ht="12" x14ac:dyDescent="0.25">
      <c r="D51" s="216">
        <f t="shared" si="0"/>
        <v>35</v>
      </c>
      <c r="E51" s="312"/>
      <c r="F51" s="187"/>
      <c r="G51" s="185"/>
      <c r="H51" s="260">
        <f>IFERROR(_xlfn.XLOOKUP(F51,Lists!$C$47:$C$63,Lists!$D$47:$D$63),0)</f>
        <v>0</v>
      </c>
      <c r="I51" s="96"/>
      <c r="J51" s="96"/>
      <c r="K51" s="331" t="str" cm="1">
        <f t="array" ref="K51">IFERROR(IF($H51=0,INDEX('Variable index'!$E$79:$F$126,MATCH($F51,'Variable index'!$C$79:$C$126,0),$F$12),INDEX('Variable index'!$E$79:$F$127,MATCH(_xlfn.CONCAT($F51," - ",$G51),'Variable index'!$C$79:$C$126,0),$F$12)),"")</f>
        <v/>
      </c>
      <c r="L51" s="332" t="str">
        <f>IFERROR(_xlfn.CONCAT("$ per ",IF($H51=0,_xlfn.XLOOKUP($F51,'Variable index'!$C$79:$C$126,'Variable index'!$D$79:$D$126),_xlfn.XLOOKUP(_xlfn.CONCAT($F51," - ",$G51),'Variable index'!$C$79:$C$126,'Variable index'!$D$79:$D$126))),"")</f>
        <v/>
      </c>
      <c r="M51" s="140"/>
      <c r="N51" s="343" t="str">
        <f>IFERROR(IF(TableStormwater[[#This Row],[Unit quantity]]="","",TableStormwater[[#This Row],[Unit rate]]*TableStormwater[[#This Row],[Unit quantity]]),"")</f>
        <v/>
      </c>
      <c r="O51" s="238" t="str">
        <f>IF(TableStormwater[[#This Row],[Type of infrastructure]]&lt;&gt;"",Summary!$F$8,"")</f>
        <v/>
      </c>
      <c r="P51" s="239" t="str">
        <f>IF(TableStormwater[[#This Row],[Type of infrastructure]]&lt;&gt;"",Summary!$F$9,"")</f>
        <v/>
      </c>
      <c r="Q51" s="241"/>
      <c r="R51" s="188"/>
      <c r="S51" s="140"/>
      <c r="T51" s="188"/>
      <c r="U51" s="140"/>
      <c r="V51" s="336" t="str" cm="1">
        <f t="array" ref="V51">IF(N51&lt;&gt;"",_xlfn.IFS(AND(N51&gt;='Variable index'!$K$35,N51&lt;'Variable index'!$K$36),'Variable index'!$L$35,AND(N51&gt;='Variable index'!$K$36,N51&lt;'Variable index'!$K$37),'Variable index'!$L$36,AND(N51&gt;='Variable index'!$K$37,N51&lt;'Variable index'!$K$38),'Variable index'!$L$37,N51&gt;='Variable index'!$K$38,'Variable index'!$L$38),"")</f>
        <v/>
      </c>
      <c r="W51" s="240"/>
      <c r="X51" s="336" t="str" cm="1">
        <f t="array" ref="X51">IF(AND(W51&lt;&gt;"",N51&lt;&gt;""),_xlfn.IFS(W51="Yes",_xlfn.IFS(AND(N51&gt;='Variable index'!$K$35,N51&lt;'Variable index'!$K$36),'Variable index'!$M$35,AND(N51&gt;='Variable index'!$K$36,N51&lt;'Variable index'!$K$37),'Variable index'!$M$36,AND(N51&gt;='Variable index'!$K$37,N51&lt;'Variable index'!$K$38),'Variable index'!$M$37,N51&gt;='Variable index'!$K$38,'Variable index'!$M$38),W51="No",0),"")</f>
        <v/>
      </c>
      <c r="Y51" s="188"/>
      <c r="Z51" s="336" t="str" cm="1">
        <f t="array" ref="Z51">IF(Y51&lt;&gt;"",_xlfn.IFS(Y51='Variable index'!$J$53,SUM('Variable index'!$K$49:$M$49),Y51='Variable index'!$J$54,SUM('Variable index'!$L$49:$M$49),Y51='Variable index'!$J$55,SUM('Variable index'!$M$49)),"")</f>
        <v/>
      </c>
      <c r="AA51" s="337" t="str" cm="1">
        <f t="array" ref="AA51">IFERROR(N51*(1+_xlfn.XLOOKUP(O51,'Rawlinsons regional indices'!$A$2:$A$63,'Rawlinsons regional indices'!$C$2:$C$63)+Q51+_xlfn.IFS(P51&lt;'Variable index'!$J$17,'Variable index'!$K$14,AND(P51&gt;='Variable index'!$J$17,P51&lt;'Variable index'!$J$18),'Variable index'!$L$14,P51&gt;='Variable index'!$J$18,'Variable index'!$M$14))+(IF(R51&lt;&gt;"",INDEX('Variable index'!$E$57:$F$65,MATCH($R51,'Variable index'!$C$57:$C$65,0),$F$12),0)*S51)+(IF(T51&lt;&gt;"",INDEX('Variable index'!$E$68:$F$73,MATCH($T51,'Variable index'!$C$68:$C$73,0),$F$12),0)*U51)+(N51*V51)+(N51*X51)+(N51*Z51),"")</f>
        <v/>
      </c>
      <c r="AB51" s="303"/>
      <c r="AC51" s="337" t="str">
        <f t="shared" si="1"/>
        <v/>
      </c>
      <c r="AD51" s="340" t="str">
        <f t="shared" si="2"/>
        <v/>
      </c>
    </row>
    <row r="52" spans="4:30" ht="12" x14ac:dyDescent="0.25">
      <c r="D52" s="216">
        <f t="shared" si="0"/>
        <v>36</v>
      </c>
      <c r="E52" s="312"/>
      <c r="F52" s="187"/>
      <c r="G52" s="185"/>
      <c r="H52" s="260">
        <f>IFERROR(_xlfn.XLOOKUP(F52,Lists!$C$47:$C$63,Lists!$D$47:$D$63),0)</f>
        <v>0</v>
      </c>
      <c r="I52" s="96"/>
      <c r="J52" s="96"/>
      <c r="K52" s="331" t="str" cm="1">
        <f t="array" ref="K52">IFERROR(IF($H52=0,INDEX('Variable index'!$E$79:$F$126,MATCH($F52,'Variable index'!$C$79:$C$126,0),$F$12),INDEX('Variable index'!$E$79:$F$127,MATCH(_xlfn.CONCAT($F52," - ",$G52),'Variable index'!$C$79:$C$126,0),$F$12)),"")</f>
        <v/>
      </c>
      <c r="L52" s="332" t="str">
        <f>IFERROR(_xlfn.CONCAT("$ per ",IF($H52=0,_xlfn.XLOOKUP($F52,'Variable index'!$C$79:$C$126,'Variable index'!$D$79:$D$126),_xlfn.XLOOKUP(_xlfn.CONCAT($F52," - ",$G52),'Variable index'!$C$79:$C$126,'Variable index'!$D$79:$D$126))),"")</f>
        <v/>
      </c>
      <c r="M52" s="140"/>
      <c r="N52" s="343" t="str">
        <f>IFERROR(IF(TableStormwater[[#This Row],[Unit quantity]]="","",TableStormwater[[#This Row],[Unit rate]]*TableStormwater[[#This Row],[Unit quantity]]),"")</f>
        <v/>
      </c>
      <c r="O52" s="238" t="str">
        <f>IF(TableStormwater[[#This Row],[Type of infrastructure]]&lt;&gt;"",Summary!$F$8,"")</f>
        <v/>
      </c>
      <c r="P52" s="239" t="str">
        <f>IF(TableStormwater[[#This Row],[Type of infrastructure]]&lt;&gt;"",Summary!$F$9,"")</f>
        <v/>
      </c>
      <c r="Q52" s="241"/>
      <c r="R52" s="188"/>
      <c r="S52" s="140"/>
      <c r="T52" s="188"/>
      <c r="U52" s="140"/>
      <c r="V52" s="336" t="str" cm="1">
        <f t="array" ref="V52">IF(N52&lt;&gt;"",_xlfn.IFS(AND(N52&gt;='Variable index'!$K$35,N52&lt;'Variable index'!$K$36),'Variable index'!$L$35,AND(N52&gt;='Variable index'!$K$36,N52&lt;'Variable index'!$K$37),'Variable index'!$L$36,AND(N52&gt;='Variable index'!$K$37,N52&lt;'Variable index'!$K$38),'Variable index'!$L$37,N52&gt;='Variable index'!$K$38,'Variable index'!$L$38),"")</f>
        <v/>
      </c>
      <c r="W52" s="240"/>
      <c r="X52" s="336" t="str" cm="1">
        <f t="array" ref="X52">IF(AND(W52&lt;&gt;"",N52&lt;&gt;""),_xlfn.IFS(W52="Yes",_xlfn.IFS(AND(N52&gt;='Variable index'!$K$35,N52&lt;'Variable index'!$K$36),'Variable index'!$M$35,AND(N52&gt;='Variable index'!$K$36,N52&lt;'Variable index'!$K$37),'Variable index'!$M$36,AND(N52&gt;='Variable index'!$K$37,N52&lt;'Variable index'!$K$38),'Variable index'!$M$37,N52&gt;='Variable index'!$K$38,'Variable index'!$M$38),W52="No",0),"")</f>
        <v/>
      </c>
      <c r="Y52" s="188"/>
      <c r="Z52" s="336" t="str" cm="1">
        <f t="array" ref="Z52">IF(Y52&lt;&gt;"",_xlfn.IFS(Y52='Variable index'!$J$53,SUM('Variable index'!$K$49:$M$49),Y52='Variable index'!$J$54,SUM('Variable index'!$L$49:$M$49),Y52='Variable index'!$J$55,SUM('Variable index'!$M$49)),"")</f>
        <v/>
      </c>
      <c r="AA52" s="337" t="str" cm="1">
        <f t="array" ref="AA52">IFERROR(N52*(1+_xlfn.XLOOKUP(O52,'Rawlinsons regional indices'!$A$2:$A$63,'Rawlinsons regional indices'!$C$2:$C$63)+Q52+_xlfn.IFS(P52&lt;'Variable index'!$J$17,'Variable index'!$K$14,AND(P52&gt;='Variable index'!$J$17,P52&lt;'Variable index'!$J$18),'Variable index'!$L$14,P52&gt;='Variable index'!$J$18,'Variable index'!$M$14))+(IF(R52&lt;&gt;"",INDEX('Variable index'!$E$57:$F$65,MATCH($R52,'Variable index'!$C$57:$C$65,0),$F$12),0)*S52)+(IF(T52&lt;&gt;"",INDEX('Variable index'!$E$68:$F$73,MATCH($T52,'Variable index'!$C$68:$C$73,0),$F$12),0)*U52)+(N52*V52)+(N52*X52)+(N52*Z52),"")</f>
        <v/>
      </c>
      <c r="AB52" s="303"/>
      <c r="AC52" s="337" t="str">
        <f t="shared" si="1"/>
        <v/>
      </c>
      <c r="AD52" s="340" t="str">
        <f t="shared" si="2"/>
        <v/>
      </c>
    </row>
    <row r="53" spans="4:30" ht="12" x14ac:dyDescent="0.25">
      <c r="D53" s="216">
        <f t="shared" si="0"/>
        <v>37</v>
      </c>
      <c r="E53" s="312"/>
      <c r="F53" s="187"/>
      <c r="G53" s="185"/>
      <c r="H53" s="260">
        <f>IFERROR(_xlfn.XLOOKUP(F53,Lists!$C$47:$C$63,Lists!$D$47:$D$63),0)</f>
        <v>0</v>
      </c>
      <c r="I53" s="96"/>
      <c r="J53" s="96"/>
      <c r="K53" s="331" t="str" cm="1">
        <f t="array" ref="K53">IFERROR(IF($H53=0,INDEX('Variable index'!$E$79:$F$126,MATCH($F53,'Variable index'!$C$79:$C$126,0),$F$12),INDEX('Variable index'!$E$79:$F$127,MATCH(_xlfn.CONCAT($F53," - ",$G53),'Variable index'!$C$79:$C$126,0),$F$12)),"")</f>
        <v/>
      </c>
      <c r="L53" s="332" t="str">
        <f>IFERROR(_xlfn.CONCAT("$ per ",IF($H53=0,_xlfn.XLOOKUP($F53,'Variable index'!$C$79:$C$126,'Variable index'!$D$79:$D$126),_xlfn.XLOOKUP(_xlfn.CONCAT($F53," - ",$G53),'Variable index'!$C$79:$C$126,'Variable index'!$D$79:$D$126))),"")</f>
        <v/>
      </c>
      <c r="M53" s="140"/>
      <c r="N53" s="343" t="str">
        <f>IFERROR(IF(TableStormwater[[#This Row],[Unit quantity]]="","",TableStormwater[[#This Row],[Unit rate]]*TableStormwater[[#This Row],[Unit quantity]]),"")</f>
        <v/>
      </c>
      <c r="O53" s="238" t="str">
        <f>IF(TableStormwater[[#This Row],[Type of infrastructure]]&lt;&gt;"",Summary!$F$8,"")</f>
        <v/>
      </c>
      <c r="P53" s="239" t="str">
        <f>IF(TableStormwater[[#This Row],[Type of infrastructure]]&lt;&gt;"",Summary!$F$9,"")</f>
        <v/>
      </c>
      <c r="Q53" s="241"/>
      <c r="R53" s="188"/>
      <c r="S53" s="140"/>
      <c r="T53" s="188"/>
      <c r="U53" s="140"/>
      <c r="V53" s="336" t="str" cm="1">
        <f t="array" ref="V53">IF(N53&lt;&gt;"",_xlfn.IFS(AND(N53&gt;='Variable index'!$K$35,N53&lt;'Variable index'!$K$36),'Variable index'!$L$35,AND(N53&gt;='Variable index'!$K$36,N53&lt;'Variable index'!$K$37),'Variable index'!$L$36,AND(N53&gt;='Variable index'!$K$37,N53&lt;'Variable index'!$K$38),'Variable index'!$L$37,N53&gt;='Variable index'!$K$38,'Variable index'!$L$38),"")</f>
        <v/>
      </c>
      <c r="W53" s="240"/>
      <c r="X53" s="336" t="str" cm="1">
        <f t="array" ref="X53">IF(AND(W53&lt;&gt;"",N53&lt;&gt;""),_xlfn.IFS(W53="Yes",_xlfn.IFS(AND(N53&gt;='Variable index'!$K$35,N53&lt;'Variable index'!$K$36),'Variable index'!$M$35,AND(N53&gt;='Variable index'!$K$36,N53&lt;'Variable index'!$K$37),'Variable index'!$M$36,AND(N53&gt;='Variable index'!$K$37,N53&lt;'Variable index'!$K$38),'Variable index'!$M$37,N53&gt;='Variable index'!$K$38,'Variable index'!$M$38),W53="No",0),"")</f>
        <v/>
      </c>
      <c r="Y53" s="188"/>
      <c r="Z53" s="336" t="str" cm="1">
        <f t="array" ref="Z53">IF(Y53&lt;&gt;"",_xlfn.IFS(Y53='Variable index'!$J$53,SUM('Variable index'!$K$49:$M$49),Y53='Variable index'!$J$54,SUM('Variable index'!$L$49:$M$49),Y53='Variable index'!$J$55,SUM('Variable index'!$M$49)),"")</f>
        <v/>
      </c>
      <c r="AA53" s="337" t="str" cm="1">
        <f t="array" ref="AA53">IFERROR(N53*(1+_xlfn.XLOOKUP(O53,'Rawlinsons regional indices'!$A$2:$A$63,'Rawlinsons regional indices'!$C$2:$C$63)+Q53+_xlfn.IFS(P53&lt;'Variable index'!$J$17,'Variable index'!$K$14,AND(P53&gt;='Variable index'!$J$17,P53&lt;'Variable index'!$J$18),'Variable index'!$L$14,P53&gt;='Variable index'!$J$18,'Variable index'!$M$14))+(IF(R53&lt;&gt;"",INDEX('Variable index'!$E$57:$F$65,MATCH($R53,'Variable index'!$C$57:$C$65,0),$F$12),0)*S53)+(IF(T53&lt;&gt;"",INDEX('Variable index'!$E$68:$F$73,MATCH($T53,'Variable index'!$C$68:$C$73,0),$F$12),0)*U53)+(N53*V53)+(N53*X53)+(N53*Z53),"")</f>
        <v/>
      </c>
      <c r="AB53" s="303"/>
      <c r="AC53" s="337" t="str">
        <f t="shared" si="1"/>
        <v/>
      </c>
      <c r="AD53" s="340" t="str">
        <f t="shared" si="2"/>
        <v/>
      </c>
    </row>
    <row r="54" spans="4:30" ht="12" x14ac:dyDescent="0.25">
      <c r="D54" s="216">
        <f t="shared" si="0"/>
        <v>38</v>
      </c>
      <c r="E54" s="312"/>
      <c r="F54" s="187"/>
      <c r="G54" s="185"/>
      <c r="H54" s="260">
        <f>IFERROR(_xlfn.XLOOKUP(F54,Lists!$C$47:$C$63,Lists!$D$47:$D$63),0)</f>
        <v>0</v>
      </c>
      <c r="I54" s="96"/>
      <c r="J54" s="96"/>
      <c r="K54" s="331" t="str" cm="1">
        <f t="array" ref="K54">IFERROR(IF($H54=0,INDEX('Variable index'!$E$79:$F$126,MATCH($F54,'Variable index'!$C$79:$C$126,0),$F$12),INDEX('Variable index'!$E$79:$F$127,MATCH(_xlfn.CONCAT($F54," - ",$G54),'Variable index'!$C$79:$C$126,0),$F$12)),"")</f>
        <v/>
      </c>
      <c r="L54" s="332" t="str">
        <f>IFERROR(_xlfn.CONCAT("$ per ",IF($H54=0,_xlfn.XLOOKUP($F54,'Variable index'!$C$79:$C$126,'Variable index'!$D$79:$D$126),_xlfn.XLOOKUP(_xlfn.CONCAT($F54," - ",$G54),'Variable index'!$C$79:$C$126,'Variable index'!$D$79:$D$126))),"")</f>
        <v/>
      </c>
      <c r="M54" s="140"/>
      <c r="N54" s="343" t="str">
        <f>IFERROR(IF(TableStormwater[[#This Row],[Unit quantity]]="","",TableStormwater[[#This Row],[Unit rate]]*TableStormwater[[#This Row],[Unit quantity]]),"")</f>
        <v/>
      </c>
      <c r="O54" s="238" t="str">
        <f>IF(TableStormwater[[#This Row],[Type of infrastructure]]&lt;&gt;"",Summary!$F$8,"")</f>
        <v/>
      </c>
      <c r="P54" s="239" t="str">
        <f>IF(TableStormwater[[#This Row],[Type of infrastructure]]&lt;&gt;"",Summary!$F$9,"")</f>
        <v/>
      </c>
      <c r="Q54" s="241"/>
      <c r="R54" s="188"/>
      <c r="S54" s="140"/>
      <c r="T54" s="188"/>
      <c r="U54" s="140"/>
      <c r="V54" s="336" t="str" cm="1">
        <f t="array" ref="V54">IF(N54&lt;&gt;"",_xlfn.IFS(AND(N54&gt;='Variable index'!$K$35,N54&lt;'Variable index'!$K$36),'Variable index'!$L$35,AND(N54&gt;='Variable index'!$K$36,N54&lt;'Variable index'!$K$37),'Variable index'!$L$36,AND(N54&gt;='Variable index'!$K$37,N54&lt;'Variable index'!$K$38),'Variable index'!$L$37,N54&gt;='Variable index'!$K$38,'Variable index'!$L$38),"")</f>
        <v/>
      </c>
      <c r="W54" s="240"/>
      <c r="X54" s="336" t="str" cm="1">
        <f t="array" ref="X54">IF(AND(W54&lt;&gt;"",N54&lt;&gt;""),_xlfn.IFS(W54="Yes",_xlfn.IFS(AND(N54&gt;='Variable index'!$K$35,N54&lt;'Variable index'!$K$36),'Variable index'!$M$35,AND(N54&gt;='Variable index'!$K$36,N54&lt;'Variable index'!$K$37),'Variable index'!$M$36,AND(N54&gt;='Variable index'!$K$37,N54&lt;'Variable index'!$K$38),'Variable index'!$M$37,N54&gt;='Variable index'!$K$38,'Variable index'!$M$38),W54="No",0),"")</f>
        <v/>
      </c>
      <c r="Y54" s="188"/>
      <c r="Z54" s="336" t="str" cm="1">
        <f t="array" ref="Z54">IF(Y54&lt;&gt;"",_xlfn.IFS(Y54='Variable index'!$J$53,SUM('Variable index'!$K$49:$M$49),Y54='Variable index'!$J$54,SUM('Variable index'!$L$49:$M$49),Y54='Variable index'!$J$55,SUM('Variable index'!$M$49)),"")</f>
        <v/>
      </c>
      <c r="AA54" s="337" t="str" cm="1">
        <f t="array" ref="AA54">IFERROR(N54*(1+_xlfn.XLOOKUP(O54,'Rawlinsons regional indices'!$A$2:$A$63,'Rawlinsons regional indices'!$C$2:$C$63)+Q54+_xlfn.IFS(P54&lt;'Variable index'!$J$17,'Variable index'!$K$14,AND(P54&gt;='Variable index'!$J$17,P54&lt;'Variable index'!$J$18),'Variable index'!$L$14,P54&gt;='Variable index'!$J$18,'Variable index'!$M$14))+(IF(R54&lt;&gt;"",INDEX('Variable index'!$E$57:$F$65,MATCH($R54,'Variable index'!$C$57:$C$65,0),$F$12),0)*S54)+(IF(T54&lt;&gt;"",INDEX('Variable index'!$E$68:$F$73,MATCH($T54,'Variable index'!$C$68:$C$73,0),$F$12),0)*U54)+(N54*V54)+(N54*X54)+(N54*Z54),"")</f>
        <v/>
      </c>
      <c r="AB54" s="303"/>
      <c r="AC54" s="337" t="str">
        <f t="shared" si="1"/>
        <v/>
      </c>
      <c r="AD54" s="340" t="str">
        <f t="shared" si="2"/>
        <v/>
      </c>
    </row>
    <row r="55" spans="4:30" ht="12" x14ac:dyDescent="0.25">
      <c r="D55" s="216">
        <f t="shared" si="0"/>
        <v>39</v>
      </c>
      <c r="E55" s="312"/>
      <c r="F55" s="187"/>
      <c r="G55" s="185"/>
      <c r="H55" s="260">
        <f>IFERROR(_xlfn.XLOOKUP(F55,Lists!$C$47:$C$63,Lists!$D$47:$D$63),0)</f>
        <v>0</v>
      </c>
      <c r="I55" s="96"/>
      <c r="J55" s="96"/>
      <c r="K55" s="331" t="str" cm="1">
        <f t="array" ref="K55">IFERROR(IF($H55=0,INDEX('Variable index'!$E$79:$F$126,MATCH($F55,'Variable index'!$C$79:$C$126,0),$F$12),INDEX('Variable index'!$E$79:$F$127,MATCH(_xlfn.CONCAT($F55," - ",$G55),'Variable index'!$C$79:$C$126,0),$F$12)),"")</f>
        <v/>
      </c>
      <c r="L55" s="332" t="str">
        <f>IFERROR(_xlfn.CONCAT("$ per ",IF($H55=0,_xlfn.XLOOKUP($F55,'Variable index'!$C$79:$C$126,'Variable index'!$D$79:$D$126),_xlfn.XLOOKUP(_xlfn.CONCAT($F55," - ",$G55),'Variable index'!$C$79:$C$126,'Variable index'!$D$79:$D$126))),"")</f>
        <v/>
      </c>
      <c r="M55" s="140"/>
      <c r="N55" s="343" t="str">
        <f>IFERROR(IF(TableStormwater[[#This Row],[Unit quantity]]="","",TableStormwater[[#This Row],[Unit rate]]*TableStormwater[[#This Row],[Unit quantity]]),"")</f>
        <v/>
      </c>
      <c r="O55" s="238" t="str">
        <f>IF(TableStormwater[[#This Row],[Type of infrastructure]]&lt;&gt;"",Summary!$F$8,"")</f>
        <v/>
      </c>
      <c r="P55" s="239" t="str">
        <f>IF(TableStormwater[[#This Row],[Type of infrastructure]]&lt;&gt;"",Summary!$F$9,"")</f>
        <v/>
      </c>
      <c r="Q55" s="241"/>
      <c r="R55" s="188"/>
      <c r="S55" s="140"/>
      <c r="T55" s="188"/>
      <c r="U55" s="140"/>
      <c r="V55" s="336" t="str" cm="1">
        <f t="array" ref="V55">IF(N55&lt;&gt;"",_xlfn.IFS(AND(N55&gt;='Variable index'!$K$35,N55&lt;'Variable index'!$K$36),'Variable index'!$L$35,AND(N55&gt;='Variable index'!$K$36,N55&lt;'Variable index'!$K$37),'Variable index'!$L$36,AND(N55&gt;='Variable index'!$K$37,N55&lt;'Variable index'!$K$38),'Variable index'!$L$37,N55&gt;='Variable index'!$K$38,'Variable index'!$L$38),"")</f>
        <v/>
      </c>
      <c r="W55" s="240"/>
      <c r="X55" s="336" t="str" cm="1">
        <f t="array" ref="X55">IF(AND(W55&lt;&gt;"",N55&lt;&gt;""),_xlfn.IFS(W55="Yes",_xlfn.IFS(AND(N55&gt;='Variable index'!$K$35,N55&lt;'Variable index'!$K$36),'Variable index'!$M$35,AND(N55&gt;='Variable index'!$K$36,N55&lt;'Variable index'!$K$37),'Variable index'!$M$36,AND(N55&gt;='Variable index'!$K$37,N55&lt;'Variable index'!$K$38),'Variable index'!$M$37,N55&gt;='Variable index'!$K$38,'Variable index'!$M$38),W55="No",0),"")</f>
        <v/>
      </c>
      <c r="Y55" s="188"/>
      <c r="Z55" s="336" t="str" cm="1">
        <f t="array" ref="Z55">IF(Y55&lt;&gt;"",_xlfn.IFS(Y55='Variable index'!$J$53,SUM('Variable index'!$K$49:$M$49),Y55='Variable index'!$J$54,SUM('Variable index'!$L$49:$M$49),Y55='Variable index'!$J$55,SUM('Variable index'!$M$49)),"")</f>
        <v/>
      </c>
      <c r="AA55" s="337" t="str" cm="1">
        <f t="array" ref="AA55">IFERROR(N55*(1+_xlfn.XLOOKUP(O55,'Rawlinsons regional indices'!$A$2:$A$63,'Rawlinsons regional indices'!$C$2:$C$63)+Q55+_xlfn.IFS(P55&lt;'Variable index'!$J$17,'Variable index'!$K$14,AND(P55&gt;='Variable index'!$J$17,P55&lt;'Variable index'!$J$18),'Variable index'!$L$14,P55&gt;='Variable index'!$J$18,'Variable index'!$M$14))+(IF(R55&lt;&gt;"",INDEX('Variable index'!$E$57:$F$65,MATCH($R55,'Variable index'!$C$57:$C$65,0),$F$12),0)*S55)+(IF(T55&lt;&gt;"",INDEX('Variable index'!$E$68:$F$73,MATCH($T55,'Variable index'!$C$68:$C$73,0),$F$12),0)*U55)+(N55*V55)+(N55*X55)+(N55*Z55),"")</f>
        <v/>
      </c>
      <c r="AB55" s="303"/>
      <c r="AC55" s="337" t="str">
        <f t="shared" si="1"/>
        <v/>
      </c>
      <c r="AD55" s="340" t="str">
        <f t="shared" si="2"/>
        <v/>
      </c>
    </row>
    <row r="56" spans="4:30" ht="12" x14ac:dyDescent="0.25">
      <c r="D56" s="216">
        <f t="shared" si="0"/>
        <v>40</v>
      </c>
      <c r="E56" s="312"/>
      <c r="F56" s="187"/>
      <c r="G56" s="185"/>
      <c r="H56" s="260">
        <f>IFERROR(_xlfn.XLOOKUP(F56,Lists!$C$47:$C$63,Lists!$D$47:$D$63),0)</f>
        <v>0</v>
      </c>
      <c r="I56" s="96"/>
      <c r="J56" s="96"/>
      <c r="K56" s="331" t="str" cm="1">
        <f t="array" ref="K56">IFERROR(IF($H56=0,INDEX('Variable index'!$E$79:$F$126,MATCH($F56,'Variable index'!$C$79:$C$126,0),$F$12),INDEX('Variable index'!$E$79:$F$127,MATCH(_xlfn.CONCAT($F56," - ",$G56),'Variable index'!$C$79:$C$126,0),$F$12)),"")</f>
        <v/>
      </c>
      <c r="L56" s="332" t="str">
        <f>IFERROR(_xlfn.CONCAT("$ per ",IF($H56=0,_xlfn.XLOOKUP($F56,'Variable index'!$C$79:$C$126,'Variable index'!$D$79:$D$126),_xlfn.XLOOKUP(_xlfn.CONCAT($F56," - ",$G56),'Variable index'!$C$79:$C$126,'Variable index'!$D$79:$D$126))),"")</f>
        <v/>
      </c>
      <c r="M56" s="140"/>
      <c r="N56" s="343" t="str">
        <f>IFERROR(IF(TableStormwater[[#This Row],[Unit quantity]]="","",TableStormwater[[#This Row],[Unit rate]]*TableStormwater[[#This Row],[Unit quantity]]),"")</f>
        <v/>
      </c>
      <c r="O56" s="238" t="str">
        <f>IF(TableStormwater[[#This Row],[Type of infrastructure]]&lt;&gt;"",Summary!$F$8,"")</f>
        <v/>
      </c>
      <c r="P56" s="239" t="str">
        <f>IF(TableStormwater[[#This Row],[Type of infrastructure]]&lt;&gt;"",Summary!$F$9,"")</f>
        <v/>
      </c>
      <c r="Q56" s="241"/>
      <c r="R56" s="188"/>
      <c r="S56" s="140"/>
      <c r="T56" s="188"/>
      <c r="U56" s="140"/>
      <c r="V56" s="336" t="str" cm="1">
        <f t="array" ref="V56">IF(N56&lt;&gt;"",_xlfn.IFS(AND(N56&gt;='Variable index'!$K$35,N56&lt;'Variable index'!$K$36),'Variable index'!$L$35,AND(N56&gt;='Variable index'!$K$36,N56&lt;'Variable index'!$K$37),'Variable index'!$L$36,AND(N56&gt;='Variable index'!$K$37,N56&lt;'Variable index'!$K$38),'Variable index'!$L$37,N56&gt;='Variable index'!$K$38,'Variable index'!$L$38),"")</f>
        <v/>
      </c>
      <c r="W56" s="240"/>
      <c r="X56" s="336" t="str" cm="1">
        <f t="array" ref="X56">IF(AND(W56&lt;&gt;"",N56&lt;&gt;""),_xlfn.IFS(W56="Yes",_xlfn.IFS(AND(N56&gt;='Variable index'!$K$35,N56&lt;'Variable index'!$K$36),'Variable index'!$M$35,AND(N56&gt;='Variable index'!$K$36,N56&lt;'Variable index'!$K$37),'Variable index'!$M$36,AND(N56&gt;='Variable index'!$K$37,N56&lt;'Variable index'!$K$38),'Variable index'!$M$37,N56&gt;='Variable index'!$K$38,'Variable index'!$M$38),W56="No",0),"")</f>
        <v/>
      </c>
      <c r="Y56" s="188"/>
      <c r="Z56" s="336" t="str" cm="1">
        <f t="array" ref="Z56">IF(Y56&lt;&gt;"",_xlfn.IFS(Y56='Variable index'!$J$53,SUM('Variable index'!$K$49:$M$49),Y56='Variable index'!$J$54,SUM('Variable index'!$L$49:$M$49),Y56='Variable index'!$J$55,SUM('Variable index'!$M$49)),"")</f>
        <v/>
      </c>
      <c r="AA56" s="337" t="str" cm="1">
        <f t="array" ref="AA56">IFERROR(N56*(1+_xlfn.XLOOKUP(O56,'Rawlinsons regional indices'!$A$2:$A$63,'Rawlinsons regional indices'!$C$2:$C$63)+Q56+_xlfn.IFS(P56&lt;'Variable index'!$J$17,'Variable index'!$K$14,AND(P56&gt;='Variable index'!$J$17,P56&lt;'Variable index'!$J$18),'Variable index'!$L$14,P56&gt;='Variable index'!$J$18,'Variable index'!$M$14))+(IF(R56&lt;&gt;"",INDEX('Variable index'!$E$57:$F$65,MATCH($R56,'Variable index'!$C$57:$C$65,0),$F$12),0)*S56)+(IF(T56&lt;&gt;"",INDEX('Variable index'!$E$68:$F$73,MATCH($T56,'Variable index'!$C$68:$C$73,0),$F$12),0)*U56)+(N56*V56)+(N56*X56)+(N56*Z56),"")</f>
        <v/>
      </c>
      <c r="AB56" s="303"/>
      <c r="AC56" s="337" t="str">
        <f t="shared" si="1"/>
        <v/>
      </c>
      <c r="AD56" s="340" t="str">
        <f t="shared" si="2"/>
        <v/>
      </c>
    </row>
    <row r="57" spans="4:30" ht="12" x14ac:dyDescent="0.25">
      <c r="D57" s="216">
        <f t="shared" si="0"/>
        <v>41</v>
      </c>
      <c r="E57" s="312"/>
      <c r="F57" s="187"/>
      <c r="G57" s="185"/>
      <c r="H57" s="260">
        <f>IFERROR(_xlfn.XLOOKUP(F57,Lists!$C$47:$C$63,Lists!$D$47:$D$63),0)</f>
        <v>0</v>
      </c>
      <c r="I57" s="96"/>
      <c r="J57" s="96"/>
      <c r="K57" s="331" t="str" cm="1">
        <f t="array" ref="K57">IFERROR(IF($H57=0,INDEX('Variable index'!$E$79:$F$126,MATCH($F57,'Variable index'!$C$79:$C$126,0),$F$12),INDEX('Variable index'!$E$79:$F$127,MATCH(_xlfn.CONCAT($F57," - ",$G57),'Variable index'!$C$79:$C$126,0),$F$12)),"")</f>
        <v/>
      </c>
      <c r="L57" s="332" t="str">
        <f>IFERROR(_xlfn.CONCAT("$ per ",IF($H57=0,_xlfn.XLOOKUP($F57,'Variable index'!$C$79:$C$126,'Variable index'!$D$79:$D$126),_xlfn.XLOOKUP(_xlfn.CONCAT($F57," - ",$G57),'Variable index'!$C$79:$C$126,'Variable index'!$D$79:$D$126))),"")</f>
        <v/>
      </c>
      <c r="M57" s="140"/>
      <c r="N57" s="343" t="str">
        <f>IFERROR(IF(TableStormwater[[#This Row],[Unit quantity]]="","",TableStormwater[[#This Row],[Unit rate]]*TableStormwater[[#This Row],[Unit quantity]]),"")</f>
        <v/>
      </c>
      <c r="O57" s="238" t="str">
        <f>IF(TableStormwater[[#This Row],[Type of infrastructure]]&lt;&gt;"",Summary!$F$8,"")</f>
        <v/>
      </c>
      <c r="P57" s="239" t="str">
        <f>IF(TableStormwater[[#This Row],[Type of infrastructure]]&lt;&gt;"",Summary!$F$9,"")</f>
        <v/>
      </c>
      <c r="Q57" s="241"/>
      <c r="R57" s="188"/>
      <c r="S57" s="140"/>
      <c r="T57" s="188"/>
      <c r="U57" s="140"/>
      <c r="V57" s="336" t="str" cm="1">
        <f t="array" ref="V57">IF(N57&lt;&gt;"",_xlfn.IFS(AND(N57&gt;='Variable index'!$K$35,N57&lt;'Variable index'!$K$36),'Variable index'!$L$35,AND(N57&gt;='Variable index'!$K$36,N57&lt;'Variable index'!$K$37),'Variable index'!$L$36,AND(N57&gt;='Variable index'!$K$37,N57&lt;'Variable index'!$K$38),'Variable index'!$L$37,N57&gt;='Variable index'!$K$38,'Variable index'!$L$38),"")</f>
        <v/>
      </c>
      <c r="W57" s="240"/>
      <c r="X57" s="336" t="str" cm="1">
        <f t="array" ref="X57">IF(AND(W57&lt;&gt;"",N57&lt;&gt;""),_xlfn.IFS(W57="Yes",_xlfn.IFS(AND(N57&gt;='Variable index'!$K$35,N57&lt;'Variable index'!$K$36),'Variable index'!$M$35,AND(N57&gt;='Variable index'!$K$36,N57&lt;'Variable index'!$K$37),'Variable index'!$M$36,AND(N57&gt;='Variable index'!$K$37,N57&lt;'Variable index'!$K$38),'Variable index'!$M$37,N57&gt;='Variable index'!$K$38,'Variable index'!$M$38),W57="No",0),"")</f>
        <v/>
      </c>
      <c r="Y57" s="188"/>
      <c r="Z57" s="336" t="str" cm="1">
        <f t="array" ref="Z57">IF(Y57&lt;&gt;"",_xlfn.IFS(Y57='Variable index'!$J$53,SUM('Variable index'!$K$49:$M$49),Y57='Variable index'!$J$54,SUM('Variable index'!$L$49:$M$49),Y57='Variable index'!$J$55,SUM('Variable index'!$M$49)),"")</f>
        <v/>
      </c>
      <c r="AA57" s="337" t="str" cm="1">
        <f t="array" ref="AA57">IFERROR(N57*(1+_xlfn.XLOOKUP(O57,'Rawlinsons regional indices'!$A$2:$A$63,'Rawlinsons regional indices'!$C$2:$C$63)+Q57+_xlfn.IFS(P57&lt;'Variable index'!$J$17,'Variable index'!$K$14,AND(P57&gt;='Variable index'!$J$17,P57&lt;'Variable index'!$J$18),'Variable index'!$L$14,P57&gt;='Variable index'!$J$18,'Variable index'!$M$14))+(IF(R57&lt;&gt;"",INDEX('Variable index'!$E$57:$F$65,MATCH($R57,'Variable index'!$C$57:$C$65,0),$F$12),0)*S57)+(IF(T57&lt;&gt;"",INDEX('Variable index'!$E$68:$F$73,MATCH($T57,'Variable index'!$C$68:$C$73,0),$F$12),0)*U57)+(N57*V57)+(N57*X57)+(N57*Z57),"")</f>
        <v/>
      </c>
      <c r="AB57" s="303"/>
      <c r="AC57" s="337" t="str">
        <f t="shared" si="1"/>
        <v/>
      </c>
      <c r="AD57" s="340" t="str">
        <f t="shared" si="2"/>
        <v/>
      </c>
    </row>
    <row r="58" spans="4:30" ht="12" x14ac:dyDescent="0.25">
      <c r="D58" s="216">
        <f t="shared" si="0"/>
        <v>42</v>
      </c>
      <c r="E58" s="312"/>
      <c r="F58" s="187"/>
      <c r="G58" s="185"/>
      <c r="H58" s="260">
        <f>IFERROR(_xlfn.XLOOKUP(F58,Lists!$C$47:$C$63,Lists!$D$47:$D$63),0)</f>
        <v>0</v>
      </c>
      <c r="I58" s="96"/>
      <c r="J58" s="96"/>
      <c r="K58" s="331" t="str" cm="1">
        <f t="array" ref="K58">IFERROR(IF($H58=0,INDEX('Variable index'!$E$79:$F$126,MATCH($F58,'Variable index'!$C$79:$C$126,0),$F$12),INDEX('Variable index'!$E$79:$F$127,MATCH(_xlfn.CONCAT($F58," - ",$G58),'Variable index'!$C$79:$C$126,0),$F$12)),"")</f>
        <v/>
      </c>
      <c r="L58" s="332" t="str">
        <f>IFERROR(_xlfn.CONCAT("$ per ",IF($H58=0,_xlfn.XLOOKUP($F58,'Variable index'!$C$79:$C$126,'Variable index'!$D$79:$D$126),_xlfn.XLOOKUP(_xlfn.CONCAT($F58," - ",$G58),'Variable index'!$C$79:$C$126,'Variable index'!$D$79:$D$126))),"")</f>
        <v/>
      </c>
      <c r="M58" s="140"/>
      <c r="N58" s="343" t="str">
        <f>IFERROR(IF(TableStormwater[[#This Row],[Unit quantity]]="","",TableStormwater[[#This Row],[Unit rate]]*TableStormwater[[#This Row],[Unit quantity]]),"")</f>
        <v/>
      </c>
      <c r="O58" s="238" t="str">
        <f>IF(TableStormwater[[#This Row],[Type of infrastructure]]&lt;&gt;"",Summary!$F$8,"")</f>
        <v/>
      </c>
      <c r="P58" s="239" t="str">
        <f>IF(TableStormwater[[#This Row],[Type of infrastructure]]&lt;&gt;"",Summary!$F$9,"")</f>
        <v/>
      </c>
      <c r="Q58" s="241"/>
      <c r="R58" s="188"/>
      <c r="S58" s="140"/>
      <c r="T58" s="188"/>
      <c r="U58" s="140"/>
      <c r="V58" s="336" t="str" cm="1">
        <f t="array" ref="V58">IF(N58&lt;&gt;"",_xlfn.IFS(AND(N58&gt;='Variable index'!$K$35,N58&lt;'Variable index'!$K$36),'Variable index'!$L$35,AND(N58&gt;='Variable index'!$K$36,N58&lt;'Variable index'!$K$37),'Variable index'!$L$36,AND(N58&gt;='Variable index'!$K$37,N58&lt;'Variable index'!$K$38),'Variable index'!$L$37,N58&gt;='Variable index'!$K$38,'Variable index'!$L$38),"")</f>
        <v/>
      </c>
      <c r="W58" s="240"/>
      <c r="X58" s="336" t="str" cm="1">
        <f t="array" ref="X58">IF(AND(W58&lt;&gt;"",N58&lt;&gt;""),_xlfn.IFS(W58="Yes",_xlfn.IFS(AND(N58&gt;='Variable index'!$K$35,N58&lt;'Variable index'!$K$36),'Variable index'!$M$35,AND(N58&gt;='Variable index'!$K$36,N58&lt;'Variable index'!$K$37),'Variable index'!$M$36,AND(N58&gt;='Variable index'!$K$37,N58&lt;'Variable index'!$K$38),'Variable index'!$M$37,N58&gt;='Variable index'!$K$38,'Variable index'!$M$38),W58="No",0),"")</f>
        <v/>
      </c>
      <c r="Y58" s="188"/>
      <c r="Z58" s="336" t="str" cm="1">
        <f t="array" ref="Z58">IF(Y58&lt;&gt;"",_xlfn.IFS(Y58='Variable index'!$J$53,SUM('Variable index'!$K$49:$M$49),Y58='Variable index'!$J$54,SUM('Variable index'!$L$49:$M$49),Y58='Variable index'!$J$55,SUM('Variable index'!$M$49)),"")</f>
        <v/>
      </c>
      <c r="AA58" s="337" t="str" cm="1">
        <f t="array" ref="AA58">IFERROR(N58*(1+_xlfn.XLOOKUP(O58,'Rawlinsons regional indices'!$A$2:$A$63,'Rawlinsons regional indices'!$C$2:$C$63)+Q58+_xlfn.IFS(P58&lt;'Variable index'!$J$17,'Variable index'!$K$14,AND(P58&gt;='Variable index'!$J$17,P58&lt;'Variable index'!$J$18),'Variable index'!$L$14,P58&gt;='Variable index'!$J$18,'Variable index'!$M$14))+(IF(R58&lt;&gt;"",INDEX('Variable index'!$E$57:$F$65,MATCH($R58,'Variable index'!$C$57:$C$65,0),$F$12),0)*S58)+(IF(T58&lt;&gt;"",INDEX('Variable index'!$E$68:$F$73,MATCH($T58,'Variable index'!$C$68:$C$73,0),$F$12),0)*U58)+(N58*V58)+(N58*X58)+(N58*Z58),"")</f>
        <v/>
      </c>
      <c r="AB58" s="303"/>
      <c r="AC58" s="337" t="str">
        <f t="shared" si="1"/>
        <v/>
      </c>
      <c r="AD58" s="340" t="str">
        <f t="shared" si="2"/>
        <v/>
      </c>
    </row>
    <row r="59" spans="4:30" ht="12" x14ac:dyDescent="0.25">
      <c r="D59" s="216">
        <f t="shared" si="0"/>
        <v>43</v>
      </c>
      <c r="E59" s="312"/>
      <c r="F59" s="186"/>
      <c r="G59" s="185"/>
      <c r="H59" s="244">
        <f>IFERROR(_xlfn.XLOOKUP(F59,Lists!$C$47:$C$63,Lists!$D$47:$D$63),0)</f>
        <v>0</v>
      </c>
      <c r="I59" s="96"/>
      <c r="J59" s="96"/>
      <c r="K59" s="331" t="str" cm="1">
        <f t="array" ref="K59">IFERROR(IF($H59=0,INDEX('Variable index'!$E$79:$F$126,MATCH($F59,'Variable index'!$C$79:$C$126,0),$F$12),INDEX('Variable index'!$E$79:$F$127,MATCH(_xlfn.CONCAT($F59," - ",$G59),'Variable index'!$C$79:$C$126,0),$F$12)),"")</f>
        <v/>
      </c>
      <c r="L59" s="332" t="str">
        <f>IFERROR(_xlfn.CONCAT("$ per ",IF($H59=0,_xlfn.XLOOKUP($F59,'Variable index'!$C$79:$C$126,'Variable index'!$D$79:$D$126),_xlfn.XLOOKUP(_xlfn.CONCAT($F59," - ",$G59),'Variable index'!$C$79:$C$126,'Variable index'!$D$79:$D$126))),"")</f>
        <v/>
      </c>
      <c r="M59" s="140"/>
      <c r="N59" s="343" t="str">
        <f>IFERROR(IF(TableStormwater[[#This Row],[Unit quantity]]="","",TableStormwater[[#This Row],[Unit rate]]*TableStormwater[[#This Row],[Unit quantity]]),"")</f>
        <v/>
      </c>
      <c r="O59" s="238" t="str">
        <f>IF(TableStormwater[[#This Row],[Type of infrastructure]]&lt;&gt;"",Summary!$F$8,"")</f>
        <v/>
      </c>
      <c r="P59" s="239" t="str">
        <f>IF(TableStormwater[[#This Row],[Type of infrastructure]]&lt;&gt;"",Summary!$F$9,"")</f>
        <v/>
      </c>
      <c r="Q59" s="241"/>
      <c r="R59" s="188"/>
      <c r="S59" s="140"/>
      <c r="T59" s="188"/>
      <c r="U59" s="140"/>
      <c r="V59" s="336" t="str" cm="1">
        <f t="array" ref="V59">IF(N59&lt;&gt;"",_xlfn.IFS(AND(N59&gt;='Variable index'!$K$35,N59&lt;'Variable index'!$K$36),'Variable index'!$L$35,AND(N59&gt;='Variable index'!$K$36,N59&lt;'Variable index'!$K$37),'Variable index'!$L$36,AND(N59&gt;='Variable index'!$K$37,N59&lt;'Variable index'!$K$38),'Variable index'!$L$37,N59&gt;='Variable index'!$K$38,'Variable index'!$L$38),"")</f>
        <v/>
      </c>
      <c r="W59" s="237"/>
      <c r="X59" s="336" t="str" cm="1">
        <f t="array" ref="X59">IF(AND(W59&lt;&gt;"",N59&lt;&gt;""),_xlfn.IFS(W59="Yes",_xlfn.IFS(AND(N59&gt;='Variable index'!$K$35,N59&lt;'Variable index'!$K$36),'Variable index'!$M$35,AND(N59&gt;='Variable index'!$K$36,N59&lt;'Variable index'!$K$37),'Variable index'!$M$36,AND(N59&gt;='Variable index'!$K$37,N59&lt;'Variable index'!$K$38),'Variable index'!$M$37,N59&gt;='Variable index'!$K$38,'Variable index'!$M$38),W59="No",0),"")</f>
        <v/>
      </c>
      <c r="Y59" s="188"/>
      <c r="Z59" s="336" t="str" cm="1">
        <f t="array" ref="Z59">IF(Y59&lt;&gt;"",_xlfn.IFS(Y59='Variable index'!$J$53,SUM('Variable index'!$K$49:$M$49),Y59='Variable index'!$J$54,SUM('Variable index'!$L$49:$M$49),Y59='Variable index'!$J$55,SUM('Variable index'!$M$49)),"")</f>
        <v/>
      </c>
      <c r="AA59" s="337" t="str" cm="1">
        <f t="array" ref="AA59">IFERROR(N59*(1+_xlfn.XLOOKUP(O59,'Rawlinsons regional indices'!$A$2:$A$63,'Rawlinsons regional indices'!$C$2:$C$63)+Q59+_xlfn.IFS(P59&lt;'Variable index'!$J$17,'Variable index'!$K$14,AND(P59&gt;='Variable index'!$J$17,P59&lt;'Variable index'!$J$18),'Variable index'!$L$14,P59&gt;='Variable index'!$J$18,'Variable index'!$M$14))+(IF(R59&lt;&gt;"",INDEX('Variable index'!$E$57:$F$65,MATCH($R59,'Variable index'!$C$57:$C$65,0),$F$12),0)*S59)+(IF(T59&lt;&gt;"",INDEX('Variable index'!$E$68:$F$73,MATCH($T59,'Variable index'!$C$68:$C$73,0),$F$12),0)*U59)+(N59*V59)+(N59*X59)+(N59*Z59),"")</f>
        <v/>
      </c>
      <c r="AB59" s="303"/>
      <c r="AC59" s="337" t="str">
        <f t="shared" si="1"/>
        <v/>
      </c>
      <c r="AD59" s="340" t="str">
        <f t="shared" si="2"/>
        <v/>
      </c>
    </row>
    <row r="60" spans="4:30" ht="12" x14ac:dyDescent="0.25">
      <c r="D60" s="216">
        <f t="shared" si="0"/>
        <v>44</v>
      </c>
      <c r="E60" s="312"/>
      <c r="F60" s="186"/>
      <c r="G60" s="185"/>
      <c r="H60" s="244">
        <f>IFERROR(_xlfn.XLOOKUP(F60,Lists!$C$47:$C$63,Lists!$D$47:$D$63),0)</f>
        <v>0</v>
      </c>
      <c r="I60" s="96"/>
      <c r="J60" s="96"/>
      <c r="K60" s="331" t="str" cm="1">
        <f t="array" ref="K60">IFERROR(IF($H60=0,INDEX('Variable index'!$E$79:$F$126,MATCH($F60,'Variable index'!$C$79:$C$126,0),$F$12),INDEX('Variable index'!$E$79:$F$127,MATCH(_xlfn.CONCAT($F60," - ",$G60),'Variable index'!$C$79:$C$126,0),$F$12)),"")</f>
        <v/>
      </c>
      <c r="L60" s="332" t="str">
        <f>IFERROR(_xlfn.CONCAT("$ per ",IF($H60=0,_xlfn.XLOOKUP($F60,'Variable index'!$C$79:$C$126,'Variable index'!$D$79:$D$126),_xlfn.XLOOKUP(_xlfn.CONCAT($F60," - ",$G60),'Variable index'!$C$79:$C$126,'Variable index'!$D$79:$D$126))),"")</f>
        <v/>
      </c>
      <c r="M60" s="140"/>
      <c r="N60" s="343" t="str">
        <f>IFERROR(IF(TableStormwater[[#This Row],[Unit quantity]]="","",TableStormwater[[#This Row],[Unit rate]]*TableStormwater[[#This Row],[Unit quantity]]),"")</f>
        <v/>
      </c>
      <c r="O60" s="238" t="str">
        <f>IF(TableStormwater[[#This Row],[Type of infrastructure]]&lt;&gt;"",Summary!$F$8,"")</f>
        <v/>
      </c>
      <c r="P60" s="239" t="str">
        <f>IF(TableStormwater[[#This Row],[Type of infrastructure]]&lt;&gt;"",Summary!$F$9,"")</f>
        <v/>
      </c>
      <c r="Q60" s="241"/>
      <c r="R60" s="188"/>
      <c r="S60" s="140"/>
      <c r="T60" s="188"/>
      <c r="U60" s="140"/>
      <c r="V60" s="336" t="str" cm="1">
        <f t="array" ref="V60">IF(N60&lt;&gt;"",_xlfn.IFS(AND(N60&gt;='Variable index'!$K$35,N60&lt;'Variable index'!$K$36),'Variable index'!$L$35,AND(N60&gt;='Variable index'!$K$36,N60&lt;'Variable index'!$K$37),'Variable index'!$L$36,AND(N60&gt;='Variable index'!$K$37,N60&lt;'Variable index'!$K$38),'Variable index'!$L$37,N60&gt;='Variable index'!$K$38,'Variable index'!$L$38),"")</f>
        <v/>
      </c>
      <c r="W60" s="237"/>
      <c r="X60" s="336" t="str" cm="1">
        <f t="array" ref="X60">IF(AND(W60&lt;&gt;"",N60&lt;&gt;""),_xlfn.IFS(W60="Yes",_xlfn.IFS(AND(N60&gt;='Variable index'!$K$35,N60&lt;'Variable index'!$K$36),'Variable index'!$M$35,AND(N60&gt;='Variable index'!$K$36,N60&lt;'Variable index'!$K$37),'Variable index'!$M$36,AND(N60&gt;='Variable index'!$K$37,N60&lt;'Variable index'!$K$38),'Variable index'!$M$37,N60&gt;='Variable index'!$K$38,'Variable index'!$M$38),W60="No",0),"")</f>
        <v/>
      </c>
      <c r="Y60" s="188"/>
      <c r="Z60" s="336" t="str" cm="1">
        <f t="array" ref="Z60">IF(Y60&lt;&gt;"",_xlfn.IFS(Y60='Variable index'!$J$53,SUM('Variable index'!$K$49:$M$49),Y60='Variable index'!$J$54,SUM('Variable index'!$L$49:$M$49),Y60='Variable index'!$J$55,SUM('Variable index'!$M$49)),"")</f>
        <v/>
      </c>
      <c r="AA60" s="337" t="str" cm="1">
        <f t="array" ref="AA60">IFERROR(N60*(1+_xlfn.XLOOKUP(O60,'Rawlinsons regional indices'!$A$2:$A$63,'Rawlinsons regional indices'!$C$2:$C$63)+Q60+_xlfn.IFS(P60&lt;'Variable index'!$J$17,'Variable index'!$K$14,AND(P60&gt;='Variable index'!$J$17,P60&lt;'Variable index'!$J$18),'Variable index'!$L$14,P60&gt;='Variable index'!$J$18,'Variable index'!$M$14))+(IF(R60&lt;&gt;"",INDEX('Variable index'!$E$57:$F$65,MATCH($R60,'Variable index'!$C$57:$C$65,0),$F$12),0)*S60)+(IF(T60&lt;&gt;"",INDEX('Variable index'!$E$68:$F$73,MATCH($T60,'Variable index'!$C$68:$C$73,0),$F$12),0)*U60)+(N60*V60)+(N60*X60)+(N60*Z60),"")</f>
        <v/>
      </c>
      <c r="AB60" s="303"/>
      <c r="AC60" s="337" t="str">
        <f t="shared" si="1"/>
        <v/>
      </c>
      <c r="AD60" s="340" t="str">
        <f t="shared" si="2"/>
        <v/>
      </c>
    </row>
    <row r="61" spans="4:30" ht="12" x14ac:dyDescent="0.25">
      <c r="D61" s="216">
        <f t="shared" si="0"/>
        <v>45</v>
      </c>
      <c r="E61" s="312"/>
      <c r="F61" s="186"/>
      <c r="G61" s="185"/>
      <c r="H61" s="244">
        <f>IFERROR(_xlfn.XLOOKUP(F61,Lists!$C$47:$C$63,Lists!$D$47:$D$63),0)</f>
        <v>0</v>
      </c>
      <c r="I61" s="96"/>
      <c r="J61" s="96"/>
      <c r="K61" s="331" t="str" cm="1">
        <f t="array" ref="K61">IFERROR(IF($H61=0,INDEX('Variable index'!$E$79:$F$126,MATCH($F61,'Variable index'!$C$79:$C$126,0),$F$12),INDEX('Variable index'!$E$79:$F$127,MATCH(_xlfn.CONCAT($F61," - ",$G61),'Variable index'!$C$79:$C$126,0),$F$12)),"")</f>
        <v/>
      </c>
      <c r="L61" s="332" t="str">
        <f>IFERROR(_xlfn.CONCAT("$ per ",IF($H61=0,_xlfn.XLOOKUP($F61,'Variable index'!$C$79:$C$126,'Variable index'!$D$79:$D$126),_xlfn.XLOOKUP(_xlfn.CONCAT($F61," - ",$G61),'Variable index'!$C$79:$C$126,'Variable index'!$D$79:$D$126))),"")</f>
        <v/>
      </c>
      <c r="M61" s="140"/>
      <c r="N61" s="343" t="str">
        <f>IFERROR(IF(TableStormwater[[#This Row],[Unit quantity]]="","",TableStormwater[[#This Row],[Unit rate]]*TableStormwater[[#This Row],[Unit quantity]]),"")</f>
        <v/>
      </c>
      <c r="O61" s="238" t="str">
        <f>IF(TableStormwater[[#This Row],[Type of infrastructure]]&lt;&gt;"",Summary!$F$8,"")</f>
        <v/>
      </c>
      <c r="P61" s="239" t="str">
        <f>IF(TableStormwater[[#This Row],[Type of infrastructure]]&lt;&gt;"",Summary!$F$9,"")</f>
        <v/>
      </c>
      <c r="Q61" s="241"/>
      <c r="R61" s="188"/>
      <c r="S61" s="140"/>
      <c r="T61" s="188"/>
      <c r="U61" s="140"/>
      <c r="V61" s="336" t="str" cm="1">
        <f t="array" ref="V61">IF(N61&lt;&gt;"",_xlfn.IFS(AND(N61&gt;='Variable index'!$K$35,N61&lt;'Variable index'!$K$36),'Variable index'!$L$35,AND(N61&gt;='Variable index'!$K$36,N61&lt;'Variable index'!$K$37),'Variable index'!$L$36,AND(N61&gt;='Variable index'!$K$37,N61&lt;'Variable index'!$K$38),'Variable index'!$L$37,N61&gt;='Variable index'!$K$38,'Variable index'!$L$38),"")</f>
        <v/>
      </c>
      <c r="W61" s="237"/>
      <c r="X61" s="336" t="str" cm="1">
        <f t="array" ref="X61">IF(AND(W61&lt;&gt;"",N61&lt;&gt;""),_xlfn.IFS(W61="Yes",_xlfn.IFS(AND(N61&gt;='Variable index'!$K$35,N61&lt;'Variable index'!$K$36),'Variable index'!$M$35,AND(N61&gt;='Variable index'!$K$36,N61&lt;'Variable index'!$K$37),'Variable index'!$M$36,AND(N61&gt;='Variable index'!$K$37,N61&lt;'Variable index'!$K$38),'Variable index'!$M$37,N61&gt;='Variable index'!$K$38,'Variable index'!$M$38),W61="No",0),"")</f>
        <v/>
      </c>
      <c r="Y61" s="188"/>
      <c r="Z61" s="336" t="str" cm="1">
        <f t="array" ref="Z61">IF(Y61&lt;&gt;"",_xlfn.IFS(Y61='Variable index'!$J$53,SUM('Variable index'!$K$49:$M$49),Y61='Variable index'!$J$54,SUM('Variable index'!$L$49:$M$49),Y61='Variable index'!$J$55,SUM('Variable index'!$M$49)),"")</f>
        <v/>
      </c>
      <c r="AA61" s="337" t="str" cm="1">
        <f t="array" ref="AA61">IFERROR(N61*(1+_xlfn.XLOOKUP(O61,'Rawlinsons regional indices'!$A$2:$A$63,'Rawlinsons regional indices'!$C$2:$C$63)+Q61+_xlfn.IFS(P61&lt;'Variable index'!$J$17,'Variable index'!$K$14,AND(P61&gt;='Variable index'!$J$17,P61&lt;'Variable index'!$J$18),'Variable index'!$L$14,P61&gt;='Variable index'!$J$18,'Variable index'!$M$14))+(IF(R61&lt;&gt;"",INDEX('Variable index'!$E$57:$F$65,MATCH($R61,'Variable index'!$C$57:$C$65,0),$F$12),0)*S61)+(IF(T61&lt;&gt;"",INDEX('Variable index'!$E$68:$F$73,MATCH($T61,'Variable index'!$C$68:$C$73,0),$F$12),0)*U61)+(N61*V61)+(N61*X61)+(N61*Z61),"")</f>
        <v/>
      </c>
      <c r="AB61" s="303"/>
      <c r="AC61" s="337" t="str">
        <f t="shared" si="1"/>
        <v/>
      </c>
      <c r="AD61" s="340" t="str">
        <f t="shared" si="2"/>
        <v/>
      </c>
    </row>
    <row r="62" spans="4:30" ht="12" x14ac:dyDescent="0.25">
      <c r="D62" s="216">
        <f t="shared" si="0"/>
        <v>46</v>
      </c>
      <c r="E62" s="312"/>
      <c r="F62" s="186"/>
      <c r="G62" s="185"/>
      <c r="H62" s="244">
        <f>IFERROR(_xlfn.XLOOKUP(F62,Lists!$C$47:$C$63,Lists!$D$47:$D$63),0)</f>
        <v>0</v>
      </c>
      <c r="I62" s="96"/>
      <c r="J62" s="96"/>
      <c r="K62" s="331" t="str" cm="1">
        <f t="array" ref="K62">IFERROR(IF($H62=0,INDEX('Variable index'!$E$79:$F$126,MATCH($F62,'Variable index'!$C$79:$C$126,0),$F$12),INDEX('Variable index'!$E$79:$F$127,MATCH(_xlfn.CONCAT($F62," - ",$G62),'Variable index'!$C$79:$C$126,0),$F$12)),"")</f>
        <v/>
      </c>
      <c r="L62" s="332" t="str">
        <f>IFERROR(_xlfn.CONCAT("$ per ",IF($H62=0,_xlfn.XLOOKUP($F62,'Variable index'!$C$79:$C$126,'Variable index'!$D$79:$D$126),_xlfn.XLOOKUP(_xlfn.CONCAT($F62," - ",$G62),'Variable index'!$C$79:$C$126,'Variable index'!$D$79:$D$126))),"")</f>
        <v/>
      </c>
      <c r="M62" s="140"/>
      <c r="N62" s="343" t="str">
        <f>IFERROR(IF(TableStormwater[[#This Row],[Unit quantity]]="","",TableStormwater[[#This Row],[Unit rate]]*TableStormwater[[#This Row],[Unit quantity]]),"")</f>
        <v/>
      </c>
      <c r="O62" s="238" t="str">
        <f>IF(TableStormwater[[#This Row],[Type of infrastructure]]&lt;&gt;"",Summary!$F$8,"")</f>
        <v/>
      </c>
      <c r="P62" s="239" t="str">
        <f>IF(TableStormwater[[#This Row],[Type of infrastructure]]&lt;&gt;"",Summary!$F$9,"")</f>
        <v/>
      </c>
      <c r="Q62" s="241"/>
      <c r="R62" s="188"/>
      <c r="S62" s="140"/>
      <c r="T62" s="188"/>
      <c r="U62" s="140"/>
      <c r="V62" s="336" t="str" cm="1">
        <f t="array" ref="V62">IF(N62&lt;&gt;"",_xlfn.IFS(AND(N62&gt;='Variable index'!$K$35,N62&lt;'Variable index'!$K$36),'Variable index'!$L$35,AND(N62&gt;='Variable index'!$K$36,N62&lt;'Variable index'!$K$37),'Variable index'!$L$36,AND(N62&gt;='Variable index'!$K$37,N62&lt;'Variable index'!$K$38),'Variable index'!$L$37,N62&gt;='Variable index'!$K$38,'Variable index'!$L$38),"")</f>
        <v/>
      </c>
      <c r="W62" s="237"/>
      <c r="X62" s="336" t="str" cm="1">
        <f t="array" ref="X62">IF(AND(W62&lt;&gt;"",N62&lt;&gt;""),_xlfn.IFS(W62="Yes",_xlfn.IFS(AND(N62&gt;='Variable index'!$K$35,N62&lt;'Variable index'!$K$36),'Variable index'!$M$35,AND(N62&gt;='Variable index'!$K$36,N62&lt;'Variable index'!$K$37),'Variable index'!$M$36,AND(N62&gt;='Variable index'!$K$37,N62&lt;'Variable index'!$K$38),'Variable index'!$M$37,N62&gt;='Variable index'!$K$38,'Variable index'!$M$38),W62="No",0),"")</f>
        <v/>
      </c>
      <c r="Y62" s="188"/>
      <c r="Z62" s="336" t="str" cm="1">
        <f t="array" ref="Z62">IF(Y62&lt;&gt;"",_xlfn.IFS(Y62='Variable index'!$J$53,SUM('Variable index'!$K$49:$M$49),Y62='Variable index'!$J$54,SUM('Variable index'!$L$49:$M$49),Y62='Variable index'!$J$55,SUM('Variable index'!$M$49)),"")</f>
        <v/>
      </c>
      <c r="AA62" s="337" t="str" cm="1">
        <f t="array" ref="AA62">IFERROR(N62*(1+_xlfn.XLOOKUP(O62,'Rawlinsons regional indices'!$A$2:$A$63,'Rawlinsons regional indices'!$C$2:$C$63)+Q62+_xlfn.IFS(P62&lt;'Variable index'!$J$17,'Variable index'!$K$14,AND(P62&gt;='Variable index'!$J$17,P62&lt;'Variable index'!$J$18),'Variable index'!$L$14,P62&gt;='Variable index'!$J$18,'Variable index'!$M$14))+(IF(R62&lt;&gt;"",INDEX('Variable index'!$E$57:$F$65,MATCH($R62,'Variable index'!$C$57:$C$65,0),$F$12),0)*S62)+(IF(T62&lt;&gt;"",INDEX('Variable index'!$E$68:$F$73,MATCH($T62,'Variable index'!$C$68:$C$73,0),$F$12),0)*U62)+(N62*V62)+(N62*X62)+(N62*Z62),"")</f>
        <v/>
      </c>
      <c r="AB62" s="303"/>
      <c r="AC62" s="337" t="str">
        <f t="shared" si="1"/>
        <v/>
      </c>
      <c r="AD62" s="340" t="str">
        <f t="shared" si="2"/>
        <v/>
      </c>
    </row>
    <row r="63" spans="4:30" ht="12" x14ac:dyDescent="0.25">
      <c r="D63" s="216">
        <f t="shared" si="0"/>
        <v>47</v>
      </c>
      <c r="E63" s="312"/>
      <c r="F63" s="186"/>
      <c r="G63" s="185"/>
      <c r="H63" s="244">
        <f>IFERROR(_xlfn.XLOOKUP(F63,Lists!$C$47:$C$63,Lists!$D$47:$D$63),0)</f>
        <v>0</v>
      </c>
      <c r="I63" s="96"/>
      <c r="J63" s="96"/>
      <c r="K63" s="331" t="str" cm="1">
        <f t="array" ref="K63">IFERROR(IF($H63=0,INDEX('Variable index'!$E$79:$F$126,MATCH($F63,'Variable index'!$C$79:$C$126,0),$F$12),INDEX('Variable index'!$E$79:$F$127,MATCH(_xlfn.CONCAT($F63," - ",$G63),'Variable index'!$C$79:$C$126,0),$F$12)),"")</f>
        <v/>
      </c>
      <c r="L63" s="332" t="str">
        <f>IFERROR(_xlfn.CONCAT("$ per ",IF($H63=0,_xlfn.XLOOKUP($F63,'Variable index'!$C$79:$C$126,'Variable index'!$D$79:$D$126),_xlfn.XLOOKUP(_xlfn.CONCAT($F63," - ",$G63),'Variable index'!$C$79:$C$126,'Variable index'!$D$79:$D$126))),"")</f>
        <v/>
      </c>
      <c r="M63" s="140"/>
      <c r="N63" s="343" t="str">
        <f>IFERROR(IF(TableStormwater[[#This Row],[Unit quantity]]="","",TableStormwater[[#This Row],[Unit rate]]*TableStormwater[[#This Row],[Unit quantity]]),"")</f>
        <v/>
      </c>
      <c r="O63" s="238" t="str">
        <f>IF(TableStormwater[[#This Row],[Type of infrastructure]]&lt;&gt;"",Summary!$F$8,"")</f>
        <v/>
      </c>
      <c r="P63" s="239" t="str">
        <f>IF(TableStormwater[[#This Row],[Type of infrastructure]]&lt;&gt;"",Summary!$F$9,"")</f>
        <v/>
      </c>
      <c r="Q63" s="241"/>
      <c r="R63" s="188"/>
      <c r="S63" s="140"/>
      <c r="T63" s="188"/>
      <c r="U63" s="140"/>
      <c r="V63" s="336" t="str" cm="1">
        <f t="array" ref="V63">IF(N63&lt;&gt;"",_xlfn.IFS(AND(N63&gt;='Variable index'!$K$35,N63&lt;'Variable index'!$K$36),'Variable index'!$L$35,AND(N63&gt;='Variable index'!$K$36,N63&lt;'Variable index'!$K$37),'Variable index'!$L$36,AND(N63&gt;='Variable index'!$K$37,N63&lt;'Variable index'!$K$38),'Variable index'!$L$37,N63&gt;='Variable index'!$K$38,'Variable index'!$L$38),"")</f>
        <v/>
      </c>
      <c r="W63" s="237"/>
      <c r="X63" s="336" t="str" cm="1">
        <f t="array" ref="X63">IF(AND(W63&lt;&gt;"",N63&lt;&gt;""),_xlfn.IFS(W63="Yes",_xlfn.IFS(AND(N63&gt;='Variable index'!$K$35,N63&lt;'Variable index'!$K$36),'Variable index'!$M$35,AND(N63&gt;='Variable index'!$K$36,N63&lt;'Variable index'!$K$37),'Variable index'!$M$36,AND(N63&gt;='Variable index'!$K$37,N63&lt;'Variable index'!$K$38),'Variable index'!$M$37,N63&gt;='Variable index'!$K$38,'Variable index'!$M$38),W63="No",0),"")</f>
        <v/>
      </c>
      <c r="Y63" s="188"/>
      <c r="Z63" s="336" t="str" cm="1">
        <f t="array" ref="Z63">IF(Y63&lt;&gt;"",_xlfn.IFS(Y63='Variable index'!$J$53,SUM('Variable index'!$K$49:$M$49),Y63='Variable index'!$J$54,SUM('Variable index'!$L$49:$M$49),Y63='Variable index'!$J$55,SUM('Variable index'!$M$49)),"")</f>
        <v/>
      </c>
      <c r="AA63" s="337" t="str" cm="1">
        <f t="array" ref="AA63">IFERROR(N63*(1+_xlfn.XLOOKUP(O63,'Rawlinsons regional indices'!$A$2:$A$63,'Rawlinsons regional indices'!$C$2:$C$63)+Q63+_xlfn.IFS(P63&lt;'Variable index'!$J$17,'Variable index'!$K$14,AND(P63&gt;='Variable index'!$J$17,P63&lt;'Variable index'!$J$18),'Variable index'!$L$14,P63&gt;='Variable index'!$J$18,'Variable index'!$M$14))+(IF(R63&lt;&gt;"",INDEX('Variable index'!$E$57:$F$65,MATCH($R63,'Variable index'!$C$57:$C$65,0),$F$12),0)*S63)+(IF(T63&lt;&gt;"",INDEX('Variable index'!$E$68:$F$73,MATCH($T63,'Variable index'!$C$68:$C$73,0),$F$12),0)*U63)+(N63*V63)+(N63*X63)+(N63*Z63),"")</f>
        <v/>
      </c>
      <c r="AB63" s="303"/>
      <c r="AC63" s="337" t="str">
        <f t="shared" si="1"/>
        <v/>
      </c>
      <c r="AD63" s="340" t="str">
        <f t="shared" si="2"/>
        <v/>
      </c>
    </row>
    <row r="64" spans="4:30" ht="12" x14ac:dyDescent="0.25">
      <c r="D64" s="216">
        <f t="shared" si="0"/>
        <v>48</v>
      </c>
      <c r="E64" s="312"/>
      <c r="F64" s="186"/>
      <c r="G64" s="185"/>
      <c r="H64" s="244">
        <f>IFERROR(_xlfn.XLOOKUP(F64,Lists!$C$47:$C$63,Lists!$D$47:$D$63),0)</f>
        <v>0</v>
      </c>
      <c r="I64" s="96"/>
      <c r="J64" s="96"/>
      <c r="K64" s="331" t="str" cm="1">
        <f t="array" ref="K64">IFERROR(IF($H64=0,INDEX('Variable index'!$E$79:$F$126,MATCH($F64,'Variable index'!$C$79:$C$126,0),$F$12),INDEX('Variable index'!$E$79:$F$127,MATCH(_xlfn.CONCAT($F64," - ",$G64),'Variable index'!$C$79:$C$126,0),$F$12)),"")</f>
        <v/>
      </c>
      <c r="L64" s="332" t="str">
        <f>IFERROR(_xlfn.CONCAT("$ per ",IF($H64=0,_xlfn.XLOOKUP($F64,'Variable index'!$C$79:$C$126,'Variable index'!$D$79:$D$126),_xlfn.XLOOKUP(_xlfn.CONCAT($F64," - ",$G64),'Variable index'!$C$79:$C$126,'Variable index'!$D$79:$D$126))),"")</f>
        <v/>
      </c>
      <c r="M64" s="140"/>
      <c r="N64" s="343" t="str">
        <f>IFERROR(IF(TableStormwater[[#This Row],[Unit quantity]]="","",TableStormwater[[#This Row],[Unit rate]]*TableStormwater[[#This Row],[Unit quantity]]),"")</f>
        <v/>
      </c>
      <c r="O64" s="238" t="str">
        <f>IF(TableStormwater[[#This Row],[Type of infrastructure]]&lt;&gt;"",Summary!$F$8,"")</f>
        <v/>
      </c>
      <c r="P64" s="239" t="str">
        <f>IF(TableStormwater[[#This Row],[Type of infrastructure]]&lt;&gt;"",Summary!$F$9,"")</f>
        <v/>
      </c>
      <c r="Q64" s="241"/>
      <c r="R64" s="188"/>
      <c r="S64" s="140"/>
      <c r="T64" s="188"/>
      <c r="U64" s="140"/>
      <c r="V64" s="336" t="str" cm="1">
        <f t="array" ref="V64">IF(N64&lt;&gt;"",_xlfn.IFS(AND(N64&gt;='Variable index'!$K$35,N64&lt;'Variable index'!$K$36),'Variable index'!$L$35,AND(N64&gt;='Variable index'!$K$36,N64&lt;'Variable index'!$K$37),'Variable index'!$L$36,AND(N64&gt;='Variable index'!$K$37,N64&lt;'Variable index'!$K$38),'Variable index'!$L$37,N64&gt;='Variable index'!$K$38,'Variable index'!$L$38),"")</f>
        <v/>
      </c>
      <c r="W64" s="237"/>
      <c r="X64" s="336" t="str" cm="1">
        <f t="array" ref="X64">IF(AND(W64&lt;&gt;"",N64&lt;&gt;""),_xlfn.IFS(W64="Yes",_xlfn.IFS(AND(N64&gt;='Variable index'!$K$35,N64&lt;'Variable index'!$K$36),'Variable index'!$M$35,AND(N64&gt;='Variable index'!$K$36,N64&lt;'Variable index'!$K$37),'Variable index'!$M$36,AND(N64&gt;='Variable index'!$K$37,N64&lt;'Variable index'!$K$38),'Variable index'!$M$37,N64&gt;='Variable index'!$K$38,'Variable index'!$M$38),W64="No",0),"")</f>
        <v/>
      </c>
      <c r="Y64" s="188"/>
      <c r="Z64" s="336" t="str" cm="1">
        <f t="array" ref="Z64">IF(Y64&lt;&gt;"",_xlfn.IFS(Y64='Variable index'!$J$53,SUM('Variable index'!$K$49:$M$49),Y64='Variable index'!$J$54,SUM('Variable index'!$L$49:$M$49),Y64='Variable index'!$J$55,SUM('Variable index'!$M$49)),"")</f>
        <v/>
      </c>
      <c r="AA64" s="337" t="str" cm="1">
        <f t="array" ref="AA64">IFERROR(N64*(1+_xlfn.XLOOKUP(O64,'Rawlinsons regional indices'!$A$2:$A$63,'Rawlinsons regional indices'!$C$2:$C$63)+Q64+_xlfn.IFS(P64&lt;'Variable index'!$J$17,'Variable index'!$K$14,AND(P64&gt;='Variable index'!$J$17,P64&lt;'Variable index'!$J$18),'Variable index'!$L$14,P64&gt;='Variable index'!$J$18,'Variable index'!$M$14))+(IF(R64&lt;&gt;"",INDEX('Variable index'!$E$57:$F$65,MATCH($R64,'Variable index'!$C$57:$C$65,0),$F$12),0)*S64)+(IF(T64&lt;&gt;"",INDEX('Variable index'!$E$68:$F$73,MATCH($T64,'Variable index'!$C$68:$C$73,0),$F$12),0)*U64)+(N64*V64)+(N64*X64)+(N64*Z64),"")</f>
        <v/>
      </c>
      <c r="AB64" s="303"/>
      <c r="AC64" s="337" t="str">
        <f t="shared" si="1"/>
        <v/>
      </c>
      <c r="AD64" s="340" t="str">
        <f t="shared" si="2"/>
        <v/>
      </c>
    </row>
    <row r="65" spans="4:30" ht="12" x14ac:dyDescent="0.25">
      <c r="D65" s="216">
        <f t="shared" si="0"/>
        <v>49</v>
      </c>
      <c r="E65" s="312"/>
      <c r="F65" s="186"/>
      <c r="G65" s="185"/>
      <c r="H65" s="244">
        <f>IFERROR(_xlfn.XLOOKUP(F65,Lists!$C$47:$C$63,Lists!$D$47:$D$63),0)</f>
        <v>0</v>
      </c>
      <c r="I65" s="96"/>
      <c r="J65" s="96"/>
      <c r="K65" s="331" t="str" cm="1">
        <f t="array" ref="K65">IFERROR(IF($H65=0,INDEX('Variable index'!$E$79:$F$126,MATCH($F65,'Variable index'!$C$79:$C$126,0),$F$12),INDEX('Variable index'!$E$79:$F$127,MATCH(_xlfn.CONCAT($F65," - ",$G65),'Variable index'!$C$79:$C$126,0),$F$12)),"")</f>
        <v/>
      </c>
      <c r="L65" s="332" t="str">
        <f>IFERROR(_xlfn.CONCAT("$ per ",IF($H65=0,_xlfn.XLOOKUP($F65,'Variable index'!$C$79:$C$126,'Variable index'!$D$79:$D$126),_xlfn.XLOOKUP(_xlfn.CONCAT($F65," - ",$G65),'Variable index'!$C$79:$C$126,'Variable index'!$D$79:$D$126))),"")</f>
        <v/>
      </c>
      <c r="M65" s="140"/>
      <c r="N65" s="343" t="str">
        <f>IFERROR(IF(TableStormwater[[#This Row],[Unit quantity]]="","",TableStormwater[[#This Row],[Unit rate]]*TableStormwater[[#This Row],[Unit quantity]]),"")</f>
        <v/>
      </c>
      <c r="O65" s="238" t="str">
        <f>IF(TableStormwater[[#This Row],[Type of infrastructure]]&lt;&gt;"",Summary!$F$8,"")</f>
        <v/>
      </c>
      <c r="P65" s="239" t="str">
        <f>IF(TableStormwater[[#This Row],[Type of infrastructure]]&lt;&gt;"",Summary!$F$9,"")</f>
        <v/>
      </c>
      <c r="Q65" s="241"/>
      <c r="R65" s="188"/>
      <c r="S65" s="140"/>
      <c r="T65" s="188"/>
      <c r="U65" s="140"/>
      <c r="V65" s="336" t="str" cm="1">
        <f t="array" ref="V65">IF(N65&lt;&gt;"",_xlfn.IFS(AND(N65&gt;='Variable index'!$K$35,N65&lt;'Variable index'!$K$36),'Variable index'!$L$35,AND(N65&gt;='Variable index'!$K$36,N65&lt;'Variable index'!$K$37),'Variable index'!$L$36,AND(N65&gt;='Variable index'!$K$37,N65&lt;'Variable index'!$K$38),'Variable index'!$L$37,N65&gt;='Variable index'!$K$38,'Variable index'!$L$38),"")</f>
        <v/>
      </c>
      <c r="W65" s="237"/>
      <c r="X65" s="336" t="str" cm="1">
        <f t="array" ref="X65">IF(AND(W65&lt;&gt;"",N65&lt;&gt;""),_xlfn.IFS(W65="Yes",_xlfn.IFS(AND(N65&gt;='Variable index'!$K$35,N65&lt;'Variable index'!$K$36),'Variable index'!$M$35,AND(N65&gt;='Variable index'!$K$36,N65&lt;'Variable index'!$K$37),'Variable index'!$M$36,AND(N65&gt;='Variable index'!$K$37,N65&lt;'Variable index'!$K$38),'Variable index'!$M$37,N65&gt;='Variable index'!$K$38,'Variable index'!$M$38),W65="No",0),"")</f>
        <v/>
      </c>
      <c r="Y65" s="188"/>
      <c r="Z65" s="336" t="str" cm="1">
        <f t="array" ref="Z65">IF(Y65&lt;&gt;"",_xlfn.IFS(Y65='Variable index'!$J$53,SUM('Variable index'!$K$49:$M$49),Y65='Variable index'!$J$54,SUM('Variable index'!$L$49:$M$49),Y65='Variable index'!$J$55,SUM('Variable index'!$M$49)),"")</f>
        <v/>
      </c>
      <c r="AA65" s="337" t="str" cm="1">
        <f t="array" ref="AA65">IFERROR(N65*(1+_xlfn.XLOOKUP(O65,'Rawlinsons regional indices'!$A$2:$A$63,'Rawlinsons regional indices'!$C$2:$C$63)+Q65+_xlfn.IFS(P65&lt;'Variable index'!$J$17,'Variable index'!$K$14,AND(P65&gt;='Variable index'!$J$17,P65&lt;'Variable index'!$J$18),'Variable index'!$L$14,P65&gt;='Variable index'!$J$18,'Variable index'!$M$14))+(IF(R65&lt;&gt;"",INDEX('Variable index'!$E$57:$F$65,MATCH($R65,'Variable index'!$C$57:$C$65,0),$F$12),0)*S65)+(IF(T65&lt;&gt;"",INDEX('Variable index'!$E$68:$F$73,MATCH($T65,'Variable index'!$C$68:$C$73,0),$F$12),0)*U65)+(N65*V65)+(N65*X65)+(N65*Z65),"")</f>
        <v/>
      </c>
      <c r="AB65" s="303"/>
      <c r="AC65" s="337" t="str">
        <f t="shared" si="1"/>
        <v/>
      </c>
      <c r="AD65" s="340" t="str">
        <f t="shared" si="2"/>
        <v/>
      </c>
    </row>
    <row r="66" spans="4:30" ht="12" x14ac:dyDescent="0.25">
      <c r="D66" s="216">
        <f t="shared" si="0"/>
        <v>50</v>
      </c>
      <c r="E66" s="312"/>
      <c r="F66" s="186"/>
      <c r="G66" s="185"/>
      <c r="H66" s="244">
        <f>IFERROR(_xlfn.XLOOKUP(F66,Lists!$C$47:$C$63,Lists!$D$47:$D$63),0)</f>
        <v>0</v>
      </c>
      <c r="I66" s="96"/>
      <c r="J66" s="96"/>
      <c r="K66" s="331" t="str" cm="1">
        <f t="array" ref="K66">IFERROR(IF($H66=0,INDEX('Variable index'!$E$79:$F$126,MATCH($F66,'Variable index'!$C$79:$C$126,0),$F$12),INDEX('Variable index'!$E$79:$F$127,MATCH(_xlfn.CONCAT($F66," - ",$G66),'Variable index'!$C$79:$C$126,0),$F$12)),"")</f>
        <v/>
      </c>
      <c r="L66" s="332" t="str">
        <f>IFERROR(_xlfn.CONCAT("$ per ",IF($H66=0,_xlfn.XLOOKUP($F66,'Variable index'!$C$79:$C$126,'Variable index'!$D$79:$D$126),_xlfn.XLOOKUP(_xlfn.CONCAT($F66," - ",$G66),'Variable index'!$C$79:$C$126,'Variable index'!$D$79:$D$126))),"")</f>
        <v/>
      </c>
      <c r="M66" s="140"/>
      <c r="N66" s="343" t="str">
        <f>IFERROR(IF(TableStormwater[[#This Row],[Unit quantity]]="","",TableStormwater[[#This Row],[Unit rate]]*TableStormwater[[#This Row],[Unit quantity]]),"")</f>
        <v/>
      </c>
      <c r="O66" s="238" t="str">
        <f>IF(TableStormwater[[#This Row],[Type of infrastructure]]&lt;&gt;"",Summary!$F$8,"")</f>
        <v/>
      </c>
      <c r="P66" s="239" t="str">
        <f>IF(TableStormwater[[#This Row],[Type of infrastructure]]&lt;&gt;"",Summary!$F$9,"")</f>
        <v/>
      </c>
      <c r="Q66" s="241"/>
      <c r="R66" s="188"/>
      <c r="S66" s="140"/>
      <c r="T66" s="188"/>
      <c r="U66" s="140"/>
      <c r="V66" s="336" t="str" cm="1">
        <f t="array" ref="V66">IF(N66&lt;&gt;"",_xlfn.IFS(AND(N66&gt;='Variable index'!$K$35,N66&lt;'Variable index'!$K$36),'Variable index'!$L$35,AND(N66&gt;='Variable index'!$K$36,N66&lt;'Variable index'!$K$37),'Variable index'!$L$36,AND(N66&gt;='Variable index'!$K$37,N66&lt;'Variable index'!$K$38),'Variable index'!$L$37,N66&gt;='Variable index'!$K$38,'Variable index'!$L$38),"")</f>
        <v/>
      </c>
      <c r="W66" s="237"/>
      <c r="X66" s="336" t="str" cm="1">
        <f t="array" ref="X66">IF(AND(W66&lt;&gt;"",N66&lt;&gt;""),_xlfn.IFS(W66="Yes",_xlfn.IFS(AND(N66&gt;='Variable index'!$K$35,N66&lt;'Variable index'!$K$36),'Variable index'!$M$35,AND(N66&gt;='Variable index'!$K$36,N66&lt;'Variable index'!$K$37),'Variable index'!$M$36,AND(N66&gt;='Variable index'!$K$37,N66&lt;'Variable index'!$K$38),'Variable index'!$M$37,N66&gt;='Variable index'!$K$38,'Variable index'!$M$38),W66="No",0),"")</f>
        <v/>
      </c>
      <c r="Y66" s="188"/>
      <c r="Z66" s="336" t="str" cm="1">
        <f t="array" ref="Z66">IF(Y66&lt;&gt;"",_xlfn.IFS(Y66='Variable index'!$J$53,SUM('Variable index'!$K$49:$M$49),Y66='Variable index'!$J$54,SUM('Variable index'!$L$49:$M$49),Y66='Variable index'!$J$55,SUM('Variable index'!$M$49)),"")</f>
        <v/>
      </c>
      <c r="AA66" s="337" t="str" cm="1">
        <f t="array" ref="AA66">IFERROR(N66*(1+_xlfn.XLOOKUP(O66,'Rawlinsons regional indices'!$A$2:$A$63,'Rawlinsons regional indices'!$C$2:$C$63)+Q66+_xlfn.IFS(P66&lt;'Variable index'!$J$17,'Variable index'!$K$14,AND(P66&gt;='Variable index'!$J$17,P66&lt;'Variable index'!$J$18),'Variable index'!$L$14,P66&gt;='Variable index'!$J$18,'Variable index'!$M$14))+(IF(R66&lt;&gt;"",INDEX('Variable index'!$E$57:$F$65,MATCH($R66,'Variable index'!$C$57:$C$65,0),$F$12),0)*S66)+(IF(T66&lt;&gt;"",INDEX('Variable index'!$E$68:$F$73,MATCH($T66,'Variable index'!$C$68:$C$73,0),$F$12),0)*U66)+(N66*V66)+(N66*X66)+(N66*Z66),"")</f>
        <v/>
      </c>
      <c r="AB66" s="303"/>
      <c r="AC66" s="337" t="str">
        <f t="shared" si="1"/>
        <v/>
      </c>
      <c r="AD66" s="340" t="str">
        <f t="shared" si="2"/>
        <v/>
      </c>
    </row>
    <row r="68" spans="4:30" x14ac:dyDescent="0.2">
      <c r="F68" s="153"/>
    </row>
    <row r="69" spans="4:30" ht="12" x14ac:dyDescent="0.25">
      <c r="F69" s="27"/>
    </row>
  </sheetData>
  <sheetProtection algorithmName="SHA-512" hashValue="LMjP0RwYTux4X21uGZ6XnSv03D30QN+WqVl86UinRb7LRrM9MG4nPAy9+Q+WLkglEyg+P8GfkJtsMeRdusMHzw==" saltValue="yoQHD/ofaGHFXpup74vN5w==" spinCount="100000" sheet="1" objects="1" scenarios="1"/>
  <dataValidations xWindow="240" yWindow="655" count="20">
    <dataValidation allowBlank="1" showInputMessage="1" showErrorMessage="1" promptTitle="On costs" prompt="On cost percentage will appear once the local infrastructure item's benchmark base construction cost has been calculated (Column N). The on cost percentage is based on the base construction cost of the item." sqref="V17:V66" xr:uid="{E7D00643-EE3E-47B8-A13D-486D0D09174C}"/>
    <dataValidation allowBlank="1" showInputMessage="1" showErrorMessage="1" promptTitle="Cultural heritage allowance" prompt="A cultural heritage allowance will appear once the item's benchmark base construction cost has been calculated (Column N) and 'Yes' or 'No' is selected from the drop-down in Column W. The allowance is based on the base construction cost of the item." sqref="X17:X66" xr:uid="{C7F6B23A-2B59-4183-BED7-70263491DB37}"/>
    <dataValidation allowBlank="1" showInputMessage="1" showErrorMessage="1" promptTitle="Contingency" prompt="Contingency percentage for the local infrastructure item will appear once a selection is made from the drop-down in Column Y. The contingency percentage is based on the base construction cost of the item." sqref="Z17:Z66" xr:uid="{49B970BF-F228-46C8-80A4-CB74584A40FF}"/>
    <dataValidation allowBlank="1" showInputMessage="1" showErrorMessage="1" promptTitle="Total benchmark cost" prompt="This is the total benchmark cost for this local infrastructure item, based on the unit quantity entered. This includes all applicable adjustment factors." sqref="AA17:AA66" xr:uid="{4B25E663-989F-4CCB-9961-58E108D61149}"/>
    <dataValidation allowBlank="1" showInputMessage="1" showErrorMessage="1" promptTitle="Percentage cost comparison" prompt="This is the difference between your works schedule's cost and IPART's benchmark cost for the infrastructure item as a percentage." sqref="AD17:AD66" xr:uid="{D1798547-9157-483D-8DFD-ADEA9659C8BD}"/>
    <dataValidation allowBlank="1" showInputMessage="1" showErrorMessage="1" promptTitle="Dollar cost comparison" prompt="This is the difference between your works schedule's cost and IPART's benchmark cost for the infrastructure item in dollars." sqref="AC17:AC66" xr:uid="{58470587-08C4-4543-957A-7B48D7392D24}"/>
    <dataValidation allowBlank="1" showInputMessage="1" showErrorMessage="1" promptTitle="Council costing" prompt="Type in the cost that has been quoted to council from a quantity surveyor report or other supporting cost evidence. Note that this cost will be compared to the total benchmark cost, which includes all adjustment factors." sqref="AB17:AB66" xr:uid="{B27073BD-9B98-4CF1-95D5-DE872577F7AA}"/>
    <dataValidation type="decimal" operator="greaterThan" allowBlank="1" showInputMessage="1" showErrorMessage="1" promptTitle="Enter contaminated land area" prompt="Type in the area of contaminated land remediation in square metres. For example, type in '20' for 20 square metres of contaminated land remediation. Leave blank if not applicable." sqref="U17:U66" xr:uid="{F3318110-B425-407D-ABB0-2495A346AF9A}">
      <formula1>0</formula1>
    </dataValidation>
    <dataValidation type="decimal" operator="greaterThan" allowBlank="1" showInputMessage="1" showErrorMessage="1" promptTitle="Enter disposal quantity" prompt="Type in the quantity of waste to be disposed in tonnes. For example, type in '5' for 5 tonnes of waste disposal. Leave blank if not applicable." sqref="S17:S66" xr:uid="{8C688B56-B171-4970-88F3-52B93E95AA4A}">
      <formula1>0</formula1>
    </dataValidation>
    <dataValidation type="decimal" operator="lessThanOrEqual" allowBlank="1" showInputMessage="1" showErrorMessage="1" promptTitle="Enter site constraint" prompt="Type in the site constraint factor for this item as a percentage. For infill works, the maximum percentage is 40%. For greenfield works, the maximum percentage is 15%. Evidence of the site constraint will be required." sqref="Q17:Q66" xr:uid="{D169AE8F-879A-41AE-BBD6-4FCECCFC4DB4}">
      <formula1>0.4</formula1>
    </dataValidation>
    <dataValidation allowBlank="1" showInputMessage="1" showErrorMessage="1" promptTitle="Proximity to raw materials" prompt="Proximity to raw materials in kilometres is taken from distance entered in the Summary page." sqref="P17:P66" xr:uid="{D14DF237-E7A7-4037-BA7D-8FE499AA0C64}"/>
    <dataValidation allowBlank="1" showInputMessage="1" showErrorMessage="1" promptTitle="Benchmark base cost" prompt="This is the benchmark base construction cost for this local infrastructure item, based on the unit quantity entered. This does not include any adjustment factors." sqref="N17:N66" xr:uid="{D7CBE70F-ED21-4163-86BD-F63D753C8694}"/>
    <dataValidation type="decimal" operator="greaterThan" allowBlank="1" showInputMessage="1" showErrorMessage="1" promptTitle="Enter unit quantity" prompt="Type in the unit quantity for the type of infrastructure selected. For example, type in '100' for a new local road of 100 metres, or type in '6' for 6 bus shelters." sqref="M17:M66" xr:uid="{A1F8255B-AB44-4356-AD96-DC9E17A475DF}">
      <formula1>0</formula1>
    </dataValidation>
    <dataValidation allowBlank="1" showInputMessage="1" showErrorMessage="1" promptTitle="Unit" prompt="This is the unit that the local infrastructure item's benchmark cost is based on." sqref="L17:L66" xr:uid="{DDA6BE12-7F30-4F07-A44B-0DFBBB908FE3}"/>
    <dataValidation allowBlank="1" showInputMessage="1" showErrorMessage="1" promptTitle="Location" prompt="Relevant Rawlinsons regional indices factor is taken from the location selected in the Summary page." sqref="O17:O66" xr:uid="{FAE3DFFA-FBFE-4AB9-8A1E-45196154E477}"/>
    <dataValidation type="list" errorStyle="warning" allowBlank="1" showInputMessage="1" showErrorMessage="1" errorTitle="Choose from drop-down" error="Select infrastructure item from drop-down list." promptTitle="Select sub-item" prompt="Select the local infrastructure sub-item from the drop-down list. If the type of infrastructure does not have an applicable sub-item, a drop-down list will not appear." sqref="G17:G66" xr:uid="{45E48C81-E075-4877-8AB3-31BC7C7C8063}">
      <formula1>INDIRECT($H17)</formula1>
    </dataValidation>
    <dataValidation allowBlank="1" showInputMessage="1" showErrorMessage="1" promptTitle="Enter item description" prompt="Type in an optional description for the local infrastructure item." sqref="I17:I66" xr:uid="{C0BEF14E-8D7C-42B4-9C4C-23E1239E2354}"/>
    <dataValidation type="list" allowBlank="1" showInputMessage="1" showErrorMessage="1" promptTitle="Select work project" prompt="Select the overarching project that the local infrastructure item is part of. The dropdown list is pulled from the 'Total project costs' worksheet, where the costs for individual items are rolled up to the project level." sqref="J17:J66" xr:uid="{2F4AC6C8-2883-4BC3-8DF2-513EA15AB90C}">
      <formula1>WorkProjects</formula1>
    </dataValidation>
    <dataValidation allowBlank="1" showInputMessage="1" showErrorMessage="1" promptTitle="Enter item reference" prompt="Type in the reference/identifier for the local infrastructure item." sqref="E17:E66" xr:uid="{370A8CB4-2A6D-4BD5-A2BF-13D0BD73D7C5}"/>
    <dataValidation allowBlank="1" showInputMessage="1" showErrorMessage="1" promptTitle="Unit rate" prompt="Benchmark unit rate for an infrastructure item will appear once an item is selected in Column F and, if applicable, a sub-item is selected in Column G." sqref="K17:K66" xr:uid="{36F71805-951E-4D28-9898-7EA8CA9DBB86}"/>
  </dataValidations>
  <pageMargins left="0.7" right="0.7" top="0.75" bottom="0.75" header="0.3" footer="0.3"/>
  <pageSetup paperSize="9"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xWindow="240" yWindow="655" count="5">
        <x14:dataValidation type="list" allowBlank="1" showInputMessage="1" showErrorMessage="1" promptTitle="Cultural heritage" prompt="Select 'Yes' or 'No' from the drop-down list if further costs are expected to be incurred on the site for this work due to cultural heritage." xr:uid="{92F1120B-7E1B-467A-8D47-F3E89666A700}">
          <x14:formula1>
            <xm:f>'Variable index'!$J$41:$J$42</xm:f>
          </x14:formula1>
          <xm:sqref>W17:W66</xm:sqref>
        </x14:dataValidation>
        <x14:dataValidation type="list" allowBlank="1" showInputMessage="1" showErrorMessage="1" promptTitle="Select stage of development" prompt="Select the stage of development that the infrastructure item is at from the drop-down list. This will allow for the appropriate contingency factor to be applied." xr:uid="{29EAF2C0-1C71-4015-BF1E-D5F83E68297F}">
          <x14:formula1>
            <xm:f>'Variable index'!$K$47:$M$47</xm:f>
          </x14:formula1>
          <xm:sqref>Y17:Y66</xm:sqref>
        </x14:dataValidation>
        <x14:dataValidation type="list" errorStyle="warning" allowBlank="1" showInputMessage="1" showErrorMessage="1" errorTitle="Choose from drop-down" error="Select infrastructure item from drop-down list." promptTitle="Select item" prompt="Select the local infrastructure item from the drop-down list." xr:uid="{D2C05EB7-B729-49A5-9035-07702E9FDAF8}">
          <x14:formula1>
            <xm:f>Lists!$C$47:$C$63</xm:f>
          </x14:formula1>
          <xm:sqref>F17:F66</xm:sqref>
        </x14:dataValidation>
        <x14:dataValidation type="list" allowBlank="1" showInputMessage="1" showErrorMessage="1" promptTitle="Select land contamination" prompt="Only if applicable, select the type of land contamination remediation required for the item from the drop-down list. Leave blank if not applicable." xr:uid="{A71BC708-160D-4637-9936-825936ED3D4F}">
          <x14:formula1>
            <xm:f>'Variable index'!$C$68:$C$73</xm:f>
          </x14:formula1>
          <xm:sqref>T17:T66</xm:sqref>
        </x14:dataValidation>
        <x14:dataValidation type="list" allowBlank="1" showInputMessage="1" showErrorMessage="1" promptTitle="Select waste disposal" prompt="Only if applicable, select the type of waste disposal required for the item from the drop-down list. Leave blank if not applicable." xr:uid="{98E88E0E-8850-463F-B87D-02E638D5BFB4}">
          <x14:formula1>
            <xm:f>'Variable index'!$C$57:$C$65</xm:f>
          </x14:formula1>
          <xm:sqref>R17:R66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C96AD-1220-4B8D-A51D-69E8FE52E0C7}">
  <sheetPr codeName="Sheet14">
    <tabColor rgb="FF93B9FF"/>
  </sheetPr>
  <dimension ref="D4:GW41"/>
  <sheetViews>
    <sheetView showGridLines="0" zoomScaleNormal="100" workbookViewId="0">
      <pane xSplit="4" topLeftCell="E1" activePane="topRight" state="frozen"/>
      <selection pane="topRight"/>
    </sheetView>
  </sheetViews>
  <sheetFormatPr defaultRowHeight="11.4" x14ac:dyDescent="0.2"/>
  <cols>
    <col min="1" max="3" width="3.25" customWidth="1"/>
    <col min="4" max="4" width="40.375" customWidth="1"/>
    <col min="5" max="5" width="4" customWidth="1"/>
    <col min="6" max="6" width="34" customWidth="1"/>
    <col min="7" max="7" width="11.25" customWidth="1"/>
    <col min="8" max="8" width="12.25" customWidth="1"/>
    <col min="9" max="9" width="4" customWidth="1"/>
    <col min="10" max="10" width="34.125" customWidth="1"/>
    <col min="11" max="11" width="11.25" customWidth="1"/>
    <col min="12" max="12" width="12.25" customWidth="1"/>
    <col min="13" max="13" width="4" customWidth="1"/>
    <col min="14" max="14" width="34.125" customWidth="1"/>
    <col min="15" max="15" width="11.25" customWidth="1"/>
    <col min="16" max="16" width="12.25" customWidth="1"/>
    <col min="17" max="17" width="4" customWidth="1"/>
    <col min="18" max="18" width="34.125" customWidth="1"/>
    <col min="19" max="19" width="11.25" customWidth="1"/>
    <col min="20" max="20" width="12.25" customWidth="1"/>
    <col min="21" max="21" width="4" customWidth="1"/>
    <col min="22" max="22" width="34.125" customWidth="1"/>
    <col min="23" max="23" width="11.25" customWidth="1"/>
    <col min="24" max="24" width="12.25" customWidth="1"/>
    <col min="25" max="25" width="4" customWidth="1"/>
    <col min="26" max="26" width="34.125" customWidth="1"/>
    <col min="27" max="27" width="11.25" customWidth="1"/>
    <col min="28" max="28" width="12.25" customWidth="1"/>
    <col min="29" max="29" width="4" customWidth="1"/>
    <col min="30" max="30" width="34.125" customWidth="1"/>
    <col min="31" max="31" width="11.25" customWidth="1"/>
    <col min="32" max="32" width="12.25" customWidth="1"/>
    <col min="33" max="33" width="4" customWidth="1"/>
    <col min="34" max="34" width="34.125" customWidth="1"/>
    <col min="35" max="35" width="11.25" customWidth="1"/>
    <col min="36" max="36" width="12.25" customWidth="1"/>
    <col min="37" max="37" width="4" customWidth="1"/>
    <col min="38" max="38" width="34.125" customWidth="1"/>
    <col min="39" max="39" width="11.25" customWidth="1"/>
    <col min="40" max="40" width="12.25" customWidth="1"/>
    <col min="41" max="41" width="4" customWidth="1"/>
    <col min="42" max="42" width="34.125" customWidth="1"/>
    <col min="43" max="43" width="11.25" customWidth="1"/>
    <col min="44" max="44" width="12.25" customWidth="1"/>
    <col min="45" max="45" width="4" customWidth="1"/>
    <col min="46" max="46" width="34.125" customWidth="1"/>
    <col min="47" max="47" width="11.25" customWidth="1"/>
    <col min="48" max="48" width="12.25" customWidth="1"/>
    <col min="49" max="49" width="4" customWidth="1"/>
    <col min="50" max="50" width="34.125" customWidth="1"/>
    <col min="51" max="51" width="11.25" customWidth="1"/>
    <col min="52" max="52" width="12.25" customWidth="1"/>
    <col min="53" max="53" width="4" customWidth="1"/>
    <col min="54" max="54" width="34.125" customWidth="1"/>
    <col min="55" max="55" width="11.25" customWidth="1"/>
    <col min="56" max="56" width="12.25" customWidth="1"/>
    <col min="57" max="57" width="4" customWidth="1"/>
    <col min="58" max="58" width="34.125" customWidth="1"/>
    <col min="59" max="59" width="11.25" customWidth="1"/>
    <col min="60" max="60" width="12.25" customWidth="1"/>
    <col min="61" max="61" width="4" customWidth="1"/>
    <col min="62" max="62" width="34.125" customWidth="1"/>
    <col min="63" max="63" width="11.25" customWidth="1"/>
    <col min="64" max="64" width="12.25" customWidth="1"/>
    <col min="65" max="65" width="4" customWidth="1"/>
    <col min="66" max="66" width="34.125" customWidth="1"/>
    <col min="67" max="67" width="11.25" customWidth="1"/>
    <col min="68" max="68" width="12.25" customWidth="1"/>
    <col min="69" max="69" width="4" customWidth="1"/>
    <col min="70" max="70" width="34.125" customWidth="1"/>
    <col min="71" max="71" width="11.25" customWidth="1"/>
    <col min="72" max="72" width="12.25" customWidth="1"/>
    <col min="73" max="73" width="4" customWidth="1"/>
    <col min="74" max="74" width="34.125" customWidth="1"/>
    <col min="75" max="75" width="11.25" customWidth="1"/>
    <col min="76" max="76" width="12.25" customWidth="1"/>
    <col min="77" max="77" width="4" customWidth="1"/>
    <col min="78" max="78" width="34.125" customWidth="1"/>
    <col min="79" max="79" width="11.25" customWidth="1"/>
    <col min="80" max="80" width="12.25" customWidth="1"/>
    <col min="81" max="81" width="4" customWidth="1"/>
    <col min="82" max="82" width="34.125" customWidth="1"/>
    <col min="83" max="83" width="11.25" customWidth="1"/>
    <col min="84" max="84" width="12.25" customWidth="1"/>
    <col min="85" max="85" width="4" customWidth="1"/>
    <col min="86" max="86" width="34.125" customWidth="1"/>
    <col min="87" max="87" width="11.25" customWidth="1"/>
    <col min="88" max="88" width="12.25" customWidth="1"/>
    <col min="89" max="89" width="4" customWidth="1"/>
    <col min="90" max="90" width="34.125" customWidth="1"/>
    <col min="91" max="91" width="11.25" customWidth="1"/>
    <col min="92" max="92" width="12.25" customWidth="1"/>
    <col min="93" max="93" width="4" customWidth="1"/>
    <col min="94" max="94" width="34.125" customWidth="1"/>
    <col min="95" max="95" width="11.25" customWidth="1"/>
    <col min="96" max="96" width="12.25" customWidth="1"/>
    <col min="97" max="97" width="4" customWidth="1"/>
    <col min="98" max="98" width="34.125" customWidth="1"/>
    <col min="99" max="99" width="11.25" customWidth="1"/>
    <col min="100" max="100" width="12.25" customWidth="1"/>
    <col min="101" max="101" width="4" customWidth="1"/>
    <col min="102" max="102" width="34.125" customWidth="1"/>
    <col min="103" max="103" width="11.25" customWidth="1"/>
    <col min="104" max="104" width="12.25" customWidth="1"/>
    <col min="105" max="105" width="4" customWidth="1"/>
    <col min="106" max="106" width="34.125" customWidth="1"/>
    <col min="107" max="107" width="11.25" customWidth="1"/>
    <col min="108" max="108" width="12.25" customWidth="1"/>
    <col min="109" max="109" width="4" customWidth="1"/>
    <col min="110" max="110" width="34.125" customWidth="1"/>
    <col min="111" max="111" width="11.25" customWidth="1"/>
    <col min="112" max="112" width="12.25" customWidth="1"/>
    <col min="113" max="113" width="4" customWidth="1"/>
    <col min="114" max="114" width="34.125" customWidth="1"/>
    <col min="115" max="115" width="11.25" customWidth="1"/>
    <col min="116" max="116" width="12.25" customWidth="1"/>
    <col min="117" max="117" width="4" customWidth="1"/>
    <col min="118" max="118" width="34.125" customWidth="1"/>
    <col min="119" max="119" width="11.25" customWidth="1"/>
    <col min="120" max="120" width="12.25" customWidth="1"/>
    <col min="121" max="121" width="4" customWidth="1"/>
    <col min="122" max="122" width="34.125" customWidth="1"/>
    <col min="123" max="123" width="11.25" customWidth="1"/>
    <col min="124" max="124" width="12.25" customWidth="1"/>
    <col min="125" max="125" width="4" customWidth="1"/>
    <col min="126" max="126" width="34.125" customWidth="1"/>
    <col min="127" max="127" width="11.25" customWidth="1"/>
    <col min="128" max="128" width="12.25" customWidth="1"/>
    <col min="129" max="129" width="4" customWidth="1"/>
    <col min="130" max="130" width="34.125" customWidth="1"/>
    <col min="131" max="131" width="11.25" customWidth="1"/>
    <col min="132" max="132" width="12.25" customWidth="1"/>
    <col min="133" max="133" width="4" customWidth="1"/>
    <col min="134" max="134" width="34.125" customWidth="1"/>
    <col min="135" max="135" width="11.25" customWidth="1"/>
    <col min="136" max="136" width="12.25" customWidth="1"/>
    <col min="137" max="137" width="4" customWidth="1"/>
    <col min="138" max="138" width="34.125" customWidth="1"/>
    <col min="139" max="139" width="11.25" customWidth="1"/>
    <col min="140" max="140" width="12.25" customWidth="1"/>
    <col min="141" max="141" width="4" customWidth="1"/>
    <col min="142" max="142" width="34.125" customWidth="1"/>
    <col min="143" max="143" width="11.25" customWidth="1"/>
    <col min="144" max="144" width="12.25" customWidth="1"/>
    <col min="145" max="145" width="4" customWidth="1"/>
    <col min="146" max="146" width="34.125" customWidth="1"/>
    <col min="147" max="147" width="11.25" customWidth="1"/>
    <col min="148" max="148" width="12.25" customWidth="1"/>
    <col min="149" max="149" width="4" customWidth="1"/>
    <col min="150" max="150" width="34.125" customWidth="1"/>
    <col min="151" max="151" width="11.25" customWidth="1"/>
    <col min="152" max="152" width="12.25" customWidth="1"/>
    <col min="153" max="153" width="4" customWidth="1"/>
    <col min="154" max="154" width="34.125" customWidth="1"/>
    <col min="155" max="155" width="11.25" customWidth="1"/>
    <col min="156" max="156" width="12.25" customWidth="1"/>
    <col min="157" max="157" width="4" customWidth="1"/>
    <col min="158" max="158" width="34.125" customWidth="1"/>
    <col min="159" max="159" width="11.25" customWidth="1"/>
    <col min="160" max="160" width="12.25" customWidth="1"/>
    <col min="161" max="161" width="4" customWidth="1"/>
    <col min="162" max="162" width="34.125" customWidth="1"/>
    <col min="163" max="163" width="11.25" customWidth="1"/>
    <col min="164" max="164" width="12.25" customWidth="1"/>
    <col min="165" max="165" width="4" customWidth="1"/>
    <col min="166" max="166" width="34.125" customWidth="1"/>
    <col min="167" max="167" width="11.25" customWidth="1"/>
    <col min="168" max="168" width="12.25" customWidth="1"/>
    <col min="169" max="169" width="4" customWidth="1"/>
    <col min="170" max="170" width="34.125" customWidth="1"/>
    <col min="171" max="171" width="11.25" customWidth="1"/>
    <col min="172" max="172" width="12.25" customWidth="1"/>
    <col min="173" max="173" width="4" customWidth="1"/>
    <col min="174" max="174" width="34.125" customWidth="1"/>
    <col min="175" max="175" width="11.25" customWidth="1"/>
    <col min="176" max="176" width="12.25" customWidth="1"/>
    <col min="177" max="177" width="4" customWidth="1"/>
    <col min="178" max="178" width="34.125" customWidth="1"/>
    <col min="179" max="179" width="11.25" customWidth="1"/>
    <col min="180" max="180" width="12.25" customWidth="1"/>
    <col min="181" max="181" width="4" customWidth="1"/>
    <col min="182" max="182" width="34.125" customWidth="1"/>
    <col min="183" max="183" width="11.25" customWidth="1"/>
    <col min="184" max="184" width="12.25" customWidth="1"/>
    <col min="185" max="185" width="4" customWidth="1"/>
    <col min="186" max="186" width="34.125" customWidth="1"/>
    <col min="187" max="187" width="11.25" customWidth="1"/>
    <col min="188" max="188" width="12.25" customWidth="1"/>
    <col min="189" max="189" width="4" customWidth="1"/>
    <col min="190" max="190" width="34.125" customWidth="1"/>
    <col min="191" max="191" width="11.25" customWidth="1"/>
    <col min="192" max="192" width="12.25" customWidth="1"/>
    <col min="193" max="193" width="4" customWidth="1"/>
    <col min="194" max="194" width="34.125" customWidth="1"/>
    <col min="195" max="195" width="11.25" customWidth="1"/>
    <col min="196" max="196" width="12.25" customWidth="1"/>
    <col min="197" max="197" width="4" customWidth="1"/>
    <col min="198" max="198" width="34.125" customWidth="1"/>
    <col min="199" max="199" width="11.25" customWidth="1"/>
    <col min="200" max="200" width="12.25" customWidth="1"/>
    <col min="201" max="201" width="4" customWidth="1"/>
    <col min="202" max="202" width="34.125" customWidth="1"/>
    <col min="203" max="203" width="11.25" customWidth="1"/>
    <col min="204" max="204" width="12.25" customWidth="1"/>
    <col min="205" max="205" width="4" customWidth="1"/>
  </cols>
  <sheetData>
    <row r="4" spans="4:204" ht="19.8" thickBot="1" x14ac:dyDescent="0.4">
      <c r="D4" s="146" t="s">
        <v>174</v>
      </c>
      <c r="E4" s="146"/>
      <c r="F4" s="146"/>
      <c r="G4" s="146"/>
      <c r="H4" s="146"/>
    </row>
    <row r="5" spans="4:204" ht="12" thickTop="1" x14ac:dyDescent="0.2"/>
    <row r="6" spans="4:204" ht="14.4" x14ac:dyDescent="0.3">
      <c r="D6" s="148" t="s">
        <v>748</v>
      </c>
      <c r="F6" s="148"/>
      <c r="G6" s="148"/>
      <c r="H6" s="148"/>
    </row>
    <row r="7" spans="4:204" ht="14.4" x14ac:dyDescent="0.3">
      <c r="D7" s="148" t="s">
        <v>749</v>
      </c>
      <c r="F7" s="148"/>
      <c r="G7" s="148"/>
      <c r="H7" s="148"/>
    </row>
    <row r="8" spans="4:204" ht="14.4" x14ac:dyDescent="0.3">
      <c r="D8" s="148"/>
      <c r="F8" s="148"/>
      <c r="G8" s="148"/>
      <c r="H8" s="148"/>
    </row>
    <row r="9" spans="4:204" ht="14.4" x14ac:dyDescent="0.3">
      <c r="D9" s="148"/>
      <c r="F9" s="148"/>
      <c r="G9" s="148"/>
      <c r="H9" s="148"/>
    </row>
    <row r="10" spans="4:204" x14ac:dyDescent="0.2">
      <c r="D10" s="190" t="s">
        <v>605</v>
      </c>
    </row>
    <row r="11" spans="4:204" x14ac:dyDescent="0.2">
      <c r="D11" s="206" t="str">
        <f>Summary!$F$11</f>
        <v>$2025-26</v>
      </c>
    </row>
    <row r="12" spans="4:204" x14ac:dyDescent="0.2">
      <c r="D12" s="191">
        <f>MATCH(D11,Lists!$C$3:$C$4,)</f>
        <v>2</v>
      </c>
    </row>
    <row r="13" spans="4:204" x14ac:dyDescent="0.2">
      <c r="D13" s="191"/>
    </row>
    <row r="14" spans="4:204" s="234" customFormat="1" hidden="1" x14ac:dyDescent="0.2">
      <c r="D14" s="234" t="s">
        <v>715</v>
      </c>
      <c r="F14" s="234">
        <v>1</v>
      </c>
      <c r="J14" s="234">
        <f>F14+1</f>
        <v>2</v>
      </c>
      <c r="N14" s="234">
        <f>J14+1</f>
        <v>3</v>
      </c>
      <c r="R14" s="234">
        <f>N14+1</f>
        <v>4</v>
      </c>
      <c r="V14" s="234">
        <f>R14+1</f>
        <v>5</v>
      </c>
      <c r="Z14" s="234">
        <f>V14+1</f>
        <v>6</v>
      </c>
      <c r="AD14" s="234">
        <f>Z14+1</f>
        <v>7</v>
      </c>
      <c r="AH14" s="234">
        <f>AD14+1</f>
        <v>8</v>
      </c>
      <c r="AL14" s="234">
        <f>AH14+1</f>
        <v>9</v>
      </c>
      <c r="AP14" s="234">
        <f>AL14+1</f>
        <v>10</v>
      </c>
      <c r="AT14" s="234">
        <f>AP14+1</f>
        <v>11</v>
      </c>
      <c r="AX14" s="234">
        <f>AT14+1</f>
        <v>12</v>
      </c>
      <c r="BB14" s="234">
        <f>AX14+1</f>
        <v>13</v>
      </c>
      <c r="BF14" s="234">
        <f>BB14+1</f>
        <v>14</v>
      </c>
      <c r="BJ14" s="234">
        <f>BF14+1</f>
        <v>15</v>
      </c>
      <c r="BN14" s="234">
        <f>BJ14+1</f>
        <v>16</v>
      </c>
      <c r="BR14" s="234">
        <f>BN14+1</f>
        <v>17</v>
      </c>
      <c r="BV14" s="234">
        <f>BR14+1</f>
        <v>18</v>
      </c>
      <c r="BZ14" s="234">
        <f>BV14+1</f>
        <v>19</v>
      </c>
      <c r="CD14" s="234">
        <f>BZ14+1</f>
        <v>20</v>
      </c>
      <c r="CH14" s="234">
        <f>CD14+1</f>
        <v>21</v>
      </c>
      <c r="CL14" s="234">
        <f>CH14+1</f>
        <v>22</v>
      </c>
      <c r="CP14" s="234">
        <f>CL14+1</f>
        <v>23</v>
      </c>
      <c r="CT14" s="234">
        <f>CP14+1</f>
        <v>24</v>
      </c>
      <c r="CX14" s="234">
        <f>CT14+1</f>
        <v>25</v>
      </c>
      <c r="DB14" s="234">
        <f>CX14+1</f>
        <v>26</v>
      </c>
      <c r="DF14" s="234">
        <f>DB14+1</f>
        <v>27</v>
      </c>
      <c r="DJ14" s="234">
        <f>DF14+1</f>
        <v>28</v>
      </c>
      <c r="DN14" s="234">
        <f>DJ14+1</f>
        <v>29</v>
      </c>
      <c r="DR14" s="234">
        <f>DN14+1</f>
        <v>30</v>
      </c>
      <c r="DV14" s="234">
        <f>DR14+1</f>
        <v>31</v>
      </c>
      <c r="DZ14" s="234">
        <f>DV14+1</f>
        <v>32</v>
      </c>
      <c r="ED14" s="234">
        <f>DZ14+1</f>
        <v>33</v>
      </c>
      <c r="EH14" s="234">
        <f>ED14+1</f>
        <v>34</v>
      </c>
      <c r="EL14" s="234">
        <f>EH14+1</f>
        <v>35</v>
      </c>
      <c r="EP14" s="234">
        <f>EL14+1</f>
        <v>36</v>
      </c>
      <c r="ET14" s="234">
        <f>EP14+1</f>
        <v>37</v>
      </c>
      <c r="EX14" s="234">
        <f>ET14+1</f>
        <v>38</v>
      </c>
      <c r="FB14" s="234">
        <f>EX14+1</f>
        <v>39</v>
      </c>
      <c r="FF14" s="234">
        <f>FB14+1</f>
        <v>40</v>
      </c>
      <c r="FJ14" s="234">
        <f>FF14+1</f>
        <v>41</v>
      </c>
      <c r="FN14" s="234">
        <f>FJ14+1</f>
        <v>42</v>
      </c>
      <c r="FR14" s="234">
        <f>FN14+1</f>
        <v>43</v>
      </c>
      <c r="FV14" s="234">
        <f>FR14+1</f>
        <v>44</v>
      </c>
      <c r="FZ14" s="234">
        <f>FV14+1</f>
        <v>45</v>
      </c>
      <c r="GD14" s="234">
        <f>FZ14+1</f>
        <v>46</v>
      </c>
      <c r="GH14" s="234">
        <f>GD14+1</f>
        <v>47</v>
      </c>
      <c r="GL14" s="234">
        <f>GH14+1</f>
        <v>48</v>
      </c>
      <c r="GP14" s="234">
        <f>GL14+1</f>
        <v>49</v>
      </c>
      <c r="GT14" s="234">
        <f>GP14+1</f>
        <v>50</v>
      </c>
    </row>
    <row r="15" spans="4:204" ht="30.75" customHeight="1" x14ac:dyDescent="0.2">
      <c r="D15" s="167" t="s">
        <v>146</v>
      </c>
      <c r="F15" s="248" t="str">
        <f>IF(_xlfn.XLOOKUP(F$14,TableStormwater['#],TableStormwater[Type of infrastructure])&lt;&gt;"",_xlfn.XLOOKUP(F$14,TableStormwater['#],TableStormwater[Type of infrastructure]),"")</f>
        <v/>
      </c>
      <c r="G15" s="248"/>
      <c r="H15" s="248"/>
      <c r="J15" s="248" t="str">
        <f>IF(_xlfn.XLOOKUP(J$14,TableStormwater['#],TableStormwater[Type of infrastructure])&lt;&gt;"",_xlfn.XLOOKUP(J$14,TableStormwater['#],TableStormwater[Type of infrastructure]),"")</f>
        <v/>
      </c>
      <c r="K15" s="248"/>
      <c r="L15" s="248"/>
      <c r="N15" s="248" t="str">
        <f>IF(_xlfn.XLOOKUP(N$14,TableStormwater['#],TableStormwater[Type of infrastructure])&lt;&gt;"",_xlfn.XLOOKUP(N$14,TableStormwater['#],TableStormwater[Type of infrastructure]),"")</f>
        <v/>
      </c>
      <c r="O15" s="248"/>
      <c r="P15" s="248"/>
      <c r="R15" s="248" t="str">
        <f>IF(_xlfn.XLOOKUP(R$14,TableStormwater['#],TableStormwater[Type of infrastructure])&lt;&gt;"",_xlfn.XLOOKUP(R$14,TableStormwater['#],TableStormwater[Type of infrastructure]),"")</f>
        <v/>
      </c>
      <c r="S15" s="248"/>
      <c r="T15" s="248"/>
      <c r="V15" s="248" t="str">
        <f>IF(_xlfn.XLOOKUP(V$14,TableStormwater['#],TableStormwater[Type of infrastructure])&lt;&gt;"",_xlfn.XLOOKUP(V$14,TableStormwater['#],TableStormwater[Type of infrastructure]),"")</f>
        <v/>
      </c>
      <c r="W15" s="248"/>
      <c r="X15" s="248"/>
      <c r="Z15" s="248" t="str">
        <f>IF(_xlfn.XLOOKUP(Z$14,TableStormwater['#],TableStormwater[Type of infrastructure])&lt;&gt;"",_xlfn.XLOOKUP(Z$14,TableStormwater['#],TableStormwater[Type of infrastructure]),"")</f>
        <v/>
      </c>
      <c r="AA15" s="248"/>
      <c r="AB15" s="248"/>
      <c r="AD15" s="248" t="str">
        <f>IF(_xlfn.XLOOKUP(AD$14,TableStormwater['#],TableStormwater[Type of infrastructure])&lt;&gt;"",_xlfn.XLOOKUP(AD$14,TableStormwater['#],TableStormwater[Type of infrastructure]),"")</f>
        <v/>
      </c>
      <c r="AE15" s="248"/>
      <c r="AF15" s="248"/>
      <c r="AH15" s="248" t="str">
        <f>IF(_xlfn.XLOOKUP(AH$14,TableStormwater['#],TableStormwater[Type of infrastructure])&lt;&gt;"",_xlfn.XLOOKUP(AH$14,TableStormwater['#],TableStormwater[Type of infrastructure]),"")</f>
        <v/>
      </c>
      <c r="AI15" s="248"/>
      <c r="AJ15" s="248"/>
      <c r="AL15" s="248" t="str">
        <f>IF(_xlfn.XLOOKUP(AL$14,TableStormwater['#],TableStormwater[Type of infrastructure])&lt;&gt;"",_xlfn.XLOOKUP(AL$14,TableStormwater['#],TableStormwater[Type of infrastructure]),"")</f>
        <v/>
      </c>
      <c r="AM15" s="248"/>
      <c r="AN15" s="248"/>
      <c r="AP15" s="248" t="str">
        <f>IF(_xlfn.XLOOKUP(AP$14,TableStormwater['#],TableStormwater[Type of infrastructure])&lt;&gt;"",_xlfn.XLOOKUP(AP$14,TableStormwater['#],TableStormwater[Type of infrastructure]),"")</f>
        <v/>
      </c>
      <c r="AQ15" s="248"/>
      <c r="AR15" s="248"/>
      <c r="AT15" s="248" t="str">
        <f>IF(_xlfn.XLOOKUP(AT$14,TableStormwater['#],TableStormwater[Type of infrastructure])&lt;&gt;"",_xlfn.XLOOKUP(AT$14,TableStormwater['#],TableStormwater[Type of infrastructure]),"")</f>
        <v/>
      </c>
      <c r="AU15" s="248"/>
      <c r="AV15" s="248"/>
      <c r="AX15" s="248" t="str">
        <f>IF(_xlfn.XLOOKUP(AX$14,TableStormwater['#],TableStormwater[Type of infrastructure])&lt;&gt;"",_xlfn.XLOOKUP(AX$14,TableStormwater['#],TableStormwater[Type of infrastructure]),"")</f>
        <v/>
      </c>
      <c r="AY15" s="248"/>
      <c r="AZ15" s="248"/>
      <c r="BB15" s="248" t="str">
        <f>IF(_xlfn.XLOOKUP(BB$14,TableStormwater['#],TableStormwater[Type of infrastructure])&lt;&gt;"",_xlfn.XLOOKUP(BB$14,TableStormwater['#],TableStormwater[Type of infrastructure]),"")</f>
        <v/>
      </c>
      <c r="BC15" s="248"/>
      <c r="BD15" s="248"/>
      <c r="BF15" s="248" t="str">
        <f>IF(_xlfn.XLOOKUP(BF$14,TableStormwater['#],TableStormwater[Type of infrastructure])&lt;&gt;"",_xlfn.XLOOKUP(BF$14,TableStormwater['#],TableStormwater[Type of infrastructure]),"")</f>
        <v/>
      </c>
      <c r="BG15" s="248"/>
      <c r="BH15" s="248"/>
      <c r="BJ15" s="248" t="str">
        <f>IF(_xlfn.XLOOKUP(BJ$14,TableStormwater['#],TableStormwater[Type of infrastructure])&lt;&gt;"",_xlfn.XLOOKUP(BJ$14,TableStormwater['#],TableStormwater[Type of infrastructure]),"")</f>
        <v/>
      </c>
      <c r="BK15" s="248"/>
      <c r="BL15" s="248"/>
      <c r="BN15" s="248" t="str">
        <f>IF(_xlfn.XLOOKUP(BN$14,TableStormwater['#],TableStormwater[Type of infrastructure])&lt;&gt;"",_xlfn.XLOOKUP(BN$14,TableStormwater['#],TableStormwater[Type of infrastructure]),"")</f>
        <v/>
      </c>
      <c r="BO15" s="248"/>
      <c r="BP15" s="248"/>
      <c r="BR15" s="248" t="str">
        <f>IF(_xlfn.XLOOKUP(BR$14,TableStormwater['#],TableStormwater[Type of infrastructure])&lt;&gt;"",_xlfn.XLOOKUP(BR$14,TableStormwater['#],TableStormwater[Type of infrastructure]),"")</f>
        <v/>
      </c>
      <c r="BS15" s="248"/>
      <c r="BT15" s="248"/>
      <c r="BV15" s="248" t="str">
        <f>IF(_xlfn.XLOOKUP(BV$14,TableStormwater['#],TableStormwater[Type of infrastructure])&lt;&gt;"",_xlfn.XLOOKUP(BV$14,TableStormwater['#],TableStormwater[Type of infrastructure]),"")</f>
        <v/>
      </c>
      <c r="BW15" s="248"/>
      <c r="BX15" s="248"/>
      <c r="BZ15" s="248" t="str">
        <f>IF(_xlfn.XLOOKUP(BZ$14,TableStormwater['#],TableStormwater[Type of infrastructure])&lt;&gt;"",_xlfn.XLOOKUP(BZ$14,TableStormwater['#],TableStormwater[Type of infrastructure]),"")</f>
        <v/>
      </c>
      <c r="CA15" s="248"/>
      <c r="CB15" s="248"/>
      <c r="CD15" s="248" t="str">
        <f>IF(_xlfn.XLOOKUP(CD$14,TableStormwater['#],TableStormwater[Type of infrastructure])&lt;&gt;"",_xlfn.XLOOKUP(CD$14,TableStormwater['#],TableStormwater[Type of infrastructure]),"")</f>
        <v/>
      </c>
      <c r="CE15" s="248"/>
      <c r="CF15" s="248"/>
      <c r="CH15" s="248" t="str">
        <f>IF(_xlfn.XLOOKUP(CH$14,TableStormwater['#],TableStormwater[Type of infrastructure])&lt;&gt;"",_xlfn.XLOOKUP(CH$14,TableStormwater['#],TableStormwater[Type of infrastructure]),"")</f>
        <v/>
      </c>
      <c r="CI15" s="248"/>
      <c r="CJ15" s="248"/>
      <c r="CL15" s="248" t="str">
        <f>IF(_xlfn.XLOOKUP(CL$14,TableStormwater['#],TableStormwater[Type of infrastructure])&lt;&gt;"",_xlfn.XLOOKUP(CL$14,TableStormwater['#],TableStormwater[Type of infrastructure]),"")</f>
        <v/>
      </c>
      <c r="CM15" s="248"/>
      <c r="CN15" s="248"/>
      <c r="CP15" s="248" t="str">
        <f>IF(_xlfn.XLOOKUP(CP$14,TableStormwater['#],TableStormwater[Type of infrastructure])&lt;&gt;"",_xlfn.XLOOKUP(CP$14,TableStormwater['#],TableStormwater[Type of infrastructure]),"")</f>
        <v/>
      </c>
      <c r="CQ15" s="248"/>
      <c r="CR15" s="248"/>
      <c r="CT15" s="248" t="str">
        <f>IF(_xlfn.XLOOKUP(CT$14,TableStormwater['#],TableStormwater[Type of infrastructure])&lt;&gt;"",_xlfn.XLOOKUP(CT$14,TableStormwater['#],TableStormwater[Type of infrastructure]),"")</f>
        <v/>
      </c>
      <c r="CU15" s="248"/>
      <c r="CV15" s="248"/>
      <c r="CX15" s="248" t="str">
        <f>IF(_xlfn.XLOOKUP(CX$14,TableStormwater['#],TableStormwater[Type of infrastructure])&lt;&gt;"",_xlfn.XLOOKUP(CX$14,TableStormwater['#],TableStormwater[Type of infrastructure]),"")</f>
        <v/>
      </c>
      <c r="CY15" s="248"/>
      <c r="CZ15" s="248"/>
      <c r="DB15" s="248" t="str">
        <f>IF(_xlfn.XLOOKUP(DB$14,TableStormwater['#],TableStormwater[Type of infrastructure])&lt;&gt;"",_xlfn.XLOOKUP(DB$14,TableStormwater['#],TableStormwater[Type of infrastructure]),"")</f>
        <v/>
      </c>
      <c r="DC15" s="248"/>
      <c r="DD15" s="248"/>
      <c r="DF15" s="248" t="str">
        <f>IF(_xlfn.XLOOKUP(DF$14,TableStormwater['#],TableStormwater[Type of infrastructure])&lt;&gt;"",_xlfn.XLOOKUP(DF$14,TableStormwater['#],TableStormwater[Type of infrastructure]),"")</f>
        <v/>
      </c>
      <c r="DG15" s="248"/>
      <c r="DH15" s="248"/>
      <c r="DJ15" s="248" t="str">
        <f>IF(_xlfn.XLOOKUP(DJ$14,TableStormwater['#],TableStormwater[Type of infrastructure])&lt;&gt;"",_xlfn.XLOOKUP(DJ$14,TableStormwater['#],TableStormwater[Type of infrastructure]),"")</f>
        <v/>
      </c>
      <c r="DK15" s="248"/>
      <c r="DL15" s="248"/>
      <c r="DN15" s="248" t="str">
        <f>IF(_xlfn.XLOOKUP(DN$14,TableStormwater['#],TableStormwater[Type of infrastructure])&lt;&gt;"",_xlfn.XLOOKUP(DN$14,TableStormwater['#],TableStormwater[Type of infrastructure]),"")</f>
        <v/>
      </c>
      <c r="DO15" s="248"/>
      <c r="DP15" s="248"/>
      <c r="DR15" s="248" t="str">
        <f>IF(_xlfn.XLOOKUP(DR$14,TableStormwater['#],TableStormwater[Type of infrastructure])&lt;&gt;"",_xlfn.XLOOKUP(DR$14,TableStormwater['#],TableStormwater[Type of infrastructure]),"")</f>
        <v/>
      </c>
      <c r="DS15" s="248"/>
      <c r="DT15" s="248"/>
      <c r="DV15" s="248" t="str">
        <f>IF(_xlfn.XLOOKUP(DV$14,TableStormwater['#],TableStormwater[Type of infrastructure])&lt;&gt;"",_xlfn.XLOOKUP(DV$14,TableStormwater['#],TableStormwater[Type of infrastructure]),"")</f>
        <v/>
      </c>
      <c r="DW15" s="248"/>
      <c r="DX15" s="248"/>
      <c r="DZ15" s="248" t="str">
        <f>IF(_xlfn.XLOOKUP(DZ$14,TableStormwater['#],TableStormwater[Type of infrastructure])&lt;&gt;"",_xlfn.XLOOKUP(DZ$14,TableStormwater['#],TableStormwater[Type of infrastructure]),"")</f>
        <v/>
      </c>
      <c r="EA15" s="248"/>
      <c r="EB15" s="248"/>
      <c r="ED15" s="248" t="str">
        <f>IF(_xlfn.XLOOKUP(ED$14,TableStormwater['#],TableStormwater[Type of infrastructure])&lt;&gt;"",_xlfn.XLOOKUP(ED$14,TableStormwater['#],TableStormwater[Type of infrastructure]),"")</f>
        <v/>
      </c>
      <c r="EE15" s="248"/>
      <c r="EF15" s="248"/>
      <c r="EH15" s="248" t="str">
        <f>IF(_xlfn.XLOOKUP(EH$14,TableStormwater['#],TableStormwater[Type of infrastructure])&lt;&gt;"",_xlfn.XLOOKUP(EH$14,TableStormwater['#],TableStormwater[Type of infrastructure]),"")</f>
        <v/>
      </c>
      <c r="EI15" s="248"/>
      <c r="EJ15" s="248"/>
      <c r="EL15" s="248" t="str">
        <f>IF(_xlfn.XLOOKUP(EL$14,TableStormwater['#],TableStormwater[Type of infrastructure])&lt;&gt;"",_xlfn.XLOOKUP(EL$14,TableStormwater['#],TableStormwater[Type of infrastructure]),"")</f>
        <v/>
      </c>
      <c r="EM15" s="248"/>
      <c r="EN15" s="248"/>
      <c r="EP15" s="248" t="str">
        <f>IF(_xlfn.XLOOKUP(EP$14,TableStormwater['#],TableStormwater[Type of infrastructure])&lt;&gt;"",_xlfn.XLOOKUP(EP$14,TableStormwater['#],TableStormwater[Type of infrastructure]),"")</f>
        <v/>
      </c>
      <c r="EQ15" s="248"/>
      <c r="ER15" s="248"/>
      <c r="ET15" s="248" t="str">
        <f>IF(_xlfn.XLOOKUP(ET$14,TableStormwater['#],TableStormwater[Type of infrastructure])&lt;&gt;"",_xlfn.XLOOKUP(ET$14,TableStormwater['#],TableStormwater[Type of infrastructure]),"")</f>
        <v/>
      </c>
      <c r="EU15" s="248"/>
      <c r="EV15" s="248"/>
      <c r="EX15" s="248" t="str">
        <f>IF(_xlfn.XLOOKUP(EX$14,TableStormwater['#],TableStormwater[Type of infrastructure])&lt;&gt;"",_xlfn.XLOOKUP(EX$14,TableStormwater['#],TableStormwater[Type of infrastructure]),"")</f>
        <v/>
      </c>
      <c r="EY15" s="248"/>
      <c r="EZ15" s="248"/>
      <c r="FB15" s="248" t="str">
        <f>IF(_xlfn.XLOOKUP(FB$14,TableStormwater['#],TableStormwater[Type of infrastructure])&lt;&gt;"",_xlfn.XLOOKUP(FB$14,TableStormwater['#],TableStormwater[Type of infrastructure]),"")</f>
        <v/>
      </c>
      <c r="FC15" s="248"/>
      <c r="FD15" s="248"/>
      <c r="FF15" s="248" t="str">
        <f>IF(_xlfn.XLOOKUP(FF$14,TableStormwater['#],TableStormwater[Type of infrastructure])&lt;&gt;"",_xlfn.XLOOKUP(FF$14,TableStormwater['#],TableStormwater[Type of infrastructure]),"")</f>
        <v/>
      </c>
      <c r="FG15" s="248"/>
      <c r="FH15" s="248"/>
      <c r="FJ15" s="248" t="str">
        <f>IF(_xlfn.XLOOKUP(FJ$14,TableStormwater['#],TableStormwater[Type of infrastructure])&lt;&gt;"",_xlfn.XLOOKUP(FJ$14,TableStormwater['#],TableStormwater[Type of infrastructure]),"")</f>
        <v/>
      </c>
      <c r="FK15" s="248"/>
      <c r="FL15" s="248"/>
      <c r="FN15" s="248" t="str">
        <f>IF(_xlfn.XLOOKUP(FN$14,TableStormwater['#],TableStormwater[Type of infrastructure])&lt;&gt;"",_xlfn.XLOOKUP(FN$14,TableStormwater['#],TableStormwater[Type of infrastructure]),"")</f>
        <v/>
      </c>
      <c r="FO15" s="248"/>
      <c r="FP15" s="248"/>
      <c r="FR15" s="248" t="str">
        <f>IF(_xlfn.XLOOKUP(FR$14,TableStormwater['#],TableStormwater[Type of infrastructure])&lt;&gt;"",_xlfn.XLOOKUP(FR$14,TableStormwater['#],TableStormwater[Type of infrastructure]),"")</f>
        <v/>
      </c>
      <c r="FS15" s="248"/>
      <c r="FT15" s="248"/>
      <c r="FV15" s="248" t="str">
        <f>IF(_xlfn.XLOOKUP(FV$14,TableStormwater['#],TableStormwater[Type of infrastructure])&lt;&gt;"",_xlfn.XLOOKUP(FV$14,TableStormwater['#],TableStormwater[Type of infrastructure]),"")</f>
        <v/>
      </c>
      <c r="FW15" s="248"/>
      <c r="FX15" s="248"/>
      <c r="FZ15" s="248" t="str">
        <f>IF(_xlfn.XLOOKUP(FZ$14,TableStormwater['#],TableStormwater[Type of infrastructure])&lt;&gt;"",_xlfn.XLOOKUP(FZ$14,TableStormwater['#],TableStormwater[Type of infrastructure]),"")</f>
        <v/>
      </c>
      <c r="GA15" s="248"/>
      <c r="GB15" s="248"/>
      <c r="GD15" s="248" t="str">
        <f>IF(_xlfn.XLOOKUP(GD$14,TableStormwater['#],TableStormwater[Type of infrastructure])&lt;&gt;"",_xlfn.XLOOKUP(GD$14,TableStormwater['#],TableStormwater[Type of infrastructure]),"")</f>
        <v/>
      </c>
      <c r="GE15" s="248"/>
      <c r="GF15" s="248"/>
      <c r="GH15" s="248" t="str">
        <f>IF(_xlfn.XLOOKUP(GH$14,TableStormwater['#],TableStormwater[Type of infrastructure])&lt;&gt;"",_xlfn.XLOOKUP(GH$14,TableStormwater['#],TableStormwater[Type of infrastructure]),"")</f>
        <v/>
      </c>
      <c r="GI15" s="248"/>
      <c r="GJ15" s="248"/>
      <c r="GL15" s="248" t="str">
        <f>IF(_xlfn.XLOOKUP(GL$14,TableStormwater['#],TableStormwater[Type of infrastructure])&lt;&gt;"",_xlfn.XLOOKUP(GL$14,TableStormwater['#],TableStormwater[Type of infrastructure]),"")</f>
        <v/>
      </c>
      <c r="GM15" s="248"/>
      <c r="GN15" s="248"/>
      <c r="GP15" s="248" t="str">
        <f>IF(_xlfn.XLOOKUP(GP$14,TableStormwater['#],TableStormwater[Type of infrastructure])&lt;&gt;"",_xlfn.XLOOKUP(GP$14,TableStormwater['#],TableStormwater[Type of infrastructure]),"")</f>
        <v/>
      </c>
      <c r="GQ15" s="248"/>
      <c r="GR15" s="248"/>
      <c r="GT15" s="248" t="str">
        <f>IF(_xlfn.XLOOKUP(GT$14,TableStormwater['#],TableStormwater[Type of infrastructure])&lt;&gt;"",_xlfn.XLOOKUP(GT$14,TableStormwater['#],TableStormwater[Type of infrastructure]),"")</f>
        <v/>
      </c>
      <c r="GU15" s="248"/>
      <c r="GV15" s="248"/>
    </row>
    <row r="16" spans="4:204" x14ac:dyDescent="0.2">
      <c r="D16" t="s">
        <v>754</v>
      </c>
      <c r="F16" s="232" t="str">
        <f>IF(_xlfn.XLOOKUP(F$14,TableStormwater['#],TableStormwater[Sub-item])&lt;&gt;"",_xlfn.XLOOKUP(F$14,TableStormwater['#],TableStormwater[Sub-item]),"")</f>
        <v/>
      </c>
      <c r="J16" s="232" t="str">
        <f>IF(_xlfn.XLOOKUP(J$14,TableStormwater['#],TableStormwater[Sub-item])&lt;&gt;"",_xlfn.XLOOKUP(J$14,TableStormwater['#],TableStormwater[Sub-item]),"")</f>
        <v/>
      </c>
      <c r="N16" s="232" t="str">
        <f>IF(_xlfn.XLOOKUP(N$14,TableStormwater['#],TableStormwater[Sub-item])&lt;&gt;"",_xlfn.XLOOKUP(N$14,TableStormwater['#],TableStormwater[Sub-item]),"")</f>
        <v/>
      </c>
      <c r="R16" s="232" t="str">
        <f>IF(_xlfn.XLOOKUP(R$14,TableStormwater['#],TableStormwater[Sub-item])&lt;&gt;"",_xlfn.XLOOKUP(R$14,TableStormwater['#],TableStormwater[Sub-item]),"")</f>
        <v/>
      </c>
      <c r="V16" s="232" t="str">
        <f>IF(_xlfn.XLOOKUP(V$14,TableStormwater['#],TableStormwater[Sub-item])&lt;&gt;"",_xlfn.XLOOKUP(V$14,TableStormwater['#],TableStormwater[Sub-item]),"")</f>
        <v/>
      </c>
      <c r="Z16" s="232" t="str">
        <f>IF(_xlfn.XLOOKUP(Z$14,TableStormwater['#],TableStormwater[Sub-item])&lt;&gt;"",_xlfn.XLOOKUP(Z$14,TableStormwater['#],TableStormwater[Sub-item]),"")</f>
        <v/>
      </c>
      <c r="AD16" s="232" t="str">
        <f>IF(_xlfn.XLOOKUP(AD$14,TableStormwater['#],TableStormwater[Sub-item])&lt;&gt;"",_xlfn.XLOOKUP(AD$14,TableStormwater['#],TableStormwater[Sub-item]),"")</f>
        <v/>
      </c>
      <c r="AH16" s="232" t="str">
        <f>IF(_xlfn.XLOOKUP(AH$14,TableStormwater['#],TableStormwater[Sub-item])&lt;&gt;"",_xlfn.XLOOKUP(AH$14,TableStormwater['#],TableStormwater[Sub-item]),"")</f>
        <v/>
      </c>
      <c r="AL16" s="232" t="str">
        <f>IF(_xlfn.XLOOKUP(AL$14,TableStormwater['#],TableStormwater[Sub-item])&lt;&gt;"",_xlfn.XLOOKUP(AL$14,TableStormwater['#],TableStormwater[Sub-item]),"")</f>
        <v/>
      </c>
      <c r="AP16" s="232" t="str">
        <f>IF(_xlfn.XLOOKUP(AP$14,TableStormwater['#],TableStormwater[Sub-item])&lt;&gt;"",_xlfn.XLOOKUP(AP$14,TableStormwater['#],TableStormwater[Sub-item]),"")</f>
        <v/>
      </c>
      <c r="AT16" s="232" t="str">
        <f>IF(_xlfn.XLOOKUP(AT$14,TableStormwater['#],TableStormwater[Sub-item])&lt;&gt;"",_xlfn.XLOOKUP(AT$14,TableStormwater['#],TableStormwater[Sub-item]),"")</f>
        <v/>
      </c>
      <c r="AX16" s="232" t="str">
        <f>IF(_xlfn.XLOOKUP(AX$14,TableStormwater['#],TableStormwater[Sub-item])&lt;&gt;"",_xlfn.XLOOKUP(AX$14,TableStormwater['#],TableStormwater[Sub-item]),"")</f>
        <v/>
      </c>
      <c r="BB16" s="232" t="str">
        <f>IF(_xlfn.XLOOKUP(BB$14,TableStormwater['#],TableStormwater[Sub-item])&lt;&gt;"",_xlfn.XLOOKUP(BB$14,TableStormwater['#],TableStormwater[Sub-item]),"")</f>
        <v/>
      </c>
      <c r="BF16" s="232" t="str">
        <f>IF(_xlfn.XLOOKUP(BF$14,TableStormwater['#],TableStormwater[Sub-item])&lt;&gt;"",_xlfn.XLOOKUP(BF$14,TableStormwater['#],TableStormwater[Sub-item]),"")</f>
        <v/>
      </c>
      <c r="BJ16" s="232" t="str">
        <f>IF(_xlfn.XLOOKUP(BJ$14,TableStormwater['#],TableStormwater[Sub-item])&lt;&gt;"",_xlfn.XLOOKUP(BJ$14,TableStormwater['#],TableStormwater[Sub-item]),"")</f>
        <v/>
      </c>
      <c r="BN16" s="232" t="str">
        <f>IF(_xlfn.XLOOKUP(BN$14,TableStormwater['#],TableStormwater[Sub-item])&lt;&gt;"",_xlfn.XLOOKUP(BN$14,TableStormwater['#],TableStormwater[Sub-item]),"")</f>
        <v/>
      </c>
      <c r="BR16" s="232" t="str">
        <f>IF(_xlfn.XLOOKUP(BR$14,TableStormwater['#],TableStormwater[Sub-item])&lt;&gt;"",_xlfn.XLOOKUP(BR$14,TableStormwater['#],TableStormwater[Sub-item]),"")</f>
        <v/>
      </c>
      <c r="BV16" s="232" t="str">
        <f>IF(_xlfn.XLOOKUP(BV$14,TableStormwater['#],TableStormwater[Sub-item])&lt;&gt;"",_xlfn.XLOOKUP(BV$14,TableStormwater['#],TableStormwater[Sub-item]),"")</f>
        <v/>
      </c>
      <c r="BZ16" s="232" t="str">
        <f>IF(_xlfn.XLOOKUP(BZ$14,TableStormwater['#],TableStormwater[Sub-item])&lt;&gt;"",_xlfn.XLOOKUP(BZ$14,TableStormwater['#],TableStormwater[Sub-item]),"")</f>
        <v/>
      </c>
      <c r="CD16" s="232" t="str">
        <f>IF(_xlfn.XLOOKUP(CD$14,TableStormwater['#],TableStormwater[Sub-item])&lt;&gt;"",_xlfn.XLOOKUP(CD$14,TableStormwater['#],TableStormwater[Sub-item]),"")</f>
        <v/>
      </c>
      <c r="CH16" s="232" t="str">
        <f>IF(_xlfn.XLOOKUP(CH$14,TableStormwater['#],TableStormwater[Sub-item])&lt;&gt;"",_xlfn.XLOOKUP(CH$14,TableStormwater['#],TableStormwater[Sub-item]),"")</f>
        <v/>
      </c>
      <c r="CL16" s="232" t="str">
        <f>IF(_xlfn.XLOOKUP(CL$14,TableStormwater['#],TableStormwater[Sub-item])&lt;&gt;"",_xlfn.XLOOKUP(CL$14,TableStormwater['#],TableStormwater[Sub-item]),"")</f>
        <v/>
      </c>
      <c r="CP16" s="232" t="str">
        <f>IF(_xlfn.XLOOKUP(CP$14,TableStormwater['#],TableStormwater[Sub-item])&lt;&gt;"",_xlfn.XLOOKUP(CP$14,TableStormwater['#],TableStormwater[Sub-item]),"")</f>
        <v/>
      </c>
      <c r="CT16" s="232" t="str">
        <f>IF(_xlfn.XLOOKUP(CT$14,TableStormwater['#],TableStormwater[Sub-item])&lt;&gt;"",_xlfn.XLOOKUP(CT$14,TableStormwater['#],TableStormwater[Sub-item]),"")</f>
        <v/>
      </c>
      <c r="CX16" s="232" t="str">
        <f>IF(_xlfn.XLOOKUP(CX$14,TableStormwater['#],TableStormwater[Sub-item])&lt;&gt;"",_xlfn.XLOOKUP(CX$14,TableStormwater['#],TableStormwater[Sub-item]),"")</f>
        <v/>
      </c>
      <c r="DB16" s="232" t="str">
        <f>IF(_xlfn.XLOOKUP(DB$14,TableStormwater['#],TableStormwater[Sub-item])&lt;&gt;"",_xlfn.XLOOKUP(DB$14,TableStormwater['#],TableStormwater[Sub-item]),"")</f>
        <v/>
      </c>
      <c r="DF16" s="232" t="str">
        <f>IF(_xlfn.XLOOKUP(DF$14,TableStormwater['#],TableStormwater[Sub-item])&lt;&gt;"",_xlfn.XLOOKUP(DF$14,TableStormwater['#],TableStormwater[Sub-item]),"")</f>
        <v/>
      </c>
      <c r="DJ16" s="232" t="str">
        <f>IF(_xlfn.XLOOKUP(DJ$14,TableStormwater['#],TableStormwater[Sub-item])&lt;&gt;"",_xlfn.XLOOKUP(DJ$14,TableStormwater['#],TableStormwater[Sub-item]),"")</f>
        <v/>
      </c>
      <c r="DN16" s="232" t="str">
        <f>IF(_xlfn.XLOOKUP(DN$14,TableStormwater['#],TableStormwater[Sub-item])&lt;&gt;"",_xlfn.XLOOKUP(DN$14,TableStormwater['#],TableStormwater[Sub-item]),"")</f>
        <v/>
      </c>
      <c r="DR16" s="232" t="str">
        <f>IF(_xlfn.XLOOKUP(DR$14,TableStormwater['#],TableStormwater[Sub-item])&lt;&gt;"",_xlfn.XLOOKUP(DR$14,TableStormwater['#],TableStormwater[Sub-item]),"")</f>
        <v/>
      </c>
      <c r="DV16" s="232" t="str">
        <f>IF(_xlfn.XLOOKUP(DV$14,TableStormwater['#],TableStormwater[Sub-item])&lt;&gt;"",_xlfn.XLOOKUP(DV$14,TableStormwater['#],TableStormwater[Sub-item]),"")</f>
        <v/>
      </c>
      <c r="DZ16" s="232" t="str">
        <f>IF(_xlfn.XLOOKUP(DZ$14,TableStormwater['#],TableStormwater[Sub-item])&lt;&gt;"",_xlfn.XLOOKUP(DZ$14,TableStormwater['#],TableStormwater[Sub-item]),"")</f>
        <v/>
      </c>
      <c r="ED16" s="232" t="str">
        <f>IF(_xlfn.XLOOKUP(ED$14,TableStormwater['#],TableStormwater[Sub-item])&lt;&gt;"",_xlfn.XLOOKUP(ED$14,TableStormwater['#],TableStormwater[Sub-item]),"")</f>
        <v/>
      </c>
      <c r="EH16" s="232" t="str">
        <f>IF(_xlfn.XLOOKUP(EH$14,TableStormwater['#],TableStormwater[Sub-item])&lt;&gt;"",_xlfn.XLOOKUP(EH$14,TableStormwater['#],TableStormwater[Sub-item]),"")</f>
        <v/>
      </c>
      <c r="EL16" s="232" t="str">
        <f>IF(_xlfn.XLOOKUP(EL$14,TableStormwater['#],TableStormwater[Sub-item])&lt;&gt;"",_xlfn.XLOOKUP(EL$14,TableStormwater['#],TableStormwater[Sub-item]),"")</f>
        <v/>
      </c>
      <c r="EP16" s="232" t="str">
        <f>IF(_xlfn.XLOOKUP(EP$14,TableStormwater['#],TableStormwater[Sub-item])&lt;&gt;"",_xlfn.XLOOKUP(EP$14,TableStormwater['#],TableStormwater[Sub-item]),"")</f>
        <v/>
      </c>
      <c r="ET16" s="232" t="str">
        <f>IF(_xlfn.XLOOKUP(ET$14,TableStormwater['#],TableStormwater[Sub-item])&lt;&gt;"",_xlfn.XLOOKUP(ET$14,TableStormwater['#],TableStormwater[Sub-item]),"")</f>
        <v/>
      </c>
      <c r="EX16" s="232" t="str">
        <f>IF(_xlfn.XLOOKUP(EX$14,TableStormwater['#],TableStormwater[Sub-item])&lt;&gt;"",_xlfn.XLOOKUP(EX$14,TableStormwater['#],TableStormwater[Sub-item]),"")</f>
        <v/>
      </c>
      <c r="FB16" s="232" t="str">
        <f>IF(_xlfn.XLOOKUP(FB$14,TableStormwater['#],TableStormwater[Sub-item])&lt;&gt;"",_xlfn.XLOOKUP(FB$14,TableStormwater['#],TableStormwater[Sub-item]),"")</f>
        <v/>
      </c>
      <c r="FF16" s="232" t="str">
        <f>IF(_xlfn.XLOOKUP(FF$14,TableStormwater['#],TableStormwater[Sub-item])&lt;&gt;"",_xlfn.XLOOKUP(FF$14,TableStormwater['#],TableStormwater[Sub-item]),"")</f>
        <v/>
      </c>
      <c r="FJ16" s="232" t="str">
        <f>IF(_xlfn.XLOOKUP(FJ$14,TableStormwater['#],TableStormwater[Sub-item])&lt;&gt;"",_xlfn.XLOOKUP(FJ$14,TableStormwater['#],TableStormwater[Sub-item]),"")</f>
        <v/>
      </c>
      <c r="FN16" s="232" t="str">
        <f>IF(_xlfn.XLOOKUP(FN$14,TableStormwater['#],TableStormwater[Sub-item])&lt;&gt;"",_xlfn.XLOOKUP(FN$14,TableStormwater['#],TableStormwater[Sub-item]),"")</f>
        <v/>
      </c>
      <c r="FR16" s="232" t="str">
        <f>IF(_xlfn.XLOOKUP(FR$14,TableStormwater['#],TableStormwater[Sub-item])&lt;&gt;"",_xlfn.XLOOKUP(FR$14,TableStormwater['#],TableStormwater[Sub-item]),"")</f>
        <v/>
      </c>
      <c r="FV16" s="232" t="str">
        <f>IF(_xlfn.XLOOKUP(FV$14,TableStormwater['#],TableStormwater[Sub-item])&lt;&gt;"",_xlfn.XLOOKUP(FV$14,TableStormwater['#],TableStormwater[Sub-item]),"")</f>
        <v/>
      </c>
      <c r="FZ16" s="232" t="str">
        <f>IF(_xlfn.XLOOKUP(FZ$14,TableStormwater['#],TableStormwater[Sub-item])&lt;&gt;"",_xlfn.XLOOKUP(FZ$14,TableStormwater['#],TableStormwater[Sub-item]),"")</f>
        <v/>
      </c>
      <c r="GD16" s="232" t="str">
        <f>IF(_xlfn.XLOOKUP(GD$14,TableStormwater['#],TableStormwater[Sub-item])&lt;&gt;"",_xlfn.XLOOKUP(GD$14,TableStormwater['#],TableStormwater[Sub-item]),"")</f>
        <v/>
      </c>
      <c r="GH16" s="232" t="str">
        <f>IF(_xlfn.XLOOKUP(GH$14,TableStormwater['#],TableStormwater[Sub-item])&lt;&gt;"",_xlfn.XLOOKUP(GH$14,TableStormwater['#],TableStormwater[Sub-item]),"")</f>
        <v/>
      </c>
      <c r="GL16" s="232" t="str">
        <f>IF(_xlfn.XLOOKUP(GL$14,TableStormwater['#],TableStormwater[Sub-item])&lt;&gt;"",_xlfn.XLOOKUP(GL$14,TableStormwater['#],TableStormwater[Sub-item]),"")</f>
        <v/>
      </c>
      <c r="GP16" s="232" t="str">
        <f>IF(_xlfn.XLOOKUP(GP$14,TableStormwater['#],TableStormwater[Sub-item])&lt;&gt;"",_xlfn.XLOOKUP(GP$14,TableStormwater['#],TableStormwater[Sub-item]),"")</f>
        <v/>
      </c>
      <c r="GT16" s="232" t="str">
        <f>IF(_xlfn.XLOOKUP(GT$14,TableStormwater['#],TableStormwater[Sub-item])&lt;&gt;"",_xlfn.XLOOKUP(GT$14,TableStormwater['#],TableStormwater[Sub-item]),"")</f>
        <v/>
      </c>
    </row>
    <row r="17" spans="4:204" s="234" customFormat="1" ht="12" hidden="1" customHeight="1" x14ac:dyDescent="0.2">
      <c r="D17" s="234" t="s">
        <v>716</v>
      </c>
      <c r="F17" s="235">
        <f>IFERROR(_xlfn.XLOOKUP(F15,Lists!$C$47:$C$63,Lists!$D$47:$D$63),0)</f>
        <v>0</v>
      </c>
      <c r="H17" s="234">
        <v>1</v>
      </c>
      <c r="J17" s="235">
        <f>IFERROR(_xlfn.XLOOKUP(J15,Lists!$C$47:$C$63,Lists!$D$47:$D$63),0)</f>
        <v>0</v>
      </c>
      <c r="L17" s="234">
        <v>1</v>
      </c>
      <c r="N17" s="235">
        <f>IFERROR(_xlfn.XLOOKUP(N15,Lists!$C$47:$C$63,Lists!$D$47:$D$63),0)</f>
        <v>0</v>
      </c>
      <c r="P17" s="234">
        <v>1</v>
      </c>
      <c r="R17" s="235">
        <f>IFERROR(_xlfn.XLOOKUP(R15,Lists!$C$47:$C$63,Lists!$D$47:$D$63),0)</f>
        <v>0</v>
      </c>
      <c r="T17" s="234">
        <v>1</v>
      </c>
      <c r="V17" s="235">
        <f>IFERROR(_xlfn.XLOOKUP(V15,Lists!$C$47:$C$63,Lists!$D$47:$D$63),0)</f>
        <v>0</v>
      </c>
      <c r="X17" s="234">
        <v>1</v>
      </c>
      <c r="Z17" s="235">
        <f>IFERROR(_xlfn.XLOOKUP(Z15,Lists!$C$47:$C$63,Lists!$D$47:$D$63),0)</f>
        <v>0</v>
      </c>
      <c r="AB17" s="234">
        <v>1</v>
      </c>
      <c r="AD17" s="235">
        <f>IFERROR(_xlfn.XLOOKUP(AD15,Lists!$C$47:$C$63,Lists!$D$47:$D$63),0)</f>
        <v>0</v>
      </c>
      <c r="AF17" s="234">
        <v>1</v>
      </c>
      <c r="AH17" s="235">
        <f>IFERROR(_xlfn.XLOOKUP(AH15,Lists!$C$47:$C$63,Lists!$D$47:$D$63),0)</f>
        <v>0</v>
      </c>
      <c r="AJ17" s="234">
        <v>1</v>
      </c>
      <c r="AL17" s="235">
        <f>IFERROR(_xlfn.XLOOKUP(AL15,Lists!$C$47:$C$63,Lists!$D$47:$D$63),0)</f>
        <v>0</v>
      </c>
      <c r="AN17" s="234">
        <v>1</v>
      </c>
      <c r="AP17" s="235">
        <f>IFERROR(_xlfn.XLOOKUP(AP15,Lists!$C$47:$C$63,Lists!$D$47:$D$63),0)</f>
        <v>0</v>
      </c>
      <c r="AR17" s="234">
        <v>1</v>
      </c>
      <c r="AT17" s="235">
        <f>IFERROR(_xlfn.XLOOKUP(AT15,Lists!$C$47:$C$63,Lists!$D$47:$D$63),0)</f>
        <v>0</v>
      </c>
      <c r="AV17" s="234">
        <v>1</v>
      </c>
      <c r="AX17" s="235">
        <f>IFERROR(_xlfn.XLOOKUP(AX15,Lists!$C$47:$C$63,Lists!$D$47:$D$63),0)</f>
        <v>0</v>
      </c>
      <c r="AZ17" s="234">
        <v>1</v>
      </c>
      <c r="BB17" s="235">
        <f>IFERROR(_xlfn.XLOOKUP(BB15,Lists!$C$47:$C$63,Lists!$D$47:$D$63),0)</f>
        <v>0</v>
      </c>
      <c r="BD17" s="234">
        <v>1</v>
      </c>
      <c r="BF17" s="235">
        <f>IFERROR(_xlfn.XLOOKUP(BF15,Lists!$C$47:$C$63,Lists!$D$47:$D$63),0)</f>
        <v>0</v>
      </c>
      <c r="BH17" s="234">
        <v>1</v>
      </c>
      <c r="BJ17" s="235">
        <f>IFERROR(_xlfn.XLOOKUP(BJ15,Lists!$C$47:$C$63,Lists!$D$47:$D$63),0)</f>
        <v>0</v>
      </c>
      <c r="BL17" s="234">
        <v>1</v>
      </c>
      <c r="BN17" s="235">
        <f>IFERROR(_xlfn.XLOOKUP(BN15,Lists!$C$47:$C$63,Lists!$D$47:$D$63),0)</f>
        <v>0</v>
      </c>
      <c r="BP17" s="234">
        <v>1</v>
      </c>
      <c r="BR17" s="235">
        <f>IFERROR(_xlfn.XLOOKUP(BR15,Lists!$C$47:$C$63,Lists!$D$47:$D$63),0)</f>
        <v>0</v>
      </c>
      <c r="BT17" s="234">
        <v>1</v>
      </c>
      <c r="BV17" s="235">
        <f>IFERROR(_xlfn.XLOOKUP(BV15,Lists!$C$47:$C$63,Lists!$D$47:$D$63),0)</f>
        <v>0</v>
      </c>
      <c r="BX17" s="234">
        <v>1</v>
      </c>
      <c r="BZ17" s="235">
        <f>IFERROR(_xlfn.XLOOKUP(BZ15,Lists!$C$47:$C$63,Lists!$D$47:$D$63),0)</f>
        <v>0</v>
      </c>
      <c r="CB17" s="234">
        <v>1</v>
      </c>
      <c r="CD17" s="235">
        <f>IFERROR(_xlfn.XLOOKUP(CD15,Lists!$C$47:$C$63,Lists!$D$47:$D$63),0)</f>
        <v>0</v>
      </c>
      <c r="CF17" s="234">
        <v>1</v>
      </c>
      <c r="CH17" s="235">
        <f>IFERROR(_xlfn.XLOOKUP(CH15,Lists!$C$47:$C$63,Lists!$D$47:$D$63),0)</f>
        <v>0</v>
      </c>
      <c r="CJ17" s="234">
        <v>1</v>
      </c>
      <c r="CL17" s="235">
        <f>IFERROR(_xlfn.XLOOKUP(CL15,Lists!$C$47:$C$63,Lists!$D$47:$D$63),0)</f>
        <v>0</v>
      </c>
      <c r="CN17" s="234">
        <v>1</v>
      </c>
      <c r="CP17" s="235">
        <f>IFERROR(_xlfn.XLOOKUP(CP15,Lists!$C$47:$C$63,Lists!$D$47:$D$63),0)</f>
        <v>0</v>
      </c>
      <c r="CR17" s="234">
        <v>1</v>
      </c>
      <c r="CT17" s="235">
        <f>IFERROR(_xlfn.XLOOKUP(CT15,Lists!$C$47:$C$63,Lists!$D$47:$D$63),0)</f>
        <v>0</v>
      </c>
      <c r="CV17" s="234">
        <v>1</v>
      </c>
      <c r="CX17" s="235">
        <f>IFERROR(_xlfn.XLOOKUP(CX15,Lists!$C$47:$C$63,Lists!$D$47:$D$63),0)</f>
        <v>0</v>
      </c>
      <c r="CZ17" s="234">
        <v>1</v>
      </c>
      <c r="DB17" s="235">
        <f>IFERROR(_xlfn.XLOOKUP(DB15,Lists!$C$47:$C$63,Lists!$D$47:$D$63),0)</f>
        <v>0</v>
      </c>
      <c r="DD17" s="234">
        <v>1</v>
      </c>
      <c r="DF17" s="235">
        <f>IFERROR(_xlfn.XLOOKUP(DF15,Lists!$C$47:$C$63,Lists!$D$47:$D$63),0)</f>
        <v>0</v>
      </c>
      <c r="DH17" s="234">
        <v>1</v>
      </c>
      <c r="DJ17" s="235">
        <f>IFERROR(_xlfn.XLOOKUP(DJ15,Lists!$C$47:$C$63,Lists!$D$47:$D$63),0)</f>
        <v>0</v>
      </c>
      <c r="DL17" s="234">
        <v>1</v>
      </c>
      <c r="DN17" s="235">
        <f>IFERROR(_xlfn.XLOOKUP(DN15,Lists!$C$47:$C$63,Lists!$D$47:$D$63),0)</f>
        <v>0</v>
      </c>
      <c r="DP17" s="234">
        <v>1</v>
      </c>
      <c r="DR17" s="235">
        <f>IFERROR(_xlfn.XLOOKUP(DR15,Lists!$C$47:$C$63,Lists!$D$47:$D$63),0)</f>
        <v>0</v>
      </c>
      <c r="DT17" s="234">
        <v>1</v>
      </c>
      <c r="DV17" s="235">
        <f>IFERROR(_xlfn.XLOOKUP(DV15,Lists!$C$47:$C$63,Lists!$D$47:$D$63),0)</f>
        <v>0</v>
      </c>
      <c r="DX17" s="234">
        <v>1</v>
      </c>
      <c r="DZ17" s="235">
        <f>IFERROR(_xlfn.XLOOKUP(DZ15,Lists!$C$47:$C$63,Lists!$D$47:$D$63),0)</f>
        <v>0</v>
      </c>
      <c r="EB17" s="234">
        <v>1</v>
      </c>
      <c r="ED17" s="235">
        <f>IFERROR(_xlfn.XLOOKUP(ED15,Lists!$C$47:$C$63,Lists!$D$47:$D$63),0)</f>
        <v>0</v>
      </c>
      <c r="EF17" s="234">
        <v>1</v>
      </c>
      <c r="EH17" s="235">
        <f>IFERROR(_xlfn.XLOOKUP(EH15,Lists!$C$47:$C$63,Lists!$D$47:$D$63),0)</f>
        <v>0</v>
      </c>
      <c r="EJ17" s="234">
        <v>1</v>
      </c>
      <c r="EL17" s="235">
        <f>IFERROR(_xlfn.XLOOKUP(EL15,Lists!$C$47:$C$63,Lists!$D$47:$D$63),0)</f>
        <v>0</v>
      </c>
      <c r="EN17" s="234">
        <v>1</v>
      </c>
      <c r="EP17" s="235">
        <f>IFERROR(_xlfn.XLOOKUP(EP15,Lists!$C$47:$C$63,Lists!$D$47:$D$63),0)</f>
        <v>0</v>
      </c>
      <c r="ER17" s="234">
        <v>1</v>
      </c>
      <c r="ET17" s="235">
        <f>IFERROR(_xlfn.XLOOKUP(ET15,Lists!$C$47:$C$63,Lists!$D$47:$D$63),0)</f>
        <v>0</v>
      </c>
      <c r="EV17" s="234">
        <v>1</v>
      </c>
      <c r="EX17" s="235">
        <f>IFERROR(_xlfn.XLOOKUP(EX15,Lists!$C$47:$C$63,Lists!$D$47:$D$63),0)</f>
        <v>0</v>
      </c>
      <c r="EZ17" s="234">
        <v>1</v>
      </c>
      <c r="FB17" s="235">
        <f>IFERROR(_xlfn.XLOOKUP(FB15,Lists!$C$47:$C$63,Lists!$D$47:$D$63),0)</f>
        <v>0</v>
      </c>
      <c r="FD17" s="234">
        <v>1</v>
      </c>
      <c r="FF17" s="235">
        <f>IFERROR(_xlfn.XLOOKUP(FF15,Lists!$C$47:$C$63,Lists!$D$47:$D$63),0)</f>
        <v>0</v>
      </c>
      <c r="FH17" s="234">
        <v>1</v>
      </c>
      <c r="FJ17" s="235">
        <f>IFERROR(_xlfn.XLOOKUP(FJ15,Lists!$C$47:$C$63,Lists!$D$47:$D$63),0)</f>
        <v>0</v>
      </c>
      <c r="FL17" s="234">
        <v>1</v>
      </c>
      <c r="FN17" s="235">
        <f>IFERROR(_xlfn.XLOOKUP(FN15,Lists!$C$47:$C$63,Lists!$D$47:$D$63),0)</f>
        <v>0</v>
      </c>
      <c r="FP17" s="234">
        <v>1</v>
      </c>
      <c r="FR17" s="235">
        <f>IFERROR(_xlfn.XLOOKUP(FR15,Lists!$C$47:$C$63,Lists!$D$47:$D$63),0)</f>
        <v>0</v>
      </c>
      <c r="FT17" s="234">
        <v>1</v>
      </c>
      <c r="FV17" s="235">
        <f>IFERROR(_xlfn.XLOOKUP(FV15,Lists!$C$47:$C$63,Lists!$D$47:$D$63),0)</f>
        <v>0</v>
      </c>
      <c r="FX17" s="234">
        <v>1</v>
      </c>
      <c r="FZ17" s="235">
        <f>IFERROR(_xlfn.XLOOKUP(FZ15,Lists!$C$47:$C$63,Lists!$D$47:$D$63),0)</f>
        <v>0</v>
      </c>
      <c r="GB17" s="234">
        <v>1</v>
      </c>
      <c r="GD17" s="235">
        <f>IFERROR(_xlfn.XLOOKUP(GD15,Lists!$C$47:$C$63,Lists!$D$47:$D$63),0)</f>
        <v>0</v>
      </c>
      <c r="GF17" s="234">
        <v>1</v>
      </c>
      <c r="GH17" s="235">
        <f>IFERROR(_xlfn.XLOOKUP(GH15,Lists!$C$47:$C$63,Lists!$D$47:$D$63),0)</f>
        <v>0</v>
      </c>
      <c r="GJ17" s="234">
        <v>1</v>
      </c>
      <c r="GL17" s="235">
        <f>IFERROR(_xlfn.XLOOKUP(GL15,Lists!$C$47:$C$63,Lists!$D$47:$D$63),0)</f>
        <v>0</v>
      </c>
      <c r="GN17" s="234">
        <v>1</v>
      </c>
      <c r="GP17" s="235">
        <f>IFERROR(_xlfn.XLOOKUP(GP15,Lists!$C$47:$C$63,Lists!$D$47:$D$63),0)</f>
        <v>0</v>
      </c>
      <c r="GR17" s="234">
        <v>1</v>
      </c>
      <c r="GT17" s="235">
        <f>IFERROR(_xlfn.XLOOKUP(GT15,Lists!$C$47:$C$63,Lists!$D$47:$D$63),0)</f>
        <v>0</v>
      </c>
      <c r="GV17" s="234">
        <v>1</v>
      </c>
    </row>
    <row r="18" spans="4:204" s="234" customFormat="1" ht="11.4" customHeight="1" x14ac:dyDescent="0.2">
      <c r="D18" t="s">
        <v>833</v>
      </c>
      <c r="F18" s="232" t="str">
        <f>IF(_xlfn.XLOOKUP(F$14,TableStormwater['#],TableStormwater[Item reference])="","",_xlfn.XLOOKUP(F$14,TableStormwater['#],TableStormwater[Item reference]))</f>
        <v/>
      </c>
      <c r="J18" s="232" t="str">
        <f>IF(_xlfn.XLOOKUP(J$14,TableStormwater['#],TableStormwater[Item reference])="","",_xlfn.XLOOKUP(J$14,TableStormwater['#],TableStormwater[Item reference]))</f>
        <v/>
      </c>
      <c r="N18" s="232" t="str">
        <f>IF(_xlfn.XLOOKUP(N$14,TableStormwater['#],TableStormwater[Item reference])="","",_xlfn.XLOOKUP(N$14,TableStormwater['#],TableStormwater[Item reference]))</f>
        <v/>
      </c>
      <c r="R18" s="232" t="str">
        <f>IF(_xlfn.XLOOKUP(R$14,TableStormwater['#],TableStormwater[Item reference])="","",_xlfn.XLOOKUP(R$14,TableStormwater['#],TableStormwater[Item reference]))</f>
        <v/>
      </c>
      <c r="V18" s="232" t="str">
        <f>IF(_xlfn.XLOOKUP(V$14,TableStormwater['#],TableStormwater[Item reference])="","",_xlfn.XLOOKUP(V$14,TableStormwater['#],TableStormwater[Item reference]))</f>
        <v/>
      </c>
      <c r="Z18" s="232" t="str">
        <f>IF(_xlfn.XLOOKUP(Z$14,TableStormwater['#],TableStormwater[Item reference])="","",_xlfn.XLOOKUP(Z$14,TableStormwater['#],TableStormwater[Item reference]))</f>
        <v/>
      </c>
      <c r="AD18" s="232" t="str">
        <f>IF(_xlfn.XLOOKUP(AD$14,TableStormwater['#],TableStormwater[Item reference])="","",_xlfn.XLOOKUP(AD$14,TableStormwater['#],TableStormwater[Item reference]))</f>
        <v/>
      </c>
      <c r="AH18" s="232" t="str">
        <f>IF(_xlfn.XLOOKUP(AH$14,TableStormwater['#],TableStormwater[Item reference])="","",_xlfn.XLOOKUP(AH$14,TableStormwater['#],TableStormwater[Item reference]))</f>
        <v/>
      </c>
      <c r="AL18" s="232" t="str">
        <f>IF(_xlfn.XLOOKUP(AL$14,TableStormwater['#],TableStormwater[Item reference])="","",_xlfn.XLOOKUP(AL$14,TableStormwater['#],TableStormwater[Item reference]))</f>
        <v/>
      </c>
      <c r="AP18" s="232" t="str">
        <f>IF(_xlfn.XLOOKUP(AP$14,TableStormwater['#],TableStormwater[Item reference])="","",_xlfn.XLOOKUP(AP$14,TableStormwater['#],TableStormwater[Item reference]))</f>
        <v/>
      </c>
      <c r="AT18" s="232" t="str">
        <f>IF(_xlfn.XLOOKUP(AT$14,TableStormwater['#],TableStormwater[Item reference])="","",_xlfn.XLOOKUP(AT$14,TableStormwater['#],TableStormwater[Item reference]))</f>
        <v/>
      </c>
      <c r="AX18" s="232" t="str">
        <f>IF(_xlfn.XLOOKUP(AX$14,TableStormwater['#],TableStormwater[Item reference])="","",_xlfn.XLOOKUP(AX$14,TableStormwater['#],TableStormwater[Item reference]))</f>
        <v/>
      </c>
      <c r="BB18" s="232" t="str">
        <f>IF(_xlfn.XLOOKUP(BB$14,TableStormwater['#],TableStormwater[Item reference])="","",_xlfn.XLOOKUP(BB$14,TableStormwater['#],TableStormwater[Item reference]))</f>
        <v/>
      </c>
      <c r="BF18" s="232" t="str">
        <f>IF(_xlfn.XLOOKUP(BF$14,TableStormwater['#],TableStormwater[Item reference])="","",_xlfn.XLOOKUP(BF$14,TableStormwater['#],TableStormwater[Item reference]))</f>
        <v/>
      </c>
      <c r="BJ18" s="232" t="str">
        <f>IF(_xlfn.XLOOKUP(BJ$14,TableStormwater['#],TableStormwater[Item reference])="","",_xlfn.XLOOKUP(BJ$14,TableStormwater['#],TableStormwater[Item reference]))</f>
        <v/>
      </c>
      <c r="BN18" s="232" t="str">
        <f>IF(_xlfn.XLOOKUP(BN$14,TableStormwater['#],TableStormwater[Item reference])="","",_xlfn.XLOOKUP(BN$14,TableStormwater['#],TableStormwater[Item reference]))</f>
        <v/>
      </c>
      <c r="BR18" s="232" t="str">
        <f>IF(_xlfn.XLOOKUP(BR$14,TableStormwater['#],TableStormwater[Item reference])="","",_xlfn.XLOOKUP(BR$14,TableStormwater['#],TableStormwater[Item reference]))</f>
        <v/>
      </c>
      <c r="BV18" s="232" t="str">
        <f>IF(_xlfn.XLOOKUP(BV$14,TableStormwater['#],TableStormwater[Item reference])="","",_xlfn.XLOOKUP(BV$14,TableStormwater['#],TableStormwater[Item reference]))</f>
        <v/>
      </c>
      <c r="BZ18" s="232" t="str">
        <f>IF(_xlfn.XLOOKUP(BZ$14,TableStormwater['#],TableStormwater[Item reference])="","",_xlfn.XLOOKUP(BZ$14,TableStormwater['#],TableStormwater[Item reference]))</f>
        <v/>
      </c>
      <c r="CD18" s="232" t="str">
        <f>IF(_xlfn.XLOOKUP(CD$14,TableStormwater['#],TableStormwater[Item reference])="","",_xlfn.XLOOKUP(CD$14,TableStormwater['#],TableStormwater[Item reference]))</f>
        <v/>
      </c>
      <c r="CH18" s="232" t="str">
        <f>IF(_xlfn.XLOOKUP(CH$14,TableStormwater['#],TableStormwater[Item reference])="","",_xlfn.XLOOKUP(CH$14,TableStormwater['#],TableStormwater[Item reference]))</f>
        <v/>
      </c>
      <c r="CL18" s="232" t="str">
        <f>IF(_xlfn.XLOOKUP(CL$14,TableStormwater['#],TableStormwater[Item reference])="","",_xlfn.XLOOKUP(CL$14,TableStormwater['#],TableStormwater[Item reference]))</f>
        <v/>
      </c>
      <c r="CP18" s="232" t="str">
        <f>IF(_xlfn.XLOOKUP(CP$14,TableStormwater['#],TableStormwater[Item reference])="","",_xlfn.XLOOKUP(CP$14,TableStormwater['#],TableStormwater[Item reference]))</f>
        <v/>
      </c>
      <c r="CT18" s="232" t="str">
        <f>IF(_xlfn.XLOOKUP(CT$14,TableStormwater['#],TableStormwater[Item reference])="","",_xlfn.XLOOKUP(CT$14,TableStormwater['#],TableStormwater[Item reference]))</f>
        <v/>
      </c>
      <c r="CX18" s="232" t="str">
        <f>IF(_xlfn.XLOOKUP(CX$14,TableStormwater['#],TableStormwater[Item reference])="","",_xlfn.XLOOKUP(CX$14,TableStormwater['#],TableStormwater[Item reference]))</f>
        <v/>
      </c>
      <c r="DB18" s="232" t="str">
        <f>IF(_xlfn.XLOOKUP(DB$14,TableStormwater['#],TableStormwater[Item reference])="","",_xlfn.XLOOKUP(DB$14,TableStormwater['#],TableStormwater[Item reference]))</f>
        <v/>
      </c>
      <c r="DF18" s="232" t="str">
        <f>IF(_xlfn.XLOOKUP(DF$14,TableStormwater['#],TableStormwater[Item reference])="","",_xlfn.XLOOKUP(DF$14,TableStormwater['#],TableStormwater[Item reference]))</f>
        <v/>
      </c>
      <c r="DJ18" s="232" t="str">
        <f>IF(_xlfn.XLOOKUP(DJ$14,TableStormwater['#],TableStormwater[Item reference])="","",_xlfn.XLOOKUP(DJ$14,TableStormwater['#],TableStormwater[Item reference]))</f>
        <v/>
      </c>
      <c r="DN18" s="232" t="str">
        <f>IF(_xlfn.XLOOKUP(DN$14,TableStormwater['#],TableStormwater[Item reference])="","",_xlfn.XLOOKUP(DN$14,TableStormwater['#],TableStormwater[Item reference]))</f>
        <v/>
      </c>
      <c r="DR18" s="232" t="str">
        <f>IF(_xlfn.XLOOKUP(DR$14,TableStormwater['#],TableStormwater[Item reference])="","",_xlfn.XLOOKUP(DR$14,TableStormwater['#],TableStormwater[Item reference]))</f>
        <v/>
      </c>
      <c r="DV18" s="232" t="str">
        <f>IF(_xlfn.XLOOKUP(DV$14,TableStormwater['#],TableStormwater[Item reference])="","",_xlfn.XLOOKUP(DV$14,TableStormwater['#],TableStormwater[Item reference]))</f>
        <v/>
      </c>
      <c r="DZ18" s="232" t="str">
        <f>IF(_xlfn.XLOOKUP(DZ$14,TableStormwater['#],TableStormwater[Item reference])="","",_xlfn.XLOOKUP(DZ$14,TableStormwater['#],TableStormwater[Item reference]))</f>
        <v/>
      </c>
      <c r="ED18" s="232" t="str">
        <f>IF(_xlfn.XLOOKUP(ED$14,TableStormwater['#],TableStormwater[Item reference])="","",_xlfn.XLOOKUP(ED$14,TableStormwater['#],TableStormwater[Item reference]))</f>
        <v/>
      </c>
      <c r="EH18" s="232" t="str">
        <f>IF(_xlfn.XLOOKUP(EH$14,TableStormwater['#],TableStormwater[Item reference])="","",_xlfn.XLOOKUP(EH$14,TableStormwater['#],TableStormwater[Item reference]))</f>
        <v/>
      </c>
      <c r="EL18" s="232" t="str">
        <f>IF(_xlfn.XLOOKUP(EL$14,TableStormwater['#],TableStormwater[Item reference])="","",_xlfn.XLOOKUP(EL$14,TableStormwater['#],TableStormwater[Item reference]))</f>
        <v/>
      </c>
      <c r="EP18" s="232" t="str">
        <f>IF(_xlfn.XLOOKUP(EP$14,TableStormwater['#],TableStormwater[Item reference])="","",_xlfn.XLOOKUP(EP$14,TableStormwater['#],TableStormwater[Item reference]))</f>
        <v/>
      </c>
      <c r="ET18" s="232" t="str">
        <f>IF(_xlfn.XLOOKUP(ET$14,TableStormwater['#],TableStormwater[Item reference])="","",_xlfn.XLOOKUP(ET$14,TableStormwater['#],TableStormwater[Item reference]))</f>
        <v/>
      </c>
      <c r="EX18" s="232" t="str">
        <f>IF(_xlfn.XLOOKUP(EX$14,TableStormwater['#],TableStormwater[Item reference])="","",_xlfn.XLOOKUP(EX$14,TableStormwater['#],TableStormwater[Item reference]))</f>
        <v/>
      </c>
      <c r="FB18" s="232" t="str">
        <f>IF(_xlfn.XLOOKUP(FB$14,TableStormwater['#],TableStormwater[Item reference])="","",_xlfn.XLOOKUP(FB$14,TableStormwater['#],TableStormwater[Item reference]))</f>
        <v/>
      </c>
      <c r="FF18" s="232" t="str">
        <f>IF(_xlfn.XLOOKUP(FF$14,TableStormwater['#],TableStormwater[Item reference])="","",_xlfn.XLOOKUP(FF$14,TableStormwater['#],TableStormwater[Item reference]))</f>
        <v/>
      </c>
      <c r="FJ18" s="232" t="str">
        <f>IF(_xlfn.XLOOKUP(FJ$14,TableStormwater['#],TableStormwater[Item reference])="","",_xlfn.XLOOKUP(FJ$14,TableStormwater['#],TableStormwater[Item reference]))</f>
        <v/>
      </c>
      <c r="FN18" s="232" t="str">
        <f>IF(_xlfn.XLOOKUP(FN$14,TableStormwater['#],TableStormwater[Item reference])="","",_xlfn.XLOOKUP(FN$14,TableStormwater['#],TableStormwater[Item reference]))</f>
        <v/>
      </c>
      <c r="FR18" s="232" t="str">
        <f>IF(_xlfn.XLOOKUP(FR$14,TableStormwater['#],TableStormwater[Item reference])="","",_xlfn.XLOOKUP(FR$14,TableStormwater['#],TableStormwater[Item reference]))</f>
        <v/>
      </c>
      <c r="FV18" s="232" t="str">
        <f>IF(_xlfn.XLOOKUP(FV$14,TableStormwater['#],TableStormwater[Item reference])="","",_xlfn.XLOOKUP(FV$14,TableStormwater['#],TableStormwater[Item reference]))</f>
        <v/>
      </c>
      <c r="FZ18" s="232" t="str">
        <f>IF(_xlfn.XLOOKUP(FZ$14,TableStormwater['#],TableStormwater[Item reference])="","",_xlfn.XLOOKUP(FZ$14,TableStormwater['#],TableStormwater[Item reference]))</f>
        <v/>
      </c>
      <c r="GD18" s="232" t="str">
        <f>IF(_xlfn.XLOOKUP(GD$14,TableStormwater['#],TableStormwater[Item reference])="","",_xlfn.XLOOKUP(GD$14,TableStormwater['#],TableStormwater[Item reference]))</f>
        <v/>
      </c>
      <c r="GH18" s="232" t="str">
        <f>IF(_xlfn.XLOOKUP(GH$14,TableStormwater['#],TableStormwater[Item reference])="","",_xlfn.XLOOKUP(GH$14,TableStormwater['#],TableStormwater[Item reference]))</f>
        <v/>
      </c>
      <c r="GL18" s="232" t="str">
        <f>IF(_xlfn.XLOOKUP(GL$14,TableStormwater['#],TableStormwater[Item reference])="","",_xlfn.XLOOKUP(GL$14,TableStormwater['#],TableStormwater[Item reference]))</f>
        <v/>
      </c>
      <c r="GP18" s="232" t="str">
        <f>IF(_xlfn.XLOOKUP(GP$14,TableStormwater['#],TableStormwater[Item reference])="","",_xlfn.XLOOKUP(GP$14,TableStormwater['#],TableStormwater[Item reference]))</f>
        <v/>
      </c>
      <c r="GT18" s="232" t="str">
        <f>IF(_xlfn.XLOOKUP(GT$14,TableStormwater['#],TableStormwater[Item reference])="","",_xlfn.XLOOKUP(GT$14,TableStormwater['#],TableStormwater[Item reference]))</f>
        <v/>
      </c>
    </row>
    <row r="19" spans="4:204" ht="12" x14ac:dyDescent="0.25">
      <c r="D19" t="s">
        <v>147</v>
      </c>
      <c r="F19" s="159" t="str">
        <f>IFERROR(_xlfn.CONCAT("$ per ",IF(F$17=0,_xlfn.XLOOKUP(F$15,'Variable index'!$C$79:$C$126,'Variable index'!$D$79:$D$126),_xlfn.XLOOKUP(_xlfn.CONCAT(F$15," - ",F$16),'Variable index'!$C$79:$C$126,'Variable index'!$D$79:$D$126))),"")</f>
        <v/>
      </c>
      <c r="G19" s="161" t="str" cm="1">
        <f t="array" ref="G19">IFERROR(IF(F$17=0,INDEX('Variable index'!$E$79:$F$126,MATCH(F$15,'Variable index'!$C$79:$C$126,0),$D$12),INDEX('Variable index'!$E$79:$F$126,MATCH(_xlfn.CONCAT(F$15," - ",F$16),'Variable index'!$C$79:$C$126,0),$D$12)),"")</f>
        <v/>
      </c>
      <c r="H19" s="27"/>
      <c r="J19" s="159" t="str">
        <f>IFERROR(_xlfn.CONCAT("$ per ",IF(J$17=0,_xlfn.XLOOKUP(J$15,'Variable index'!$C$79:$C$126,'Variable index'!$D$79:$D$126),_xlfn.XLOOKUP(_xlfn.CONCAT(J$15," - ",J$16),'Variable index'!$C$79:$C$126,'Variable index'!$D$79:$D$126))),"")</f>
        <v/>
      </c>
      <c r="K19" s="161" t="str" cm="1">
        <f t="array" ref="K19">IFERROR(IF(J$17=0,INDEX('Variable index'!$E$79:$F$126,MATCH(J$15,'Variable index'!$C$79:$C$126,0),$D$12),INDEX('Variable index'!$E$79:$F$126,MATCH(_xlfn.CONCAT(J$15," - ",J$16),'Variable index'!$C$79:$C$126,0),$D$12)),"")</f>
        <v/>
      </c>
      <c r="L19" s="27"/>
      <c r="N19" s="159" t="str">
        <f>IFERROR(_xlfn.CONCAT("$ per ",IF(N$17=0,_xlfn.XLOOKUP(N$15,'Variable index'!$C$79:$C$126,'Variable index'!$D$79:$D$126),_xlfn.XLOOKUP(_xlfn.CONCAT(N$15," - ",N$16),'Variable index'!$C$79:$C$126,'Variable index'!$D$79:$D$126))),"")</f>
        <v/>
      </c>
      <c r="O19" s="161" t="str" cm="1">
        <f t="array" ref="O19">IFERROR(IF(N$17=0,INDEX('Variable index'!$E$79:$F$126,MATCH(N$15,'Variable index'!$C$79:$C$126,0),$D$12),INDEX('Variable index'!$E$79:$F$126,MATCH(_xlfn.CONCAT(N$15," - ",N$16),'Variable index'!$C$79:$C$126,0),$D$12)),"")</f>
        <v/>
      </c>
      <c r="P19" s="27"/>
      <c r="R19" s="159" t="str">
        <f>IFERROR(_xlfn.CONCAT("$ per ",IF(R$17=0,_xlfn.XLOOKUP(R$15,'Variable index'!$C$79:$C$126,'Variable index'!$D$79:$D$126),_xlfn.XLOOKUP(_xlfn.CONCAT(R$15," - ",R$16),'Variable index'!$C$79:$C$126,'Variable index'!$D$79:$D$126))),"")</f>
        <v/>
      </c>
      <c r="S19" s="161" t="str" cm="1">
        <f t="array" ref="S19">IFERROR(IF(R$17=0,INDEX('Variable index'!$E$79:$F$126,MATCH(R$15,'Variable index'!$C$79:$C$126,0),$D$12),INDEX('Variable index'!$E$79:$F$126,MATCH(_xlfn.CONCAT(R$15," - ",R$16),'Variable index'!$C$79:$C$126,0),$D$12)),"")</f>
        <v/>
      </c>
      <c r="T19" s="27"/>
      <c r="V19" s="159" t="str">
        <f>IFERROR(_xlfn.CONCAT("$ per ",IF(V$17=0,_xlfn.XLOOKUP(V$15,'Variable index'!$C$79:$C$126,'Variable index'!$D$79:$D$126),_xlfn.XLOOKUP(_xlfn.CONCAT(V$15," - ",V$16),'Variable index'!$C$79:$C$126,'Variable index'!$D$79:$D$126))),"")</f>
        <v/>
      </c>
      <c r="W19" s="161" t="str" cm="1">
        <f t="array" ref="W19">IFERROR(IF(V$17=0,INDEX('Variable index'!$E$79:$F$126,MATCH(V$15,'Variable index'!$C$79:$C$126,0),$D$12),INDEX('Variable index'!$E$79:$F$126,MATCH(_xlfn.CONCAT(V$15," - ",V$16),'Variable index'!$C$79:$C$126,0),$D$12)),"")</f>
        <v/>
      </c>
      <c r="X19" s="27"/>
      <c r="Z19" s="159" t="str">
        <f>IFERROR(_xlfn.CONCAT("$ per ",IF(Z$17=0,_xlfn.XLOOKUP(Z$15,'Variable index'!$C$79:$C$126,'Variable index'!$D$79:$D$126),_xlfn.XLOOKUP(_xlfn.CONCAT(Z$15," - ",Z$16),'Variable index'!$C$79:$C$126,'Variable index'!$D$79:$D$126))),"")</f>
        <v/>
      </c>
      <c r="AA19" s="161" t="str" cm="1">
        <f t="array" ref="AA19">IFERROR(IF(Z$17=0,INDEX('Variable index'!$E$79:$F$126,MATCH(Z$15,'Variable index'!$C$79:$C$126,0),$D$12),INDEX('Variable index'!$E$79:$F$126,MATCH(_xlfn.CONCAT(Z$15," - ",Z$16),'Variable index'!$C$79:$C$126,0),$D$12)),"")</f>
        <v/>
      </c>
      <c r="AB19" s="27"/>
      <c r="AD19" s="159" t="str">
        <f>IFERROR(_xlfn.CONCAT("$ per ",IF(AD$17=0,_xlfn.XLOOKUP(AD$15,'Variable index'!$C$79:$C$126,'Variable index'!$D$79:$D$126),_xlfn.XLOOKUP(_xlfn.CONCAT(AD$15," - ",AD$16),'Variable index'!$C$79:$C$126,'Variable index'!$D$79:$D$126))),"")</f>
        <v/>
      </c>
      <c r="AE19" s="161" t="str" cm="1">
        <f t="array" ref="AE19">IFERROR(IF(AD$17=0,INDEX('Variable index'!$E$79:$F$126,MATCH(AD$15,'Variable index'!$C$79:$C$126,0),$D$12),INDEX('Variable index'!$E$79:$F$126,MATCH(_xlfn.CONCAT(AD$15," - ",AD$16),'Variable index'!$C$79:$C$126,0),$D$12)),"")</f>
        <v/>
      </c>
      <c r="AF19" s="27"/>
      <c r="AH19" s="159" t="str">
        <f>IFERROR(_xlfn.CONCAT("$ per ",IF(AH$17=0,_xlfn.XLOOKUP(AH$15,'Variable index'!$C$79:$C$126,'Variable index'!$D$79:$D$126),_xlfn.XLOOKUP(_xlfn.CONCAT(AH$15," - ",AH$16),'Variable index'!$C$79:$C$126,'Variable index'!$D$79:$D$126))),"")</f>
        <v/>
      </c>
      <c r="AI19" s="161" t="str" cm="1">
        <f t="array" ref="AI19">IFERROR(IF(AH$17=0,INDEX('Variable index'!$E$79:$F$126,MATCH(AH$15,'Variable index'!$C$79:$C$126,0),$D$12),INDEX('Variable index'!$E$79:$F$126,MATCH(_xlfn.CONCAT(AH$15," - ",AH$16),'Variable index'!$C$79:$C$126,0),$D$12)),"")</f>
        <v/>
      </c>
      <c r="AJ19" s="27"/>
      <c r="AL19" s="159" t="str">
        <f>IFERROR(_xlfn.CONCAT("$ per ",IF(AL$17=0,_xlfn.XLOOKUP(AL$15,'Variable index'!$C$79:$C$126,'Variable index'!$D$79:$D$126),_xlfn.XLOOKUP(_xlfn.CONCAT(AL$15," - ",AL$16),'Variable index'!$C$79:$C$126,'Variable index'!$D$79:$D$126))),"")</f>
        <v/>
      </c>
      <c r="AM19" s="161" t="str" cm="1">
        <f t="array" ref="AM19">IFERROR(IF(AL$17=0,INDEX('Variable index'!$E$79:$F$126,MATCH(AL$15,'Variable index'!$C$79:$C$126,0),$D$12),INDEX('Variable index'!$E$79:$F$126,MATCH(_xlfn.CONCAT(AL$15," - ",AL$16),'Variable index'!$C$79:$C$126,0),$D$12)),"")</f>
        <v/>
      </c>
      <c r="AN19" s="27"/>
      <c r="AP19" s="159" t="str">
        <f>IFERROR(_xlfn.CONCAT("$ per ",IF(AP$17=0,_xlfn.XLOOKUP(AP$15,'Variable index'!$C$79:$C$126,'Variable index'!$D$79:$D$126),_xlfn.XLOOKUP(_xlfn.CONCAT(AP$15," - ",AP$16),'Variable index'!$C$79:$C$126,'Variable index'!$D$79:$D$126))),"")</f>
        <v/>
      </c>
      <c r="AQ19" s="161" t="str" cm="1">
        <f t="array" ref="AQ19">IFERROR(IF(AP$17=0,INDEX('Variable index'!$E$79:$F$126,MATCH(AP$15,'Variable index'!$C$79:$C$126,0),$D$12),INDEX('Variable index'!$E$79:$F$126,MATCH(_xlfn.CONCAT(AP$15," - ",AP$16),'Variable index'!$C$79:$C$126,0),$D$12)),"")</f>
        <v/>
      </c>
      <c r="AR19" s="27"/>
      <c r="AT19" s="159" t="str">
        <f>IFERROR(_xlfn.CONCAT("$ per ",IF(AT$17=0,_xlfn.XLOOKUP(AT$15,'Variable index'!$C$79:$C$126,'Variable index'!$D$79:$D$126),_xlfn.XLOOKUP(_xlfn.CONCAT(AT$15," - ",AT$16),'Variable index'!$C$79:$C$126,'Variable index'!$D$79:$D$126))),"")</f>
        <v/>
      </c>
      <c r="AU19" s="161" t="str" cm="1">
        <f t="array" ref="AU19">IFERROR(IF(AT$17=0,INDEX('Variable index'!$E$79:$F$126,MATCH(AT$15,'Variable index'!$C$79:$C$126,0),$D$12),INDEX('Variable index'!$E$79:$F$126,MATCH(_xlfn.CONCAT(AT$15," - ",AT$16),'Variable index'!$C$79:$C$126,0),$D$12)),"")</f>
        <v/>
      </c>
      <c r="AV19" s="27"/>
      <c r="AX19" s="159" t="str">
        <f>IFERROR(_xlfn.CONCAT("$ per ",IF(AX$17=0,_xlfn.XLOOKUP(AX$15,'Variable index'!$C$79:$C$126,'Variable index'!$D$79:$D$126),_xlfn.XLOOKUP(_xlfn.CONCAT(AX$15," - ",AX$16),'Variable index'!$C$79:$C$126,'Variable index'!$D$79:$D$126))),"")</f>
        <v/>
      </c>
      <c r="AY19" s="161" t="str" cm="1">
        <f t="array" ref="AY19">IFERROR(IF(AX$17=0,INDEX('Variable index'!$E$79:$F$126,MATCH(AX$15,'Variable index'!$C$79:$C$126,0),$D$12),INDEX('Variable index'!$E$79:$F$126,MATCH(_xlfn.CONCAT(AX$15," - ",AX$16),'Variable index'!$C$79:$C$126,0),$D$12)),"")</f>
        <v/>
      </c>
      <c r="AZ19" s="27"/>
      <c r="BB19" s="159" t="str">
        <f>IFERROR(_xlfn.CONCAT("$ per ",IF(BB$17=0,_xlfn.XLOOKUP(BB$15,'Variable index'!$C$79:$C$126,'Variable index'!$D$79:$D$126),_xlfn.XLOOKUP(_xlfn.CONCAT(BB$15," - ",BB$16),'Variable index'!$C$79:$C$126,'Variable index'!$D$79:$D$126))),"")</f>
        <v/>
      </c>
      <c r="BC19" s="161" t="str" cm="1">
        <f t="array" ref="BC19">IFERROR(IF(BB$17=0,INDEX('Variable index'!$E$79:$F$126,MATCH(BB$15,'Variable index'!$C$79:$C$126,0),$D$12),INDEX('Variable index'!$E$79:$F$126,MATCH(_xlfn.CONCAT(BB$15," - ",BB$16),'Variable index'!$C$79:$C$126,0),$D$12)),"")</f>
        <v/>
      </c>
      <c r="BD19" s="27"/>
      <c r="BF19" s="159" t="str">
        <f>IFERROR(_xlfn.CONCAT("$ per ",IF(BF$17=0,_xlfn.XLOOKUP(BF$15,'Variable index'!$C$79:$C$126,'Variable index'!$D$79:$D$126),_xlfn.XLOOKUP(_xlfn.CONCAT(BF$15," - ",BF$16),'Variable index'!$C$79:$C$126,'Variable index'!$D$79:$D$126))),"")</f>
        <v/>
      </c>
      <c r="BG19" s="161" t="str" cm="1">
        <f t="array" ref="BG19">IFERROR(IF(BF$17=0,INDEX('Variable index'!$E$79:$F$126,MATCH(BF$15,'Variable index'!$C$79:$C$126,0),$D$12),INDEX('Variable index'!$E$79:$F$126,MATCH(_xlfn.CONCAT(BF$15," - ",BF$16),'Variable index'!$C$79:$C$126,0),$D$12)),"")</f>
        <v/>
      </c>
      <c r="BH19" s="27"/>
      <c r="BJ19" s="159" t="str">
        <f>IFERROR(_xlfn.CONCAT("$ per ",IF(BJ$17=0,_xlfn.XLOOKUP(BJ$15,'Variable index'!$C$79:$C$126,'Variable index'!$D$79:$D$126),_xlfn.XLOOKUP(_xlfn.CONCAT(BJ$15," - ",BJ$16),'Variable index'!$C$79:$C$126,'Variable index'!$D$79:$D$126))),"")</f>
        <v/>
      </c>
      <c r="BK19" s="161" t="str" cm="1">
        <f t="array" ref="BK19">IFERROR(IF(BJ$17=0,INDEX('Variable index'!$E$79:$F$126,MATCH(BJ$15,'Variable index'!$C$79:$C$126,0),$D$12),INDEX('Variable index'!$E$79:$F$126,MATCH(_xlfn.CONCAT(BJ$15," - ",BJ$16),'Variable index'!$C$79:$C$126,0),$D$12)),"")</f>
        <v/>
      </c>
      <c r="BL19" s="27"/>
      <c r="BN19" s="159" t="str">
        <f>IFERROR(_xlfn.CONCAT("$ per ",IF(BN$17=0,_xlfn.XLOOKUP(BN$15,'Variable index'!$C$79:$C$126,'Variable index'!$D$79:$D$126),_xlfn.XLOOKUP(_xlfn.CONCAT(BN$15," - ",BN$16),'Variable index'!$C$79:$C$126,'Variable index'!$D$79:$D$126))),"")</f>
        <v/>
      </c>
      <c r="BO19" s="161" t="str" cm="1">
        <f t="array" ref="BO19">IFERROR(IF(BN$17=0,INDEX('Variable index'!$E$79:$F$126,MATCH(BN$15,'Variable index'!$C$79:$C$126,0),$D$12),INDEX('Variable index'!$E$79:$F$126,MATCH(_xlfn.CONCAT(BN$15," - ",BN$16),'Variable index'!$C$79:$C$126,0),$D$12)),"")</f>
        <v/>
      </c>
      <c r="BP19" s="27"/>
      <c r="BR19" s="159" t="str">
        <f>IFERROR(_xlfn.CONCAT("$ per ",IF(BR$17=0,_xlfn.XLOOKUP(BR$15,'Variable index'!$C$79:$C$126,'Variable index'!$D$79:$D$126),_xlfn.XLOOKUP(_xlfn.CONCAT(BR$15," - ",BR$16),'Variable index'!$C$79:$C$126,'Variable index'!$D$79:$D$126))),"")</f>
        <v/>
      </c>
      <c r="BS19" s="161" t="str" cm="1">
        <f t="array" ref="BS19">IFERROR(IF(BR$17=0,INDEX('Variable index'!$E$79:$F$126,MATCH(BR$15,'Variable index'!$C$79:$C$126,0),$D$12),INDEX('Variable index'!$E$79:$F$126,MATCH(_xlfn.CONCAT(BR$15," - ",BR$16),'Variable index'!$C$79:$C$126,0),$D$12)),"")</f>
        <v/>
      </c>
      <c r="BT19" s="27"/>
      <c r="BV19" s="159" t="str">
        <f>IFERROR(_xlfn.CONCAT("$ per ",IF(BV$17=0,_xlfn.XLOOKUP(BV$15,'Variable index'!$C$79:$C$126,'Variable index'!$D$79:$D$126),_xlfn.XLOOKUP(_xlfn.CONCAT(BV$15," - ",BV$16),'Variable index'!$C$79:$C$126,'Variable index'!$D$79:$D$126))),"")</f>
        <v/>
      </c>
      <c r="BW19" s="161" t="str" cm="1">
        <f t="array" ref="BW19">IFERROR(IF(BV$17=0,INDEX('Variable index'!$E$79:$F$126,MATCH(BV$15,'Variable index'!$C$79:$C$126,0),$D$12),INDEX('Variable index'!$E$79:$F$126,MATCH(_xlfn.CONCAT(BV$15," - ",BV$16),'Variable index'!$C$79:$C$126,0),$D$12)),"")</f>
        <v/>
      </c>
      <c r="BX19" s="27"/>
      <c r="BZ19" s="159" t="str">
        <f>IFERROR(_xlfn.CONCAT("$ per ",IF(BZ$17=0,_xlfn.XLOOKUP(BZ$15,'Variable index'!$C$79:$C$126,'Variable index'!$D$79:$D$126),_xlfn.XLOOKUP(_xlfn.CONCAT(BZ$15," - ",BZ$16),'Variable index'!$C$79:$C$126,'Variable index'!$D$79:$D$126))),"")</f>
        <v/>
      </c>
      <c r="CA19" s="161" t="str" cm="1">
        <f t="array" ref="CA19">IFERROR(IF(BZ$17=0,INDEX('Variable index'!$E$79:$F$126,MATCH(BZ$15,'Variable index'!$C$79:$C$126,0),$D$12),INDEX('Variable index'!$E$79:$F$126,MATCH(_xlfn.CONCAT(BZ$15," - ",BZ$16),'Variable index'!$C$79:$C$126,0),$D$12)),"")</f>
        <v/>
      </c>
      <c r="CB19" s="27"/>
      <c r="CD19" s="159" t="str">
        <f>IFERROR(_xlfn.CONCAT("$ per ",IF(CD$17=0,_xlfn.XLOOKUP(CD$15,'Variable index'!$C$79:$C$126,'Variable index'!$D$79:$D$126),_xlfn.XLOOKUP(_xlfn.CONCAT(CD$15," - ",CD$16),'Variable index'!$C$79:$C$126,'Variable index'!$D$79:$D$126))),"")</f>
        <v/>
      </c>
      <c r="CE19" s="161" t="str" cm="1">
        <f t="array" ref="CE19">IFERROR(IF(CD$17=0,INDEX('Variable index'!$E$79:$F$126,MATCH(CD$15,'Variable index'!$C$79:$C$126,0),$D$12),INDEX('Variable index'!$E$79:$F$126,MATCH(_xlfn.CONCAT(CD$15," - ",CD$16),'Variable index'!$C$79:$C$126,0),$D$12)),"")</f>
        <v/>
      </c>
      <c r="CF19" s="27"/>
      <c r="CH19" s="159" t="str">
        <f>IFERROR(_xlfn.CONCAT("$ per ",IF(CH$17=0,_xlfn.XLOOKUP(CH$15,'Variable index'!$C$79:$C$126,'Variable index'!$D$79:$D$126),_xlfn.XLOOKUP(_xlfn.CONCAT(CH$15," - ",CH$16),'Variable index'!$C$79:$C$126,'Variable index'!$D$79:$D$126))),"")</f>
        <v/>
      </c>
      <c r="CI19" s="161" t="str" cm="1">
        <f t="array" ref="CI19">IFERROR(IF(CH$17=0,INDEX('Variable index'!$E$79:$F$126,MATCH(CH$15,'Variable index'!$C$79:$C$126,0),$D$12),INDEX('Variable index'!$E$79:$F$126,MATCH(_xlfn.CONCAT(CH$15," - ",CH$16),'Variable index'!$C$79:$C$126,0),$D$12)),"")</f>
        <v/>
      </c>
      <c r="CJ19" s="27"/>
      <c r="CL19" s="159" t="str">
        <f>IFERROR(_xlfn.CONCAT("$ per ",IF(CL$17=0,_xlfn.XLOOKUP(CL$15,'Variable index'!$C$79:$C$126,'Variable index'!$D$79:$D$126),_xlfn.XLOOKUP(_xlfn.CONCAT(CL$15," - ",CL$16),'Variable index'!$C$79:$C$126,'Variable index'!$D$79:$D$126))),"")</f>
        <v/>
      </c>
      <c r="CM19" s="161" t="str" cm="1">
        <f t="array" ref="CM19">IFERROR(IF(CL$17=0,INDEX('Variable index'!$E$79:$F$126,MATCH(CL$15,'Variable index'!$C$79:$C$126,0),$D$12),INDEX('Variable index'!$E$79:$F$126,MATCH(_xlfn.CONCAT(CL$15," - ",CL$16),'Variable index'!$C$79:$C$126,0),$D$12)),"")</f>
        <v/>
      </c>
      <c r="CN19" s="27"/>
      <c r="CP19" s="159" t="str">
        <f>IFERROR(_xlfn.CONCAT("$ per ",IF(CP$17=0,_xlfn.XLOOKUP(CP$15,'Variable index'!$C$79:$C$126,'Variable index'!$D$79:$D$126),_xlfn.XLOOKUP(_xlfn.CONCAT(CP$15," - ",CP$16),'Variable index'!$C$79:$C$126,'Variable index'!$D$79:$D$126))),"")</f>
        <v/>
      </c>
      <c r="CQ19" s="161" t="str" cm="1">
        <f t="array" ref="CQ19">IFERROR(IF(CP$17=0,INDEX('Variable index'!$E$79:$F$126,MATCH(CP$15,'Variable index'!$C$79:$C$126,0),$D$12),INDEX('Variable index'!$E$79:$F$126,MATCH(_xlfn.CONCAT(CP$15," - ",CP$16),'Variable index'!$C$79:$C$126,0),$D$12)),"")</f>
        <v/>
      </c>
      <c r="CR19" s="27"/>
      <c r="CT19" s="159" t="str">
        <f>IFERROR(_xlfn.CONCAT("$ per ",IF(CT$17=0,_xlfn.XLOOKUP(CT$15,'Variable index'!$C$79:$C$126,'Variable index'!$D$79:$D$126),_xlfn.XLOOKUP(_xlfn.CONCAT(CT$15," - ",CT$16),'Variable index'!$C$79:$C$126,'Variable index'!$D$79:$D$126))),"")</f>
        <v/>
      </c>
      <c r="CU19" s="161" t="str" cm="1">
        <f t="array" ref="CU19">IFERROR(IF(CT$17=0,INDEX('Variable index'!$E$79:$F$126,MATCH(CT$15,'Variable index'!$C$79:$C$126,0),$D$12),INDEX('Variable index'!$E$79:$F$126,MATCH(_xlfn.CONCAT(CT$15," - ",CT$16),'Variable index'!$C$79:$C$126,0),$D$12)),"")</f>
        <v/>
      </c>
      <c r="CV19" s="27"/>
      <c r="CX19" s="159" t="str">
        <f>IFERROR(_xlfn.CONCAT("$ per ",IF(CX$17=0,_xlfn.XLOOKUP(CX$15,'Variable index'!$C$79:$C$126,'Variable index'!$D$79:$D$126),_xlfn.XLOOKUP(_xlfn.CONCAT(CX$15," - ",CX$16),'Variable index'!$C$79:$C$126,'Variable index'!$D$79:$D$126))),"")</f>
        <v/>
      </c>
      <c r="CY19" s="161" t="str" cm="1">
        <f t="array" ref="CY19">IFERROR(IF(CX$17=0,INDEX('Variable index'!$E$79:$F$126,MATCH(CX$15,'Variable index'!$C$79:$C$126,0),$D$12),INDEX('Variable index'!$E$79:$F$126,MATCH(_xlfn.CONCAT(CX$15," - ",CX$16),'Variable index'!$C$79:$C$126,0),$D$12)),"")</f>
        <v/>
      </c>
      <c r="CZ19" s="27"/>
      <c r="DB19" s="159" t="str">
        <f>IFERROR(_xlfn.CONCAT("$ per ",IF(DB$17=0,_xlfn.XLOOKUP(DB$15,'Variable index'!$C$79:$C$126,'Variable index'!$D$79:$D$126),_xlfn.XLOOKUP(_xlfn.CONCAT(DB$15," - ",DB$16),'Variable index'!$C$79:$C$126,'Variable index'!$D$79:$D$126))),"")</f>
        <v/>
      </c>
      <c r="DC19" s="161" t="str" cm="1">
        <f t="array" ref="DC19">IFERROR(IF(DB$17=0,INDEX('Variable index'!$E$79:$F$126,MATCH(DB$15,'Variable index'!$C$79:$C$126,0),$D$12),INDEX('Variable index'!$E$79:$F$126,MATCH(_xlfn.CONCAT(DB$15," - ",DB$16),'Variable index'!$C$79:$C$126,0),$D$12)),"")</f>
        <v/>
      </c>
      <c r="DD19" s="27"/>
      <c r="DF19" s="159" t="str">
        <f>IFERROR(_xlfn.CONCAT("$ per ",IF(DF$17=0,_xlfn.XLOOKUP(DF$15,'Variable index'!$C$79:$C$126,'Variable index'!$D$79:$D$126),_xlfn.XLOOKUP(_xlfn.CONCAT(DF$15," - ",DF$16),'Variable index'!$C$79:$C$126,'Variable index'!$D$79:$D$126))),"")</f>
        <v/>
      </c>
      <c r="DG19" s="161" t="str" cm="1">
        <f t="array" ref="DG19">IFERROR(IF(DF$17=0,INDEX('Variable index'!$E$79:$F$126,MATCH(DF$15,'Variable index'!$C$79:$C$126,0),$D$12),INDEX('Variable index'!$E$79:$F$126,MATCH(_xlfn.CONCAT(DF$15," - ",DF$16),'Variable index'!$C$79:$C$126,0),$D$12)),"")</f>
        <v/>
      </c>
      <c r="DH19" s="27"/>
      <c r="DJ19" s="159" t="str">
        <f>IFERROR(_xlfn.CONCAT("$ per ",IF(DJ$17=0,_xlfn.XLOOKUP(DJ$15,'Variable index'!$C$79:$C$126,'Variable index'!$D$79:$D$126),_xlfn.XLOOKUP(_xlfn.CONCAT(DJ$15," - ",DJ$16),'Variable index'!$C$79:$C$126,'Variable index'!$D$79:$D$126))),"")</f>
        <v/>
      </c>
      <c r="DK19" s="161" t="str" cm="1">
        <f t="array" ref="DK19">IFERROR(IF(DJ$17=0,INDEX('Variable index'!$E$79:$F$126,MATCH(DJ$15,'Variable index'!$C$79:$C$126,0),$D$12),INDEX('Variable index'!$E$79:$F$126,MATCH(_xlfn.CONCAT(DJ$15," - ",DJ$16),'Variable index'!$C$79:$C$126,0),$D$12)),"")</f>
        <v/>
      </c>
      <c r="DL19" s="27"/>
      <c r="DN19" s="159" t="str">
        <f>IFERROR(_xlfn.CONCAT("$ per ",IF(DN$17=0,_xlfn.XLOOKUP(DN$15,'Variable index'!$C$79:$C$126,'Variable index'!$D$79:$D$126),_xlfn.XLOOKUP(_xlfn.CONCAT(DN$15," - ",DN$16),'Variable index'!$C$79:$C$126,'Variable index'!$D$79:$D$126))),"")</f>
        <v/>
      </c>
      <c r="DO19" s="161" t="str" cm="1">
        <f t="array" ref="DO19">IFERROR(IF(DN$17=0,INDEX('Variable index'!$E$79:$F$126,MATCH(DN$15,'Variable index'!$C$79:$C$126,0),$D$12),INDEX('Variable index'!$E$79:$F$126,MATCH(_xlfn.CONCAT(DN$15," - ",DN$16),'Variable index'!$C$79:$C$126,0),$D$12)),"")</f>
        <v/>
      </c>
      <c r="DP19" s="27"/>
      <c r="DR19" s="159" t="str">
        <f>IFERROR(_xlfn.CONCAT("$ per ",IF(DR$17=0,_xlfn.XLOOKUP(DR$15,'Variable index'!$C$79:$C$126,'Variable index'!$D$79:$D$126),_xlfn.XLOOKUP(_xlfn.CONCAT(DR$15," - ",DR$16),'Variable index'!$C$79:$C$126,'Variable index'!$D$79:$D$126))),"")</f>
        <v/>
      </c>
      <c r="DS19" s="161" t="str" cm="1">
        <f t="array" ref="DS19">IFERROR(IF(DR$17=0,INDEX('Variable index'!$E$79:$F$126,MATCH(DR$15,'Variable index'!$C$79:$C$126,0),$D$12),INDEX('Variable index'!$E$79:$F$126,MATCH(_xlfn.CONCAT(DR$15," - ",DR$16),'Variable index'!$C$79:$C$126,0),$D$12)),"")</f>
        <v/>
      </c>
      <c r="DT19" s="27"/>
      <c r="DV19" s="159" t="str">
        <f>IFERROR(_xlfn.CONCAT("$ per ",IF(DV$17=0,_xlfn.XLOOKUP(DV$15,'Variable index'!$C$79:$C$126,'Variable index'!$D$79:$D$126),_xlfn.XLOOKUP(_xlfn.CONCAT(DV$15," - ",DV$16),'Variable index'!$C$79:$C$126,'Variable index'!$D$79:$D$126))),"")</f>
        <v/>
      </c>
      <c r="DW19" s="161" t="str" cm="1">
        <f t="array" ref="DW19">IFERROR(IF(DV$17=0,INDEX('Variable index'!$E$79:$F$126,MATCH(DV$15,'Variable index'!$C$79:$C$126,0),$D$12),INDEX('Variable index'!$E$79:$F$126,MATCH(_xlfn.CONCAT(DV$15," - ",DV$16),'Variable index'!$C$79:$C$126,0),$D$12)),"")</f>
        <v/>
      </c>
      <c r="DX19" s="27"/>
      <c r="DZ19" s="159" t="str">
        <f>IFERROR(_xlfn.CONCAT("$ per ",IF(DZ$17=0,_xlfn.XLOOKUP(DZ$15,'Variable index'!$C$79:$C$126,'Variable index'!$D$79:$D$126),_xlfn.XLOOKUP(_xlfn.CONCAT(DZ$15," - ",DZ$16),'Variable index'!$C$79:$C$126,'Variable index'!$D$79:$D$126))),"")</f>
        <v/>
      </c>
      <c r="EA19" s="161" t="str" cm="1">
        <f t="array" ref="EA19">IFERROR(IF(DZ$17=0,INDEX('Variable index'!$E$79:$F$126,MATCH(DZ$15,'Variable index'!$C$79:$C$126,0),$D$12),INDEX('Variable index'!$E$79:$F$126,MATCH(_xlfn.CONCAT(DZ$15," - ",DZ$16),'Variable index'!$C$79:$C$126,0),$D$12)),"")</f>
        <v/>
      </c>
      <c r="EB19" s="27"/>
      <c r="ED19" s="159" t="str">
        <f>IFERROR(_xlfn.CONCAT("$ per ",IF(ED$17=0,_xlfn.XLOOKUP(ED$15,'Variable index'!$C$79:$C$126,'Variable index'!$D$79:$D$126),_xlfn.XLOOKUP(_xlfn.CONCAT(ED$15," - ",ED$16),'Variable index'!$C$79:$C$126,'Variable index'!$D$79:$D$126))),"")</f>
        <v/>
      </c>
      <c r="EE19" s="161" t="str" cm="1">
        <f t="array" ref="EE19">IFERROR(IF(ED$17=0,INDEX('Variable index'!$E$79:$F$126,MATCH(ED$15,'Variable index'!$C$79:$C$126,0),$D$12),INDEX('Variable index'!$E$79:$F$126,MATCH(_xlfn.CONCAT(ED$15," - ",ED$16),'Variable index'!$C$79:$C$126,0),$D$12)),"")</f>
        <v/>
      </c>
      <c r="EF19" s="27"/>
      <c r="EH19" s="159" t="str">
        <f>IFERROR(_xlfn.CONCAT("$ per ",IF(EH$17=0,_xlfn.XLOOKUP(EH$15,'Variable index'!$C$79:$C$126,'Variable index'!$D$79:$D$126),_xlfn.XLOOKUP(_xlfn.CONCAT(EH$15," - ",EH$16),'Variable index'!$C$79:$C$126,'Variable index'!$D$79:$D$126))),"")</f>
        <v/>
      </c>
      <c r="EI19" s="161" t="str" cm="1">
        <f t="array" ref="EI19">IFERROR(IF(EH$17=0,INDEX('Variable index'!$E$79:$F$126,MATCH(EH$15,'Variable index'!$C$79:$C$126,0),$D$12),INDEX('Variable index'!$E$79:$F$126,MATCH(_xlfn.CONCAT(EH$15," - ",EH$16),'Variable index'!$C$79:$C$126,0),$D$12)),"")</f>
        <v/>
      </c>
      <c r="EJ19" s="27"/>
      <c r="EL19" s="159" t="str">
        <f>IFERROR(_xlfn.CONCAT("$ per ",IF(EL$17=0,_xlfn.XLOOKUP(EL$15,'Variable index'!$C$79:$C$126,'Variable index'!$D$79:$D$126),_xlfn.XLOOKUP(_xlfn.CONCAT(EL$15," - ",EL$16),'Variable index'!$C$79:$C$126,'Variable index'!$D$79:$D$126))),"")</f>
        <v/>
      </c>
      <c r="EM19" s="161" t="str" cm="1">
        <f t="array" ref="EM19">IFERROR(IF(EL$17=0,INDEX('Variable index'!$E$79:$F$126,MATCH(EL$15,'Variable index'!$C$79:$C$126,0),$D$12),INDEX('Variable index'!$E$79:$F$126,MATCH(_xlfn.CONCAT(EL$15," - ",EL$16),'Variable index'!$C$79:$C$126,0),$D$12)),"")</f>
        <v/>
      </c>
      <c r="EN19" s="27"/>
      <c r="EP19" s="159" t="str">
        <f>IFERROR(_xlfn.CONCAT("$ per ",IF(EP$17=0,_xlfn.XLOOKUP(EP$15,'Variable index'!$C$79:$C$126,'Variable index'!$D$79:$D$126),_xlfn.XLOOKUP(_xlfn.CONCAT(EP$15," - ",EP$16),'Variable index'!$C$79:$C$126,'Variable index'!$D$79:$D$126))),"")</f>
        <v/>
      </c>
      <c r="EQ19" s="161" t="str" cm="1">
        <f t="array" ref="EQ19">IFERROR(IF(EP$17=0,INDEX('Variable index'!$E$79:$F$126,MATCH(EP$15,'Variable index'!$C$79:$C$126,0),$D$12),INDEX('Variable index'!$E$79:$F$126,MATCH(_xlfn.CONCAT(EP$15," - ",EP$16),'Variable index'!$C$79:$C$126,0),$D$12)),"")</f>
        <v/>
      </c>
      <c r="ER19" s="27"/>
      <c r="ET19" s="159" t="str">
        <f>IFERROR(_xlfn.CONCAT("$ per ",IF(ET$17=0,_xlfn.XLOOKUP(ET$15,'Variable index'!$C$79:$C$126,'Variable index'!$D$79:$D$126),_xlfn.XLOOKUP(_xlfn.CONCAT(ET$15," - ",ET$16),'Variable index'!$C$79:$C$126,'Variable index'!$D$79:$D$126))),"")</f>
        <v/>
      </c>
      <c r="EU19" s="161" t="str" cm="1">
        <f t="array" ref="EU19">IFERROR(IF(ET$17=0,INDEX('Variable index'!$E$79:$F$126,MATCH(ET$15,'Variable index'!$C$79:$C$126,0),$D$12),INDEX('Variable index'!$E$79:$F$126,MATCH(_xlfn.CONCAT(ET$15," - ",ET$16),'Variable index'!$C$79:$C$126,0),$D$12)),"")</f>
        <v/>
      </c>
      <c r="EV19" s="27"/>
      <c r="EX19" s="159" t="str">
        <f>IFERROR(_xlfn.CONCAT("$ per ",IF(EX$17=0,_xlfn.XLOOKUP(EX$15,'Variable index'!$C$79:$C$126,'Variable index'!$D$79:$D$126),_xlfn.XLOOKUP(_xlfn.CONCAT(EX$15," - ",EX$16),'Variable index'!$C$79:$C$126,'Variable index'!$D$79:$D$126))),"")</f>
        <v/>
      </c>
      <c r="EY19" s="161" t="str" cm="1">
        <f t="array" ref="EY19">IFERROR(IF(EX$17=0,INDEX('Variable index'!$E$79:$F$126,MATCH(EX$15,'Variable index'!$C$79:$C$126,0),$D$12),INDEX('Variable index'!$E$79:$F$126,MATCH(_xlfn.CONCAT(EX$15," - ",EX$16),'Variable index'!$C$79:$C$126,0),$D$12)),"")</f>
        <v/>
      </c>
      <c r="EZ19" s="27"/>
      <c r="FB19" s="159" t="str">
        <f>IFERROR(_xlfn.CONCAT("$ per ",IF(FB$17=0,_xlfn.XLOOKUP(FB$15,'Variable index'!$C$79:$C$126,'Variable index'!$D$79:$D$126),_xlfn.XLOOKUP(_xlfn.CONCAT(FB$15," - ",FB$16),'Variable index'!$C$79:$C$126,'Variable index'!$D$79:$D$126))),"")</f>
        <v/>
      </c>
      <c r="FC19" s="161" t="str" cm="1">
        <f t="array" ref="FC19">IFERROR(IF(FB$17=0,INDEX('Variable index'!$E$79:$F$126,MATCH(FB$15,'Variable index'!$C$79:$C$126,0),$D$12),INDEX('Variable index'!$E$79:$F$126,MATCH(_xlfn.CONCAT(FB$15," - ",FB$16),'Variable index'!$C$79:$C$126,0),$D$12)),"")</f>
        <v/>
      </c>
      <c r="FD19" s="27"/>
      <c r="FF19" s="159" t="str">
        <f>IFERROR(_xlfn.CONCAT("$ per ",IF(FF$17=0,_xlfn.XLOOKUP(FF$15,'Variable index'!$C$79:$C$126,'Variable index'!$D$79:$D$126),_xlfn.XLOOKUP(_xlfn.CONCAT(FF$15," - ",FF$16),'Variable index'!$C$79:$C$126,'Variable index'!$D$79:$D$126))),"")</f>
        <v/>
      </c>
      <c r="FG19" s="161" t="str" cm="1">
        <f t="array" ref="FG19">IFERROR(IF(FF$17=0,INDEX('Variable index'!$E$79:$F$126,MATCH(FF$15,'Variable index'!$C$79:$C$126,0),$D$12),INDEX('Variable index'!$E$79:$F$126,MATCH(_xlfn.CONCAT(FF$15," - ",FF$16),'Variable index'!$C$79:$C$126,0),$D$12)),"")</f>
        <v/>
      </c>
      <c r="FH19" s="27"/>
      <c r="FJ19" s="159" t="str">
        <f>IFERROR(_xlfn.CONCAT("$ per ",IF(FJ$17=0,_xlfn.XLOOKUP(FJ$15,'Variable index'!$C$79:$C$126,'Variable index'!$D$79:$D$126),_xlfn.XLOOKUP(_xlfn.CONCAT(FJ$15," - ",FJ$16),'Variable index'!$C$79:$C$126,'Variable index'!$D$79:$D$126))),"")</f>
        <v/>
      </c>
      <c r="FK19" s="161" t="str" cm="1">
        <f t="array" ref="FK19">IFERROR(IF(FJ$17=0,INDEX('Variable index'!$E$79:$F$126,MATCH(FJ$15,'Variable index'!$C$79:$C$126,0),$D$12),INDEX('Variable index'!$E$79:$F$126,MATCH(_xlfn.CONCAT(FJ$15," - ",FJ$16),'Variable index'!$C$79:$C$126,0),$D$12)),"")</f>
        <v/>
      </c>
      <c r="FL19" s="27"/>
      <c r="FN19" s="159" t="str">
        <f>IFERROR(_xlfn.CONCAT("$ per ",IF(FN$17=0,_xlfn.XLOOKUP(FN$15,'Variable index'!$C$79:$C$126,'Variable index'!$D$79:$D$126),_xlfn.XLOOKUP(_xlfn.CONCAT(FN$15," - ",FN$16),'Variable index'!$C$79:$C$126,'Variable index'!$D$79:$D$126))),"")</f>
        <v/>
      </c>
      <c r="FO19" s="161" t="str" cm="1">
        <f t="array" ref="FO19">IFERROR(IF(FN$17=0,INDEX('Variable index'!$E$79:$F$126,MATCH(FN$15,'Variable index'!$C$79:$C$126,0),$D$12),INDEX('Variable index'!$E$79:$F$126,MATCH(_xlfn.CONCAT(FN$15," - ",FN$16),'Variable index'!$C$79:$C$126,0),$D$12)),"")</f>
        <v/>
      </c>
      <c r="FP19" s="27"/>
      <c r="FR19" s="159" t="str">
        <f>IFERROR(_xlfn.CONCAT("$ per ",IF(FR$17=0,_xlfn.XLOOKUP(FR$15,'Variable index'!$C$79:$C$126,'Variable index'!$D$79:$D$126),_xlfn.XLOOKUP(_xlfn.CONCAT(FR$15," - ",FR$16),'Variable index'!$C$79:$C$126,'Variable index'!$D$79:$D$126))),"")</f>
        <v/>
      </c>
      <c r="FS19" s="161" t="str" cm="1">
        <f t="array" ref="FS19">IFERROR(IF(FR$17=0,INDEX('Variable index'!$E$79:$F$126,MATCH(FR$15,'Variable index'!$C$79:$C$126,0),$D$12),INDEX('Variable index'!$E$79:$F$126,MATCH(_xlfn.CONCAT(FR$15," - ",FR$16),'Variable index'!$C$79:$C$126,0),$D$12)),"")</f>
        <v/>
      </c>
      <c r="FT19" s="27"/>
      <c r="FV19" s="159" t="str">
        <f>IFERROR(_xlfn.CONCAT("$ per ",IF(FV$17=0,_xlfn.XLOOKUP(FV$15,'Variable index'!$C$79:$C$126,'Variable index'!$D$79:$D$126),_xlfn.XLOOKUP(_xlfn.CONCAT(FV$15," - ",FV$16),'Variable index'!$C$79:$C$126,'Variable index'!$D$79:$D$126))),"")</f>
        <v/>
      </c>
      <c r="FW19" s="161" t="str" cm="1">
        <f t="array" ref="FW19">IFERROR(IF(FV$17=0,INDEX('Variable index'!$E$79:$F$126,MATCH(FV$15,'Variable index'!$C$79:$C$126,0),$D$12),INDEX('Variable index'!$E$79:$F$126,MATCH(_xlfn.CONCAT(FV$15," - ",FV$16),'Variable index'!$C$79:$C$126,0),$D$12)),"")</f>
        <v/>
      </c>
      <c r="FX19" s="27"/>
      <c r="FZ19" s="159" t="str">
        <f>IFERROR(_xlfn.CONCAT("$ per ",IF(FZ$17=0,_xlfn.XLOOKUP(FZ$15,'Variable index'!$C$79:$C$126,'Variable index'!$D$79:$D$126),_xlfn.XLOOKUP(_xlfn.CONCAT(FZ$15," - ",FZ$16),'Variable index'!$C$79:$C$126,'Variable index'!$D$79:$D$126))),"")</f>
        <v/>
      </c>
      <c r="GA19" s="161" t="str" cm="1">
        <f t="array" ref="GA19">IFERROR(IF(FZ$17=0,INDEX('Variable index'!$E$79:$F$126,MATCH(FZ$15,'Variable index'!$C$79:$C$126,0),$D$12),INDEX('Variable index'!$E$79:$F$126,MATCH(_xlfn.CONCAT(FZ$15," - ",FZ$16),'Variable index'!$C$79:$C$126,0),$D$12)),"")</f>
        <v/>
      </c>
      <c r="GB19" s="27"/>
      <c r="GD19" s="159" t="str">
        <f>IFERROR(_xlfn.CONCAT("$ per ",IF(GD$17=0,_xlfn.XLOOKUP(GD$15,'Variable index'!$C$79:$C$126,'Variable index'!$D$79:$D$126),_xlfn.XLOOKUP(_xlfn.CONCAT(GD$15," - ",GD$16),'Variable index'!$C$79:$C$126,'Variable index'!$D$79:$D$126))),"")</f>
        <v/>
      </c>
      <c r="GE19" s="161" t="str" cm="1">
        <f t="array" ref="GE19">IFERROR(IF(GD$17=0,INDEX('Variable index'!$E$79:$F$126,MATCH(GD$15,'Variable index'!$C$79:$C$126,0),$D$12),INDEX('Variable index'!$E$79:$F$126,MATCH(_xlfn.CONCAT(GD$15," - ",GD$16),'Variable index'!$C$79:$C$126,0),$D$12)),"")</f>
        <v/>
      </c>
      <c r="GF19" s="27"/>
      <c r="GH19" s="159" t="str">
        <f>IFERROR(_xlfn.CONCAT("$ per ",IF(GH$17=0,_xlfn.XLOOKUP(GH$15,'Variable index'!$C$79:$C$126,'Variable index'!$D$79:$D$126),_xlfn.XLOOKUP(_xlfn.CONCAT(GH$15," - ",GH$16),'Variable index'!$C$79:$C$126,'Variable index'!$D$79:$D$126))),"")</f>
        <v/>
      </c>
      <c r="GI19" s="161" t="str" cm="1">
        <f t="array" ref="GI19">IFERROR(IF(GH$17=0,INDEX('Variable index'!$E$79:$F$126,MATCH(GH$15,'Variable index'!$C$79:$C$126,0),$D$12),INDEX('Variable index'!$E$79:$F$126,MATCH(_xlfn.CONCAT(GH$15," - ",GH$16),'Variable index'!$C$79:$C$126,0),$D$12)),"")</f>
        <v/>
      </c>
      <c r="GJ19" s="27"/>
      <c r="GL19" s="159" t="str">
        <f>IFERROR(_xlfn.CONCAT("$ per ",IF(GL$17=0,_xlfn.XLOOKUP(GL$15,'Variable index'!$C$79:$C$126,'Variable index'!$D$79:$D$126),_xlfn.XLOOKUP(_xlfn.CONCAT(GL$15," - ",GL$16),'Variable index'!$C$79:$C$126,'Variable index'!$D$79:$D$126))),"")</f>
        <v/>
      </c>
      <c r="GM19" s="161" t="str" cm="1">
        <f t="array" ref="GM19">IFERROR(IF(GL$17=0,INDEX('Variable index'!$E$79:$F$126,MATCH(GL$15,'Variable index'!$C$79:$C$126,0),$D$12),INDEX('Variable index'!$E$79:$F$126,MATCH(_xlfn.CONCAT(GL$15," - ",GL$16),'Variable index'!$C$79:$C$126,0),$D$12)),"")</f>
        <v/>
      </c>
      <c r="GN19" s="27"/>
      <c r="GP19" s="159" t="str">
        <f>IFERROR(_xlfn.CONCAT("$ per ",IF(GP$17=0,_xlfn.XLOOKUP(GP$15,'Variable index'!$C$79:$C$126,'Variable index'!$D$79:$D$126),_xlfn.XLOOKUP(_xlfn.CONCAT(GP$15," - ",GP$16),'Variable index'!$C$79:$C$126,'Variable index'!$D$79:$D$126))),"")</f>
        <v/>
      </c>
      <c r="GQ19" s="161" t="str" cm="1">
        <f t="array" ref="GQ19">IFERROR(IF(GP$17=0,INDEX('Variable index'!$E$79:$F$126,MATCH(GP$15,'Variable index'!$C$79:$C$126,0),$D$12),INDEX('Variable index'!$E$79:$F$126,MATCH(_xlfn.CONCAT(GP$15," - ",GP$16),'Variable index'!$C$79:$C$126,0),$D$12)),"")</f>
        <v/>
      </c>
      <c r="GR19" s="27"/>
      <c r="GT19" s="159" t="str">
        <f>IFERROR(_xlfn.CONCAT("$ per ",IF(GT$17=0,_xlfn.XLOOKUP(GT$15,'Variable index'!$C$79:$C$126,'Variable index'!$D$79:$D$126),_xlfn.XLOOKUP(_xlfn.CONCAT(GT$15," - ",GT$16),'Variable index'!$C$79:$C$126,'Variable index'!$D$79:$D$126))),"")</f>
        <v/>
      </c>
      <c r="GU19" s="161" t="str" cm="1">
        <f t="array" ref="GU19">IFERROR(IF(GT$17=0,INDEX('Variable index'!$E$79:$F$126,MATCH(GT$15,'Variable index'!$C$79:$C$126,0),$D$12),INDEX('Variable index'!$E$79:$F$126,MATCH(_xlfn.CONCAT(GT$15," - ",GT$16),'Variable index'!$C$79:$C$126,0),$D$12)),"")</f>
        <v/>
      </c>
      <c r="GV19" s="27"/>
    </row>
    <row r="20" spans="4:204" ht="12" x14ac:dyDescent="0.25">
      <c r="D20" t="s">
        <v>148</v>
      </c>
      <c r="F20" s="233" t="str">
        <f>IF(_xlfn.XLOOKUP(F$14,TableStormwater['#],TableStormwater[Unit quantity])&lt;&gt;"",_xlfn.XLOOKUP(F$14,TableStormwater['#],TableStormwater[Unit quantity]),"")</f>
        <v/>
      </c>
      <c r="H20" s="27"/>
      <c r="J20" s="233" t="str">
        <f>IF(_xlfn.XLOOKUP(J$14,TableStormwater['#],TableStormwater[Unit quantity])&lt;&gt;"",_xlfn.XLOOKUP(J$14,TableStormwater['#],TableStormwater[Unit quantity]),"")</f>
        <v/>
      </c>
      <c r="L20" s="27"/>
      <c r="N20" s="233" t="str">
        <f>IF(_xlfn.XLOOKUP(N$14,TableStormwater['#],TableStormwater[Unit quantity])&lt;&gt;"",_xlfn.XLOOKUP(N$14,TableStormwater['#],TableStormwater[Unit quantity]),"")</f>
        <v/>
      </c>
      <c r="P20" s="27"/>
      <c r="R20" s="233" t="str">
        <f>IF(_xlfn.XLOOKUP(R$14,TableStormwater['#],TableStormwater[Unit quantity])&lt;&gt;"",_xlfn.XLOOKUP(R$14,TableStormwater['#],TableStormwater[Unit quantity]),"")</f>
        <v/>
      </c>
      <c r="T20" s="27"/>
      <c r="V20" s="233" t="str">
        <f>IF(_xlfn.XLOOKUP(V$14,TableStormwater['#],TableStormwater[Unit quantity])&lt;&gt;"",_xlfn.XLOOKUP(V$14,TableStormwater['#],TableStormwater[Unit quantity]),"")</f>
        <v/>
      </c>
      <c r="X20" s="27"/>
      <c r="Z20" s="233" t="str">
        <f>IF(_xlfn.XLOOKUP(Z$14,TableStormwater['#],TableStormwater[Unit quantity])&lt;&gt;"",_xlfn.XLOOKUP(Z$14,TableStormwater['#],TableStormwater[Unit quantity]),"")</f>
        <v/>
      </c>
      <c r="AB20" s="27"/>
      <c r="AD20" s="233" t="str">
        <f>IF(_xlfn.XLOOKUP(AD$14,TableStormwater['#],TableStormwater[Unit quantity])&lt;&gt;"",_xlfn.XLOOKUP(AD$14,TableStormwater['#],TableStormwater[Unit quantity]),"")</f>
        <v/>
      </c>
      <c r="AF20" s="27"/>
      <c r="AH20" s="233" t="str">
        <f>IF(_xlfn.XLOOKUP(AH$14,TableStormwater['#],TableStormwater[Unit quantity])&lt;&gt;"",_xlfn.XLOOKUP(AH$14,TableStormwater['#],TableStormwater[Unit quantity]),"")</f>
        <v/>
      </c>
      <c r="AJ20" s="27"/>
      <c r="AL20" s="233" t="str">
        <f>IF(_xlfn.XLOOKUP(AL$14,TableStormwater['#],TableStormwater[Unit quantity])&lt;&gt;"",_xlfn.XLOOKUP(AL$14,TableStormwater['#],TableStormwater[Unit quantity]),"")</f>
        <v/>
      </c>
      <c r="AN20" s="27"/>
      <c r="AP20" s="233" t="str">
        <f>IF(_xlfn.XLOOKUP(AP$14,TableStormwater['#],TableStormwater[Unit quantity])&lt;&gt;"",_xlfn.XLOOKUP(AP$14,TableStormwater['#],TableStormwater[Unit quantity]),"")</f>
        <v/>
      </c>
      <c r="AR20" s="27"/>
      <c r="AT20" s="233" t="str">
        <f>IF(_xlfn.XLOOKUP(AT$14,TableStormwater['#],TableStormwater[Unit quantity])&lt;&gt;"",_xlfn.XLOOKUP(AT$14,TableStormwater['#],TableStormwater[Unit quantity]),"")</f>
        <v/>
      </c>
      <c r="AV20" s="27"/>
      <c r="AX20" s="233" t="str">
        <f>IF(_xlfn.XLOOKUP(AX$14,TableStormwater['#],TableStormwater[Unit quantity])&lt;&gt;"",_xlfn.XLOOKUP(AX$14,TableStormwater['#],TableStormwater[Unit quantity]),"")</f>
        <v/>
      </c>
      <c r="AZ20" s="27"/>
      <c r="BB20" s="233" t="str">
        <f>IF(_xlfn.XLOOKUP(BB$14,TableStormwater['#],TableStormwater[Unit quantity])&lt;&gt;"",_xlfn.XLOOKUP(BB$14,TableStormwater['#],TableStormwater[Unit quantity]),"")</f>
        <v/>
      </c>
      <c r="BD20" s="27"/>
      <c r="BF20" s="233" t="str">
        <f>IF(_xlfn.XLOOKUP(BF$14,TableStormwater['#],TableStormwater[Unit quantity])&lt;&gt;"",_xlfn.XLOOKUP(BF$14,TableStormwater['#],TableStormwater[Unit quantity]),"")</f>
        <v/>
      </c>
      <c r="BH20" s="27"/>
      <c r="BJ20" s="233" t="str">
        <f>IF(_xlfn.XLOOKUP(BJ$14,TableStormwater['#],TableStormwater[Unit quantity])&lt;&gt;"",_xlfn.XLOOKUP(BJ$14,TableStormwater['#],TableStormwater[Unit quantity]),"")</f>
        <v/>
      </c>
      <c r="BL20" s="27"/>
      <c r="BN20" s="233" t="str">
        <f>IF(_xlfn.XLOOKUP(BN$14,TableStormwater['#],TableStormwater[Unit quantity])&lt;&gt;"",_xlfn.XLOOKUP(BN$14,TableStormwater['#],TableStormwater[Unit quantity]),"")</f>
        <v/>
      </c>
      <c r="BP20" s="27"/>
      <c r="BR20" s="233" t="str">
        <f>IF(_xlfn.XLOOKUP(BR$14,TableStormwater['#],TableStormwater[Unit quantity])&lt;&gt;"",_xlfn.XLOOKUP(BR$14,TableStormwater['#],TableStormwater[Unit quantity]),"")</f>
        <v/>
      </c>
      <c r="BT20" s="27"/>
      <c r="BV20" s="233" t="str">
        <f>IF(_xlfn.XLOOKUP(BV$14,TableStormwater['#],TableStormwater[Unit quantity])&lt;&gt;"",_xlfn.XLOOKUP(BV$14,TableStormwater['#],TableStormwater[Unit quantity]),"")</f>
        <v/>
      </c>
      <c r="BX20" s="27"/>
      <c r="BZ20" s="233" t="str">
        <f>IF(_xlfn.XLOOKUP(BZ$14,TableStormwater['#],TableStormwater[Unit quantity])&lt;&gt;"",_xlfn.XLOOKUP(BZ$14,TableStormwater['#],TableStormwater[Unit quantity]),"")</f>
        <v/>
      </c>
      <c r="CB20" s="27"/>
      <c r="CD20" s="233" t="str">
        <f>IF(_xlfn.XLOOKUP(CD$14,TableStormwater['#],TableStormwater[Unit quantity])&lt;&gt;"",_xlfn.XLOOKUP(CD$14,TableStormwater['#],TableStormwater[Unit quantity]),"")</f>
        <v/>
      </c>
      <c r="CF20" s="27"/>
      <c r="CH20" s="233" t="str">
        <f>IF(_xlfn.XLOOKUP(CH$14,TableStormwater['#],TableStormwater[Unit quantity])&lt;&gt;"",_xlfn.XLOOKUP(CH$14,TableStormwater['#],TableStormwater[Unit quantity]),"")</f>
        <v/>
      </c>
      <c r="CJ20" s="27"/>
      <c r="CL20" s="233" t="str">
        <f>IF(_xlfn.XLOOKUP(CL$14,TableStormwater['#],TableStormwater[Unit quantity])&lt;&gt;"",_xlfn.XLOOKUP(CL$14,TableStormwater['#],TableStormwater[Unit quantity]),"")</f>
        <v/>
      </c>
      <c r="CN20" s="27"/>
      <c r="CP20" s="233" t="str">
        <f>IF(_xlfn.XLOOKUP(CP$14,TableStormwater['#],TableStormwater[Unit quantity])&lt;&gt;"",_xlfn.XLOOKUP(CP$14,TableStormwater['#],TableStormwater[Unit quantity]),"")</f>
        <v/>
      </c>
      <c r="CR20" s="27"/>
      <c r="CT20" s="233" t="str">
        <f>IF(_xlfn.XLOOKUP(CT$14,TableStormwater['#],TableStormwater[Unit quantity])&lt;&gt;"",_xlfn.XLOOKUP(CT$14,TableStormwater['#],TableStormwater[Unit quantity]),"")</f>
        <v/>
      </c>
      <c r="CV20" s="27"/>
      <c r="CX20" s="233" t="str">
        <f>IF(_xlfn.XLOOKUP(CX$14,TableStormwater['#],TableStormwater[Unit quantity])&lt;&gt;"",_xlfn.XLOOKUP(CX$14,TableStormwater['#],TableStormwater[Unit quantity]),"")</f>
        <v/>
      </c>
      <c r="CZ20" s="27"/>
      <c r="DB20" s="233" t="str">
        <f>IF(_xlfn.XLOOKUP(DB$14,TableStormwater['#],TableStormwater[Unit quantity])&lt;&gt;"",_xlfn.XLOOKUP(DB$14,TableStormwater['#],TableStormwater[Unit quantity]),"")</f>
        <v/>
      </c>
      <c r="DD20" s="27"/>
      <c r="DF20" s="233" t="str">
        <f>IF(_xlfn.XLOOKUP(DF$14,TableStormwater['#],TableStormwater[Unit quantity])&lt;&gt;"",_xlfn.XLOOKUP(DF$14,TableStormwater['#],TableStormwater[Unit quantity]),"")</f>
        <v/>
      </c>
      <c r="DH20" s="27"/>
      <c r="DJ20" s="233" t="str">
        <f>IF(_xlfn.XLOOKUP(DJ$14,TableStormwater['#],TableStormwater[Unit quantity])&lt;&gt;"",_xlfn.XLOOKUP(DJ$14,TableStormwater['#],TableStormwater[Unit quantity]),"")</f>
        <v/>
      </c>
      <c r="DL20" s="27"/>
      <c r="DN20" s="233" t="str">
        <f>IF(_xlfn.XLOOKUP(DN$14,TableStormwater['#],TableStormwater[Unit quantity])&lt;&gt;"",_xlfn.XLOOKUP(DN$14,TableStormwater['#],TableStormwater[Unit quantity]),"")</f>
        <v/>
      </c>
      <c r="DP20" s="27"/>
      <c r="DR20" s="233" t="str">
        <f>IF(_xlfn.XLOOKUP(DR$14,TableStormwater['#],TableStormwater[Unit quantity])&lt;&gt;"",_xlfn.XLOOKUP(DR$14,TableStormwater['#],TableStormwater[Unit quantity]),"")</f>
        <v/>
      </c>
      <c r="DT20" s="27"/>
      <c r="DV20" s="233" t="str">
        <f>IF(_xlfn.XLOOKUP(DV$14,TableStormwater['#],TableStormwater[Unit quantity])&lt;&gt;"",_xlfn.XLOOKUP(DV$14,TableStormwater['#],TableStormwater[Unit quantity]),"")</f>
        <v/>
      </c>
      <c r="DX20" s="27"/>
      <c r="DZ20" s="233" t="str">
        <f>IF(_xlfn.XLOOKUP(DZ$14,TableStormwater['#],TableStormwater[Unit quantity])&lt;&gt;"",_xlfn.XLOOKUP(DZ$14,TableStormwater['#],TableStormwater[Unit quantity]),"")</f>
        <v/>
      </c>
      <c r="EB20" s="27"/>
      <c r="ED20" s="233" t="str">
        <f>IF(_xlfn.XLOOKUP(ED$14,TableStormwater['#],TableStormwater[Unit quantity])&lt;&gt;"",_xlfn.XLOOKUP(ED$14,TableStormwater['#],TableStormwater[Unit quantity]),"")</f>
        <v/>
      </c>
      <c r="EF20" s="27"/>
      <c r="EH20" s="233" t="str">
        <f>IF(_xlfn.XLOOKUP(EH$14,TableStormwater['#],TableStormwater[Unit quantity])&lt;&gt;"",_xlfn.XLOOKUP(EH$14,TableStormwater['#],TableStormwater[Unit quantity]),"")</f>
        <v/>
      </c>
      <c r="EJ20" s="27"/>
      <c r="EL20" s="233" t="str">
        <f>IF(_xlfn.XLOOKUP(EL$14,TableStormwater['#],TableStormwater[Unit quantity])&lt;&gt;"",_xlfn.XLOOKUP(EL$14,TableStormwater['#],TableStormwater[Unit quantity]),"")</f>
        <v/>
      </c>
      <c r="EN20" s="27"/>
      <c r="EP20" s="233" t="str">
        <f>IF(_xlfn.XLOOKUP(EP$14,TableStormwater['#],TableStormwater[Unit quantity])&lt;&gt;"",_xlfn.XLOOKUP(EP$14,TableStormwater['#],TableStormwater[Unit quantity]),"")</f>
        <v/>
      </c>
      <c r="ER20" s="27"/>
      <c r="ET20" s="233" t="str">
        <f>IF(_xlfn.XLOOKUP(ET$14,TableStormwater['#],TableStormwater[Unit quantity])&lt;&gt;"",_xlfn.XLOOKUP(ET$14,TableStormwater['#],TableStormwater[Unit quantity]),"")</f>
        <v/>
      </c>
      <c r="EV20" s="27"/>
      <c r="EX20" s="233" t="str">
        <f>IF(_xlfn.XLOOKUP(EX$14,TableStormwater['#],TableStormwater[Unit quantity])&lt;&gt;"",_xlfn.XLOOKUP(EX$14,TableStormwater['#],TableStormwater[Unit quantity]),"")</f>
        <v/>
      </c>
      <c r="EZ20" s="27"/>
      <c r="FB20" s="233" t="str">
        <f>IF(_xlfn.XLOOKUP(FB$14,TableStormwater['#],TableStormwater[Unit quantity])&lt;&gt;"",_xlfn.XLOOKUP(FB$14,TableStormwater['#],TableStormwater[Unit quantity]),"")</f>
        <v/>
      </c>
      <c r="FD20" s="27"/>
      <c r="FF20" s="233" t="str">
        <f>IF(_xlfn.XLOOKUP(FF$14,TableStormwater['#],TableStormwater[Unit quantity])&lt;&gt;"",_xlfn.XLOOKUP(FF$14,TableStormwater['#],TableStormwater[Unit quantity]),"")</f>
        <v/>
      </c>
      <c r="FH20" s="27"/>
      <c r="FJ20" s="233" t="str">
        <f>IF(_xlfn.XLOOKUP(FJ$14,TableStormwater['#],TableStormwater[Unit quantity])&lt;&gt;"",_xlfn.XLOOKUP(FJ$14,TableStormwater['#],TableStormwater[Unit quantity]),"")</f>
        <v/>
      </c>
      <c r="FL20" s="27"/>
      <c r="FN20" s="233" t="str">
        <f>IF(_xlfn.XLOOKUP(FN$14,TableStormwater['#],TableStormwater[Unit quantity])&lt;&gt;"",_xlfn.XLOOKUP(FN$14,TableStormwater['#],TableStormwater[Unit quantity]),"")</f>
        <v/>
      </c>
      <c r="FP20" s="27"/>
      <c r="FR20" s="233" t="str">
        <f>IF(_xlfn.XLOOKUP(FR$14,TableStormwater['#],TableStormwater[Unit quantity])&lt;&gt;"",_xlfn.XLOOKUP(FR$14,TableStormwater['#],TableStormwater[Unit quantity]),"")</f>
        <v/>
      </c>
      <c r="FT20" s="27"/>
      <c r="FV20" s="233" t="str">
        <f>IF(_xlfn.XLOOKUP(FV$14,TableStormwater['#],TableStormwater[Unit quantity])&lt;&gt;"",_xlfn.XLOOKUP(FV$14,TableStormwater['#],TableStormwater[Unit quantity]),"")</f>
        <v/>
      </c>
      <c r="FX20" s="27"/>
      <c r="FZ20" s="233" t="str">
        <f>IF(_xlfn.XLOOKUP(FZ$14,TableStormwater['#],TableStormwater[Unit quantity])&lt;&gt;"",_xlfn.XLOOKUP(FZ$14,TableStormwater['#],TableStormwater[Unit quantity]),"")</f>
        <v/>
      </c>
      <c r="GB20" s="27"/>
      <c r="GD20" s="233" t="str">
        <f>IF(_xlfn.XLOOKUP(GD$14,TableStormwater['#],TableStormwater[Unit quantity])&lt;&gt;"",_xlfn.XLOOKUP(GD$14,TableStormwater['#],TableStormwater[Unit quantity]),"")</f>
        <v/>
      </c>
      <c r="GF20" s="27"/>
      <c r="GH20" s="233" t="str">
        <f>IF(_xlfn.XLOOKUP(GH$14,TableStormwater['#],TableStormwater[Unit quantity])&lt;&gt;"",_xlfn.XLOOKUP(GH$14,TableStormwater['#],TableStormwater[Unit quantity]),"")</f>
        <v/>
      </c>
      <c r="GJ20" s="27"/>
      <c r="GL20" s="233" t="str">
        <f>IF(_xlfn.XLOOKUP(GL$14,TableStormwater['#],TableStormwater[Unit quantity])&lt;&gt;"",_xlfn.XLOOKUP(GL$14,TableStormwater['#],TableStormwater[Unit quantity]),"")</f>
        <v/>
      </c>
      <c r="GN20" s="27"/>
      <c r="GP20" s="233" t="str">
        <f>IF(_xlfn.XLOOKUP(GP$14,TableStormwater['#],TableStormwater[Unit quantity])&lt;&gt;"",_xlfn.XLOOKUP(GP$14,TableStormwater['#],TableStormwater[Unit quantity]),"")</f>
        <v/>
      </c>
      <c r="GR20" s="27"/>
      <c r="GT20" s="233" t="str">
        <f>IF(_xlfn.XLOOKUP(GT$14,TableStormwater['#],TableStormwater[Unit quantity])&lt;&gt;"",_xlfn.XLOOKUP(GT$14,TableStormwater['#],TableStormwater[Unit quantity]),"")</f>
        <v/>
      </c>
      <c r="GV20" s="27"/>
    </row>
    <row r="21" spans="4:204" ht="12" x14ac:dyDescent="0.25">
      <c r="D21" t="s">
        <v>149</v>
      </c>
      <c r="H21" s="162" t="str">
        <f>IFERROR(G19*F20,"")</f>
        <v/>
      </c>
      <c r="L21" s="162" t="str">
        <f>IFERROR(K19*J20,"")</f>
        <v/>
      </c>
      <c r="P21" s="162" t="str">
        <f>IFERROR(O19*N20,"")</f>
        <v/>
      </c>
      <c r="T21" s="162" t="str">
        <f>IFERROR(S19*R20,"")</f>
        <v/>
      </c>
      <c r="X21" s="162" t="str">
        <f>IFERROR(W19*V20,"")</f>
        <v/>
      </c>
      <c r="AB21" s="162" t="str">
        <f>IFERROR(AA19*Z20,"")</f>
        <v/>
      </c>
      <c r="AF21" s="162" t="str">
        <f>IFERROR(AE19*AD20,"")</f>
        <v/>
      </c>
      <c r="AJ21" s="162" t="str">
        <f>IFERROR(AI19*AH20,"")</f>
        <v/>
      </c>
      <c r="AN21" s="162" t="str">
        <f>IFERROR(AM19*AL20,"")</f>
        <v/>
      </c>
      <c r="AR21" s="162" t="str">
        <f>IFERROR(AQ19*AP20,"")</f>
        <v/>
      </c>
      <c r="AV21" s="162" t="str">
        <f>IFERROR(AU19*AT20,"")</f>
        <v/>
      </c>
      <c r="AZ21" s="162" t="str">
        <f>IFERROR(AY19*AX20,"")</f>
        <v/>
      </c>
      <c r="BD21" s="162" t="str">
        <f>IFERROR(BC19*BB20,"")</f>
        <v/>
      </c>
      <c r="BH21" s="162" t="str">
        <f>IFERROR(BG19*BF20,"")</f>
        <v/>
      </c>
      <c r="BL21" s="162" t="str">
        <f>IFERROR(BK19*BJ20,"")</f>
        <v/>
      </c>
      <c r="BP21" s="162" t="str">
        <f>IFERROR(BO19*BN20,"")</f>
        <v/>
      </c>
      <c r="BT21" s="162" t="str">
        <f>IFERROR(BS19*BR20,"")</f>
        <v/>
      </c>
      <c r="BX21" s="162" t="str">
        <f>IFERROR(BW19*BV20,"")</f>
        <v/>
      </c>
      <c r="CB21" s="162" t="str">
        <f>IFERROR(CA19*BZ20,"")</f>
        <v/>
      </c>
      <c r="CF21" s="162" t="str">
        <f>IFERROR(CE19*CD20,"")</f>
        <v/>
      </c>
      <c r="CJ21" s="162" t="str">
        <f>IFERROR(CI19*CH20,"")</f>
        <v/>
      </c>
      <c r="CN21" s="162" t="str">
        <f>IFERROR(CM19*CL20,"")</f>
        <v/>
      </c>
      <c r="CR21" s="162" t="str">
        <f>IFERROR(CQ19*CP20,"")</f>
        <v/>
      </c>
      <c r="CV21" s="162" t="str">
        <f>IFERROR(CU19*CT20,"")</f>
        <v/>
      </c>
      <c r="CZ21" s="162" t="str">
        <f>IFERROR(CY19*CX20,"")</f>
        <v/>
      </c>
      <c r="DD21" s="162" t="str">
        <f>IFERROR(DC19*DB20,"")</f>
        <v/>
      </c>
      <c r="DH21" s="162" t="str">
        <f>IFERROR(DG19*DF20,"")</f>
        <v/>
      </c>
      <c r="DL21" s="162" t="str">
        <f>IFERROR(DK19*DJ20,"")</f>
        <v/>
      </c>
      <c r="DP21" s="162" t="str">
        <f>IFERROR(DO19*DN20,"")</f>
        <v/>
      </c>
      <c r="DT21" s="162" t="str">
        <f>IFERROR(DS19*DR20,"")</f>
        <v/>
      </c>
      <c r="DX21" s="162" t="str">
        <f>IFERROR(DW19*DV20,"")</f>
        <v/>
      </c>
      <c r="EB21" s="162" t="str">
        <f>IFERROR(EA19*DZ20,"")</f>
        <v/>
      </c>
      <c r="EF21" s="162" t="str">
        <f>IFERROR(EE19*ED20,"")</f>
        <v/>
      </c>
      <c r="EJ21" s="162" t="str">
        <f>IFERROR(EI19*EH20,"")</f>
        <v/>
      </c>
      <c r="EN21" s="162" t="str">
        <f>IFERROR(EM19*EL20,"")</f>
        <v/>
      </c>
      <c r="ER21" s="162" t="str">
        <f>IFERROR(EQ19*EP20,"")</f>
        <v/>
      </c>
      <c r="EV21" s="162" t="str">
        <f>IFERROR(EU19*ET20,"")</f>
        <v/>
      </c>
      <c r="EZ21" s="162" t="str">
        <f>IFERROR(EY19*EX20,"")</f>
        <v/>
      </c>
      <c r="FD21" s="162" t="str">
        <f>IFERROR(FC19*FB20,"")</f>
        <v/>
      </c>
      <c r="FH21" s="162" t="str">
        <f>IFERROR(FG19*FF20,"")</f>
        <v/>
      </c>
      <c r="FL21" s="162" t="str">
        <f>IFERROR(FK19*FJ20,"")</f>
        <v/>
      </c>
      <c r="FP21" s="162" t="str">
        <f>IFERROR(FO19*FN20,"")</f>
        <v/>
      </c>
      <c r="FT21" s="162" t="str">
        <f>IFERROR(FS19*FR20,"")</f>
        <v/>
      </c>
      <c r="FX21" s="162" t="str">
        <f>IFERROR(FW19*FV20,"")</f>
        <v/>
      </c>
      <c r="GB21" s="162" t="str">
        <f>IFERROR(GA19*FZ20,"")</f>
        <v/>
      </c>
      <c r="GF21" s="162" t="str">
        <f>IFERROR(GE19*GD20,"")</f>
        <v/>
      </c>
      <c r="GJ21" s="162" t="str">
        <f>IFERROR(GI19*GH20,"")</f>
        <v/>
      </c>
      <c r="GN21" s="162" t="str">
        <f>IFERROR(GM19*GL20,"")</f>
        <v/>
      </c>
      <c r="GR21" s="162" t="str">
        <f>IFERROR(GQ19*GP20,"")</f>
        <v/>
      </c>
      <c r="GV21" s="162" t="str">
        <f>IFERROR(GU19*GT20,"")</f>
        <v/>
      </c>
    </row>
    <row r="22" spans="4:204" x14ac:dyDescent="0.2">
      <c r="D22" t="s">
        <v>150</v>
      </c>
      <c r="F22" s="232" t="str">
        <f>IF(_xlfn.XLOOKUP(F$14,TableStormwater['#],TableStormwater[Location])&lt;&gt;"",_xlfn.XLOOKUP(F$14,TableStormwater['#],TableStormwater[Location]),"")</f>
        <v/>
      </c>
      <c r="G22" s="149" t="str">
        <f>IFERROR(_xlfn.XLOOKUP(F22,'Rawlinsons regional indices'!$A$2:$A$63,'Rawlinsons regional indices'!$C$2:$C$63),"")</f>
        <v/>
      </c>
      <c r="H22" s="168" t="str">
        <f>IFERROR(H$21*G22,"")</f>
        <v/>
      </c>
      <c r="J22" s="232" t="str">
        <f>IF(_xlfn.XLOOKUP(J$14,TableStormwater['#],TableStormwater[Location])&lt;&gt;"",_xlfn.XLOOKUP(J$14,TableStormwater['#],TableStormwater[Location]),"")</f>
        <v/>
      </c>
      <c r="K22" s="149" t="str">
        <f>IFERROR(_xlfn.XLOOKUP(J22,'Rawlinsons regional indices'!$A$2:$A$63,'Rawlinsons regional indices'!$C$2:$C$63),"")</f>
        <v/>
      </c>
      <c r="L22" s="168" t="str">
        <f>IFERROR(L$21*K22,"")</f>
        <v/>
      </c>
      <c r="N22" s="232" t="str">
        <f>IF(_xlfn.XLOOKUP(N$14,TableStormwater['#],TableStormwater[Location])&lt;&gt;"",_xlfn.XLOOKUP(N$14,TableStormwater['#],TableStormwater[Location]),"")</f>
        <v/>
      </c>
      <c r="O22" s="149" t="str">
        <f>IFERROR(_xlfn.XLOOKUP(N22,'Rawlinsons regional indices'!$A$2:$A$63,'Rawlinsons regional indices'!$C$2:$C$63),"")</f>
        <v/>
      </c>
      <c r="P22" s="168" t="str">
        <f>IFERROR(P$21*O22,"")</f>
        <v/>
      </c>
      <c r="R22" s="232" t="str">
        <f>IF(_xlfn.XLOOKUP(R$14,TableStormwater['#],TableStormwater[Location])&lt;&gt;"",_xlfn.XLOOKUP(R$14,TableStormwater['#],TableStormwater[Location]),"")</f>
        <v/>
      </c>
      <c r="S22" s="149" t="str">
        <f>IFERROR(_xlfn.XLOOKUP(R22,'Rawlinsons regional indices'!$A$2:$A$63,'Rawlinsons regional indices'!$C$2:$C$63),"")</f>
        <v/>
      </c>
      <c r="T22" s="168" t="str">
        <f>IFERROR(T$21*S22,"")</f>
        <v/>
      </c>
      <c r="V22" s="232" t="str">
        <f>IF(_xlfn.XLOOKUP(V$14,TableStormwater['#],TableStormwater[Location])&lt;&gt;"",_xlfn.XLOOKUP(V$14,TableStormwater['#],TableStormwater[Location]),"")</f>
        <v/>
      </c>
      <c r="W22" s="149" t="str">
        <f>IFERROR(_xlfn.XLOOKUP(V22,'Rawlinsons regional indices'!$A$2:$A$63,'Rawlinsons regional indices'!$C$2:$C$63),"")</f>
        <v/>
      </c>
      <c r="X22" s="168" t="str">
        <f>IFERROR(X$21*W22,"")</f>
        <v/>
      </c>
      <c r="Z22" s="232" t="str">
        <f>IF(_xlfn.XLOOKUP(Z$14,TableStormwater['#],TableStormwater[Location])&lt;&gt;"",_xlfn.XLOOKUP(Z$14,TableStormwater['#],TableStormwater[Location]),"")</f>
        <v/>
      </c>
      <c r="AA22" s="149" t="str">
        <f>IFERROR(_xlfn.XLOOKUP(Z22,'Rawlinsons regional indices'!$A$2:$A$63,'Rawlinsons regional indices'!$C$2:$C$63),"")</f>
        <v/>
      </c>
      <c r="AB22" s="168" t="str">
        <f>IFERROR(AB$21*AA22,"")</f>
        <v/>
      </c>
      <c r="AD22" s="232" t="str">
        <f>IF(_xlfn.XLOOKUP(AD$14,TableStormwater['#],TableStormwater[Location])&lt;&gt;"",_xlfn.XLOOKUP(AD$14,TableStormwater['#],TableStormwater[Location]),"")</f>
        <v/>
      </c>
      <c r="AE22" s="149" t="str">
        <f>IFERROR(_xlfn.XLOOKUP(AD22,'Rawlinsons regional indices'!$A$2:$A$63,'Rawlinsons regional indices'!$C$2:$C$63),"")</f>
        <v/>
      </c>
      <c r="AF22" s="168" t="str">
        <f>IFERROR(AF$21*AE22,"")</f>
        <v/>
      </c>
      <c r="AH22" s="232" t="str">
        <f>IF(_xlfn.XLOOKUP(AH$14,TableStormwater['#],TableStormwater[Location])&lt;&gt;"",_xlfn.XLOOKUP(AH$14,TableStormwater['#],TableStormwater[Location]),"")</f>
        <v/>
      </c>
      <c r="AI22" s="149" t="str">
        <f>IFERROR(_xlfn.XLOOKUP(AH22,'Rawlinsons regional indices'!$A$2:$A$63,'Rawlinsons regional indices'!$C$2:$C$63),"")</f>
        <v/>
      </c>
      <c r="AJ22" s="168" t="str">
        <f>IFERROR(AJ$21*AI22,"")</f>
        <v/>
      </c>
      <c r="AL22" s="232" t="str">
        <f>IF(_xlfn.XLOOKUP(AL$14,TableStormwater['#],TableStormwater[Location])&lt;&gt;"",_xlfn.XLOOKUP(AL$14,TableStormwater['#],TableStormwater[Location]),"")</f>
        <v/>
      </c>
      <c r="AM22" s="149" t="str">
        <f>IFERROR(_xlfn.XLOOKUP(AL22,'Rawlinsons regional indices'!$A$2:$A$63,'Rawlinsons regional indices'!$C$2:$C$63),"")</f>
        <v/>
      </c>
      <c r="AN22" s="168" t="str">
        <f>IFERROR(AN$21*AM22,"")</f>
        <v/>
      </c>
      <c r="AP22" s="232" t="str">
        <f>IF(_xlfn.XLOOKUP(AP$14,TableStormwater['#],TableStormwater[Location])&lt;&gt;"",_xlfn.XLOOKUP(AP$14,TableStormwater['#],TableStormwater[Location]),"")</f>
        <v/>
      </c>
      <c r="AQ22" s="149" t="str">
        <f>IFERROR(_xlfn.XLOOKUP(AP22,'Rawlinsons regional indices'!$A$2:$A$63,'Rawlinsons regional indices'!$C$2:$C$63),"")</f>
        <v/>
      </c>
      <c r="AR22" s="168" t="str">
        <f>IFERROR(AR$21*AQ22,"")</f>
        <v/>
      </c>
      <c r="AT22" s="232" t="str">
        <f>IF(_xlfn.XLOOKUP(AT$14,TableStormwater['#],TableStormwater[Location])&lt;&gt;"",_xlfn.XLOOKUP(AT$14,TableStormwater['#],TableStormwater[Location]),"")</f>
        <v/>
      </c>
      <c r="AU22" s="149" t="str">
        <f>IFERROR(_xlfn.XLOOKUP(AT22,'Rawlinsons regional indices'!$A$2:$A$63,'Rawlinsons regional indices'!$C$2:$C$63),"")</f>
        <v/>
      </c>
      <c r="AV22" s="168" t="str">
        <f>IFERROR(AV$21*AU22,"")</f>
        <v/>
      </c>
      <c r="AX22" s="232" t="str">
        <f>IF(_xlfn.XLOOKUP(AX$14,TableStormwater['#],TableStormwater[Location])&lt;&gt;"",_xlfn.XLOOKUP(AX$14,TableStormwater['#],TableStormwater[Location]),"")</f>
        <v/>
      </c>
      <c r="AY22" s="149" t="str">
        <f>IFERROR(_xlfn.XLOOKUP(AX22,'Rawlinsons regional indices'!$A$2:$A$63,'Rawlinsons regional indices'!$C$2:$C$63),"")</f>
        <v/>
      </c>
      <c r="AZ22" s="168" t="str">
        <f>IFERROR(AZ$21*AY22,"")</f>
        <v/>
      </c>
      <c r="BB22" s="232" t="str">
        <f>IF(_xlfn.XLOOKUP(BB$14,TableStormwater['#],TableStormwater[Location])&lt;&gt;"",_xlfn.XLOOKUP(BB$14,TableStormwater['#],TableStormwater[Location]),"")</f>
        <v/>
      </c>
      <c r="BC22" s="149" t="str">
        <f>IFERROR(_xlfn.XLOOKUP(BB22,'Rawlinsons regional indices'!$A$2:$A$63,'Rawlinsons regional indices'!$C$2:$C$63),"")</f>
        <v/>
      </c>
      <c r="BD22" s="168" t="str">
        <f>IFERROR(BD$21*BC22,"")</f>
        <v/>
      </c>
      <c r="BF22" s="232" t="str">
        <f>IF(_xlfn.XLOOKUP(BF$14,TableStormwater['#],TableStormwater[Location])&lt;&gt;"",_xlfn.XLOOKUP(BF$14,TableStormwater['#],TableStormwater[Location]),"")</f>
        <v/>
      </c>
      <c r="BG22" s="149" t="str">
        <f>IFERROR(_xlfn.XLOOKUP(BF22,'Rawlinsons regional indices'!$A$2:$A$63,'Rawlinsons regional indices'!$C$2:$C$63),"")</f>
        <v/>
      </c>
      <c r="BH22" s="168" t="str">
        <f>IFERROR(BH$21*BG22,"")</f>
        <v/>
      </c>
      <c r="BJ22" s="232" t="str">
        <f>IF(_xlfn.XLOOKUP(BJ$14,TableStormwater['#],TableStormwater[Location])&lt;&gt;"",_xlfn.XLOOKUP(BJ$14,TableStormwater['#],TableStormwater[Location]),"")</f>
        <v/>
      </c>
      <c r="BK22" s="149" t="str">
        <f>IFERROR(_xlfn.XLOOKUP(BJ22,'Rawlinsons regional indices'!$A$2:$A$63,'Rawlinsons regional indices'!$C$2:$C$63),"")</f>
        <v/>
      </c>
      <c r="BL22" s="168" t="str">
        <f>IFERROR(BL$21*BK22,"")</f>
        <v/>
      </c>
      <c r="BN22" s="232" t="str">
        <f>IF(_xlfn.XLOOKUP(BN$14,TableStormwater['#],TableStormwater[Location])&lt;&gt;"",_xlfn.XLOOKUP(BN$14,TableStormwater['#],TableStormwater[Location]),"")</f>
        <v/>
      </c>
      <c r="BO22" s="149" t="str">
        <f>IFERROR(_xlfn.XLOOKUP(BN22,'Rawlinsons regional indices'!$A$2:$A$63,'Rawlinsons regional indices'!$C$2:$C$63),"")</f>
        <v/>
      </c>
      <c r="BP22" s="168" t="str">
        <f>IFERROR(BP$21*BO22,"")</f>
        <v/>
      </c>
      <c r="BR22" s="232" t="str">
        <f>IF(_xlfn.XLOOKUP(BR$14,TableStormwater['#],TableStormwater[Location])&lt;&gt;"",_xlfn.XLOOKUP(BR$14,TableStormwater['#],TableStormwater[Location]),"")</f>
        <v/>
      </c>
      <c r="BS22" s="149" t="str">
        <f>IFERROR(_xlfn.XLOOKUP(BR22,'Rawlinsons regional indices'!$A$2:$A$63,'Rawlinsons regional indices'!$C$2:$C$63),"")</f>
        <v/>
      </c>
      <c r="BT22" s="168" t="str">
        <f>IFERROR(BT$21*BS22,"")</f>
        <v/>
      </c>
      <c r="BV22" s="232" t="str">
        <f>IF(_xlfn.XLOOKUP(BV$14,TableStormwater['#],TableStormwater[Location])&lt;&gt;"",_xlfn.XLOOKUP(BV$14,TableStormwater['#],TableStormwater[Location]),"")</f>
        <v/>
      </c>
      <c r="BW22" s="149" t="str">
        <f>IFERROR(_xlfn.XLOOKUP(BV22,'Rawlinsons regional indices'!$A$2:$A$63,'Rawlinsons regional indices'!$C$2:$C$63),"")</f>
        <v/>
      </c>
      <c r="BX22" s="168" t="str">
        <f>IFERROR(BX$21*BW22,"")</f>
        <v/>
      </c>
      <c r="BZ22" s="232" t="str">
        <f>IF(_xlfn.XLOOKUP(BZ$14,TableStormwater['#],TableStormwater[Location])&lt;&gt;"",_xlfn.XLOOKUP(BZ$14,TableStormwater['#],TableStormwater[Location]),"")</f>
        <v/>
      </c>
      <c r="CA22" s="149" t="str">
        <f>IFERROR(_xlfn.XLOOKUP(BZ22,'Rawlinsons regional indices'!$A$2:$A$63,'Rawlinsons regional indices'!$C$2:$C$63),"")</f>
        <v/>
      </c>
      <c r="CB22" s="168" t="str">
        <f>IFERROR(CB$21*CA22,"")</f>
        <v/>
      </c>
      <c r="CD22" s="232" t="str">
        <f>IF(_xlfn.XLOOKUP(CD$14,TableStormwater['#],TableStormwater[Location])&lt;&gt;"",_xlfn.XLOOKUP(CD$14,TableStormwater['#],TableStormwater[Location]),"")</f>
        <v/>
      </c>
      <c r="CE22" s="149" t="str">
        <f>IFERROR(_xlfn.XLOOKUP(CD22,'Rawlinsons regional indices'!$A$2:$A$63,'Rawlinsons regional indices'!$C$2:$C$63),"")</f>
        <v/>
      </c>
      <c r="CF22" s="168" t="str">
        <f>IFERROR(CF$21*CE22,"")</f>
        <v/>
      </c>
      <c r="CH22" s="232" t="str">
        <f>IF(_xlfn.XLOOKUP(CH$14,TableStormwater['#],TableStormwater[Location])&lt;&gt;"",_xlfn.XLOOKUP(CH$14,TableStormwater['#],TableStormwater[Location]),"")</f>
        <v/>
      </c>
      <c r="CI22" s="149" t="str">
        <f>IFERROR(_xlfn.XLOOKUP(CH22,'Rawlinsons regional indices'!$A$2:$A$63,'Rawlinsons regional indices'!$C$2:$C$63),"")</f>
        <v/>
      </c>
      <c r="CJ22" s="168" t="str">
        <f>IFERROR(CJ$21*CI22,"")</f>
        <v/>
      </c>
      <c r="CL22" s="232" t="str">
        <f>IF(_xlfn.XLOOKUP(CL$14,TableStormwater['#],TableStormwater[Location])&lt;&gt;"",_xlfn.XLOOKUP(CL$14,TableStormwater['#],TableStormwater[Location]),"")</f>
        <v/>
      </c>
      <c r="CM22" s="149" t="str">
        <f>IFERROR(_xlfn.XLOOKUP(CL22,'Rawlinsons regional indices'!$A$2:$A$63,'Rawlinsons regional indices'!$C$2:$C$63),"")</f>
        <v/>
      </c>
      <c r="CN22" s="168" t="str">
        <f>IFERROR(CN$21*CM22,"")</f>
        <v/>
      </c>
      <c r="CP22" s="232" t="str">
        <f>IF(_xlfn.XLOOKUP(CP$14,TableStormwater['#],TableStormwater[Location])&lt;&gt;"",_xlfn.XLOOKUP(CP$14,TableStormwater['#],TableStormwater[Location]),"")</f>
        <v/>
      </c>
      <c r="CQ22" s="149" t="str">
        <f>IFERROR(_xlfn.XLOOKUP(CP22,'Rawlinsons regional indices'!$A$2:$A$63,'Rawlinsons regional indices'!$C$2:$C$63),"")</f>
        <v/>
      </c>
      <c r="CR22" s="168" t="str">
        <f>IFERROR(CR$21*CQ22,"")</f>
        <v/>
      </c>
      <c r="CT22" s="232" t="str">
        <f>IF(_xlfn.XLOOKUP(CT$14,TableStormwater['#],TableStormwater[Location])&lt;&gt;"",_xlfn.XLOOKUP(CT$14,TableStormwater['#],TableStormwater[Location]),"")</f>
        <v/>
      </c>
      <c r="CU22" s="149" t="str">
        <f>IFERROR(_xlfn.XLOOKUP(CT22,'Rawlinsons regional indices'!$A$2:$A$63,'Rawlinsons regional indices'!$C$2:$C$63),"")</f>
        <v/>
      </c>
      <c r="CV22" s="168" t="str">
        <f>IFERROR(CV$21*CU22,"")</f>
        <v/>
      </c>
      <c r="CX22" s="232" t="str">
        <f>IF(_xlfn.XLOOKUP(CX$14,TableStormwater['#],TableStormwater[Location])&lt;&gt;"",_xlfn.XLOOKUP(CX$14,TableStormwater['#],TableStormwater[Location]),"")</f>
        <v/>
      </c>
      <c r="CY22" s="149" t="str">
        <f>IFERROR(_xlfn.XLOOKUP(CX22,'Rawlinsons regional indices'!$A$2:$A$63,'Rawlinsons regional indices'!$C$2:$C$63),"")</f>
        <v/>
      </c>
      <c r="CZ22" s="168" t="str">
        <f>IFERROR(CZ$21*CY22,"")</f>
        <v/>
      </c>
      <c r="DB22" s="232" t="str">
        <f>IF(_xlfn.XLOOKUP(DB$14,TableStormwater['#],TableStormwater[Location])&lt;&gt;"",_xlfn.XLOOKUP(DB$14,TableStormwater['#],TableStormwater[Location]),"")</f>
        <v/>
      </c>
      <c r="DC22" s="149" t="str">
        <f>IFERROR(_xlfn.XLOOKUP(DB22,'Rawlinsons regional indices'!$A$2:$A$63,'Rawlinsons regional indices'!$C$2:$C$63),"")</f>
        <v/>
      </c>
      <c r="DD22" s="168" t="str">
        <f>IFERROR(DD$21*DC22,"")</f>
        <v/>
      </c>
      <c r="DF22" s="232" t="str">
        <f>IF(_xlfn.XLOOKUP(DF$14,TableStormwater['#],TableStormwater[Location])&lt;&gt;"",_xlfn.XLOOKUP(DF$14,TableStormwater['#],TableStormwater[Location]),"")</f>
        <v/>
      </c>
      <c r="DG22" s="149" t="str">
        <f>IFERROR(_xlfn.XLOOKUP(DF22,'Rawlinsons regional indices'!$A$2:$A$63,'Rawlinsons regional indices'!$C$2:$C$63),"")</f>
        <v/>
      </c>
      <c r="DH22" s="168" t="str">
        <f>IFERROR(DH$21*DG22,"")</f>
        <v/>
      </c>
      <c r="DJ22" s="232" t="str">
        <f>IF(_xlfn.XLOOKUP(DJ$14,TableStormwater['#],TableStormwater[Location])&lt;&gt;"",_xlfn.XLOOKUP(DJ$14,TableStormwater['#],TableStormwater[Location]),"")</f>
        <v/>
      </c>
      <c r="DK22" s="149" t="str">
        <f>IFERROR(_xlfn.XLOOKUP(DJ22,'Rawlinsons regional indices'!$A$2:$A$63,'Rawlinsons regional indices'!$C$2:$C$63),"")</f>
        <v/>
      </c>
      <c r="DL22" s="168" t="str">
        <f>IFERROR(DL$21*DK22,"")</f>
        <v/>
      </c>
      <c r="DN22" s="232" t="str">
        <f>IF(_xlfn.XLOOKUP(DN$14,TableStormwater['#],TableStormwater[Location])&lt;&gt;"",_xlfn.XLOOKUP(DN$14,TableStormwater['#],TableStormwater[Location]),"")</f>
        <v/>
      </c>
      <c r="DO22" s="149" t="str">
        <f>IFERROR(_xlfn.XLOOKUP(DN22,'Rawlinsons regional indices'!$A$2:$A$63,'Rawlinsons regional indices'!$C$2:$C$63),"")</f>
        <v/>
      </c>
      <c r="DP22" s="168" t="str">
        <f>IFERROR(DP$21*DO22,"")</f>
        <v/>
      </c>
      <c r="DR22" s="232" t="str">
        <f>IF(_xlfn.XLOOKUP(DR$14,TableStormwater['#],TableStormwater[Location])&lt;&gt;"",_xlfn.XLOOKUP(DR$14,TableStormwater['#],TableStormwater[Location]),"")</f>
        <v/>
      </c>
      <c r="DS22" s="149" t="str">
        <f>IFERROR(_xlfn.XLOOKUP(DR22,'Rawlinsons regional indices'!$A$2:$A$63,'Rawlinsons regional indices'!$C$2:$C$63),"")</f>
        <v/>
      </c>
      <c r="DT22" s="168" t="str">
        <f>IFERROR(DT$21*DS22,"")</f>
        <v/>
      </c>
      <c r="DV22" s="232" t="str">
        <f>IF(_xlfn.XLOOKUP(DV$14,TableStormwater['#],TableStormwater[Location])&lt;&gt;"",_xlfn.XLOOKUP(DV$14,TableStormwater['#],TableStormwater[Location]),"")</f>
        <v/>
      </c>
      <c r="DW22" s="149" t="str">
        <f>IFERROR(_xlfn.XLOOKUP(DV22,'Rawlinsons regional indices'!$A$2:$A$63,'Rawlinsons regional indices'!$C$2:$C$63),"")</f>
        <v/>
      </c>
      <c r="DX22" s="168" t="str">
        <f>IFERROR(DX$21*DW22,"")</f>
        <v/>
      </c>
      <c r="DZ22" s="232" t="str">
        <f>IF(_xlfn.XLOOKUP(DZ$14,TableStormwater['#],TableStormwater[Location])&lt;&gt;"",_xlfn.XLOOKUP(DZ$14,TableStormwater['#],TableStormwater[Location]),"")</f>
        <v/>
      </c>
      <c r="EA22" s="149" t="str">
        <f>IFERROR(_xlfn.XLOOKUP(DZ22,'Rawlinsons regional indices'!$A$2:$A$63,'Rawlinsons regional indices'!$C$2:$C$63),"")</f>
        <v/>
      </c>
      <c r="EB22" s="168" t="str">
        <f>IFERROR(EB$21*EA22,"")</f>
        <v/>
      </c>
      <c r="ED22" s="232" t="str">
        <f>IF(_xlfn.XLOOKUP(ED$14,TableStormwater['#],TableStormwater[Location])&lt;&gt;"",_xlfn.XLOOKUP(ED$14,TableStormwater['#],TableStormwater[Location]),"")</f>
        <v/>
      </c>
      <c r="EE22" s="149" t="str">
        <f>IFERROR(_xlfn.XLOOKUP(ED22,'Rawlinsons regional indices'!$A$2:$A$63,'Rawlinsons regional indices'!$C$2:$C$63),"")</f>
        <v/>
      </c>
      <c r="EF22" s="168" t="str">
        <f>IFERROR(EF$21*EE22,"")</f>
        <v/>
      </c>
      <c r="EH22" s="232" t="str">
        <f>IF(_xlfn.XLOOKUP(EH$14,TableStormwater['#],TableStormwater[Location])&lt;&gt;"",_xlfn.XLOOKUP(EH$14,TableStormwater['#],TableStormwater[Location]),"")</f>
        <v/>
      </c>
      <c r="EI22" s="149" t="str">
        <f>IFERROR(_xlfn.XLOOKUP(EH22,'Rawlinsons regional indices'!$A$2:$A$63,'Rawlinsons regional indices'!$C$2:$C$63),"")</f>
        <v/>
      </c>
      <c r="EJ22" s="168" t="str">
        <f>IFERROR(EJ$21*EI22,"")</f>
        <v/>
      </c>
      <c r="EL22" s="232" t="str">
        <f>IF(_xlfn.XLOOKUP(EL$14,TableStormwater['#],TableStormwater[Location])&lt;&gt;"",_xlfn.XLOOKUP(EL$14,TableStormwater['#],TableStormwater[Location]),"")</f>
        <v/>
      </c>
      <c r="EM22" s="149" t="str">
        <f>IFERROR(_xlfn.XLOOKUP(EL22,'Rawlinsons regional indices'!$A$2:$A$63,'Rawlinsons regional indices'!$C$2:$C$63),"")</f>
        <v/>
      </c>
      <c r="EN22" s="168" t="str">
        <f>IFERROR(EN$21*EM22,"")</f>
        <v/>
      </c>
      <c r="EP22" s="232" t="str">
        <f>IF(_xlfn.XLOOKUP(EP$14,TableStormwater['#],TableStormwater[Location])&lt;&gt;"",_xlfn.XLOOKUP(EP$14,TableStormwater['#],TableStormwater[Location]),"")</f>
        <v/>
      </c>
      <c r="EQ22" s="149" t="str">
        <f>IFERROR(_xlfn.XLOOKUP(EP22,'Rawlinsons regional indices'!$A$2:$A$63,'Rawlinsons regional indices'!$C$2:$C$63),"")</f>
        <v/>
      </c>
      <c r="ER22" s="168" t="str">
        <f>IFERROR(ER$21*EQ22,"")</f>
        <v/>
      </c>
      <c r="ET22" s="232" t="str">
        <f>IF(_xlfn.XLOOKUP(ET$14,TableStormwater['#],TableStormwater[Location])&lt;&gt;"",_xlfn.XLOOKUP(ET$14,TableStormwater['#],TableStormwater[Location]),"")</f>
        <v/>
      </c>
      <c r="EU22" s="149" t="str">
        <f>IFERROR(_xlfn.XLOOKUP(ET22,'Rawlinsons regional indices'!$A$2:$A$63,'Rawlinsons regional indices'!$C$2:$C$63),"")</f>
        <v/>
      </c>
      <c r="EV22" s="168" t="str">
        <f>IFERROR(EV$21*EU22,"")</f>
        <v/>
      </c>
      <c r="EX22" s="232" t="str">
        <f>IF(_xlfn.XLOOKUP(EX$14,TableStormwater['#],TableStormwater[Location])&lt;&gt;"",_xlfn.XLOOKUP(EX$14,TableStormwater['#],TableStormwater[Location]),"")</f>
        <v/>
      </c>
      <c r="EY22" s="149" t="str">
        <f>IFERROR(_xlfn.XLOOKUP(EX22,'Rawlinsons regional indices'!$A$2:$A$63,'Rawlinsons regional indices'!$C$2:$C$63),"")</f>
        <v/>
      </c>
      <c r="EZ22" s="168" t="str">
        <f>IFERROR(EZ$21*EY22,"")</f>
        <v/>
      </c>
      <c r="FB22" s="232" t="str">
        <f>IF(_xlfn.XLOOKUP(FB$14,TableStormwater['#],TableStormwater[Location])&lt;&gt;"",_xlfn.XLOOKUP(FB$14,TableStormwater['#],TableStormwater[Location]),"")</f>
        <v/>
      </c>
      <c r="FC22" s="149" t="str">
        <f>IFERROR(_xlfn.XLOOKUP(FB22,'Rawlinsons regional indices'!$A$2:$A$63,'Rawlinsons regional indices'!$C$2:$C$63),"")</f>
        <v/>
      </c>
      <c r="FD22" s="168" t="str">
        <f>IFERROR(FD$21*FC22,"")</f>
        <v/>
      </c>
      <c r="FF22" s="232" t="str">
        <f>IF(_xlfn.XLOOKUP(FF$14,TableStormwater['#],TableStormwater[Location])&lt;&gt;"",_xlfn.XLOOKUP(FF$14,TableStormwater['#],TableStormwater[Location]),"")</f>
        <v/>
      </c>
      <c r="FG22" s="149" t="str">
        <f>IFERROR(_xlfn.XLOOKUP(FF22,'Rawlinsons regional indices'!$A$2:$A$63,'Rawlinsons regional indices'!$C$2:$C$63),"")</f>
        <v/>
      </c>
      <c r="FH22" s="168" t="str">
        <f>IFERROR(FH$21*FG22,"")</f>
        <v/>
      </c>
      <c r="FJ22" s="232" t="str">
        <f>IF(_xlfn.XLOOKUP(FJ$14,TableStormwater['#],TableStormwater[Location])&lt;&gt;"",_xlfn.XLOOKUP(FJ$14,TableStormwater['#],TableStormwater[Location]),"")</f>
        <v/>
      </c>
      <c r="FK22" s="149" t="str">
        <f>IFERROR(_xlfn.XLOOKUP(FJ22,'Rawlinsons regional indices'!$A$2:$A$63,'Rawlinsons regional indices'!$C$2:$C$63),"")</f>
        <v/>
      </c>
      <c r="FL22" s="168" t="str">
        <f>IFERROR(FL$21*FK22,"")</f>
        <v/>
      </c>
      <c r="FN22" s="232" t="str">
        <f>IF(_xlfn.XLOOKUP(FN$14,TableStormwater['#],TableStormwater[Location])&lt;&gt;"",_xlfn.XLOOKUP(FN$14,TableStormwater['#],TableStormwater[Location]),"")</f>
        <v/>
      </c>
      <c r="FO22" s="149" t="str">
        <f>IFERROR(_xlfn.XLOOKUP(FN22,'Rawlinsons regional indices'!$A$2:$A$63,'Rawlinsons regional indices'!$C$2:$C$63),"")</f>
        <v/>
      </c>
      <c r="FP22" s="168" t="str">
        <f>IFERROR(FP$21*FO22,"")</f>
        <v/>
      </c>
      <c r="FR22" s="232" t="str">
        <f>IF(_xlfn.XLOOKUP(FR$14,TableStormwater['#],TableStormwater[Location])&lt;&gt;"",_xlfn.XLOOKUP(FR$14,TableStormwater['#],TableStormwater[Location]),"")</f>
        <v/>
      </c>
      <c r="FS22" s="149" t="str">
        <f>IFERROR(_xlfn.XLOOKUP(FR22,'Rawlinsons regional indices'!$A$2:$A$63,'Rawlinsons regional indices'!$C$2:$C$63),"")</f>
        <v/>
      </c>
      <c r="FT22" s="168" t="str">
        <f>IFERROR(FT$21*FS22,"")</f>
        <v/>
      </c>
      <c r="FV22" s="232" t="str">
        <f>IF(_xlfn.XLOOKUP(FV$14,TableStormwater['#],TableStormwater[Location])&lt;&gt;"",_xlfn.XLOOKUP(FV$14,TableStormwater['#],TableStormwater[Location]),"")</f>
        <v/>
      </c>
      <c r="FW22" s="149" t="str">
        <f>IFERROR(_xlfn.XLOOKUP(FV22,'Rawlinsons regional indices'!$A$2:$A$63,'Rawlinsons regional indices'!$C$2:$C$63),"")</f>
        <v/>
      </c>
      <c r="FX22" s="168" t="str">
        <f>IFERROR(FX$21*FW22,"")</f>
        <v/>
      </c>
      <c r="FZ22" s="232" t="str">
        <f>IF(_xlfn.XLOOKUP(FZ$14,TableStormwater['#],TableStormwater[Location])&lt;&gt;"",_xlfn.XLOOKUP(FZ$14,TableStormwater['#],TableStormwater[Location]),"")</f>
        <v/>
      </c>
      <c r="GA22" s="149" t="str">
        <f>IFERROR(_xlfn.XLOOKUP(FZ22,'Rawlinsons regional indices'!$A$2:$A$63,'Rawlinsons regional indices'!$C$2:$C$63),"")</f>
        <v/>
      </c>
      <c r="GB22" s="168" t="str">
        <f>IFERROR(GB$21*GA22,"")</f>
        <v/>
      </c>
      <c r="GD22" s="232" t="str">
        <f>IF(_xlfn.XLOOKUP(GD$14,TableStormwater['#],TableStormwater[Location])&lt;&gt;"",_xlfn.XLOOKUP(GD$14,TableStormwater['#],TableStormwater[Location]),"")</f>
        <v/>
      </c>
      <c r="GE22" s="149" t="str">
        <f>IFERROR(_xlfn.XLOOKUP(GD22,'Rawlinsons regional indices'!$A$2:$A$63,'Rawlinsons regional indices'!$C$2:$C$63),"")</f>
        <v/>
      </c>
      <c r="GF22" s="168" t="str">
        <f>IFERROR(GF$21*GE22,"")</f>
        <v/>
      </c>
      <c r="GH22" s="232" t="str">
        <f>IF(_xlfn.XLOOKUP(GH$14,TableStormwater['#],TableStormwater[Location])&lt;&gt;"",_xlfn.XLOOKUP(GH$14,TableStormwater['#],TableStormwater[Location]),"")</f>
        <v/>
      </c>
      <c r="GI22" s="149" t="str">
        <f>IFERROR(_xlfn.XLOOKUP(GH22,'Rawlinsons regional indices'!$A$2:$A$63,'Rawlinsons regional indices'!$C$2:$C$63),"")</f>
        <v/>
      </c>
      <c r="GJ22" s="168" t="str">
        <f>IFERROR(GJ$21*GI22,"")</f>
        <v/>
      </c>
      <c r="GL22" s="232" t="str">
        <f>IF(_xlfn.XLOOKUP(GL$14,TableStormwater['#],TableStormwater[Location])&lt;&gt;"",_xlfn.XLOOKUP(GL$14,TableStormwater['#],TableStormwater[Location]),"")</f>
        <v/>
      </c>
      <c r="GM22" s="149" t="str">
        <f>IFERROR(_xlfn.XLOOKUP(GL22,'Rawlinsons regional indices'!$A$2:$A$63,'Rawlinsons regional indices'!$C$2:$C$63),"")</f>
        <v/>
      </c>
      <c r="GN22" s="168" t="str">
        <f>IFERROR(GN$21*GM22,"")</f>
        <v/>
      </c>
      <c r="GP22" s="232" t="str">
        <f>IF(_xlfn.XLOOKUP(GP$14,TableStormwater['#],TableStormwater[Location])&lt;&gt;"",_xlfn.XLOOKUP(GP$14,TableStormwater['#],TableStormwater[Location]),"")</f>
        <v/>
      </c>
      <c r="GQ22" s="149" t="str">
        <f>IFERROR(_xlfn.XLOOKUP(GP22,'Rawlinsons regional indices'!$A$2:$A$63,'Rawlinsons regional indices'!$C$2:$C$63),"")</f>
        <v/>
      </c>
      <c r="GR22" s="168" t="str">
        <f>IFERROR(GR$21*GQ22,"")</f>
        <v/>
      </c>
      <c r="GT22" s="232" t="str">
        <f>IF(_xlfn.XLOOKUP(GT$14,TableStormwater['#],TableStormwater[Location])&lt;&gt;"",_xlfn.XLOOKUP(GT$14,TableStormwater['#],TableStormwater[Location]),"")</f>
        <v/>
      </c>
      <c r="GU22" s="149" t="str">
        <f>IFERROR(_xlfn.XLOOKUP(GT22,'Rawlinsons regional indices'!$A$2:$A$63,'Rawlinsons regional indices'!$C$2:$C$63),"")</f>
        <v/>
      </c>
      <c r="GV22" s="168" t="str">
        <f>IFERROR(GV$21*GU22,"")</f>
        <v/>
      </c>
    </row>
    <row r="23" spans="4:204" x14ac:dyDescent="0.2">
      <c r="D23" t="s">
        <v>151</v>
      </c>
      <c r="F23" s="233" t="str">
        <f>IF(_xlfn.XLOOKUP(F$14,TableStormwater['#],TableStormwater[Proximity to raw materials (in kilometres)])&lt;&gt;"",_xlfn.XLOOKUP(F$14,TableStormwater['#],TableStormwater[Proximity to raw materials (in kilometres)]),"")</f>
        <v/>
      </c>
      <c r="G23" s="149" t="str" cm="1">
        <f t="array" ref="G23">IF(F23&lt;&gt;"",_xlfn.IFS(F23&lt;'Variable index'!$J$17,'Variable index'!$K$14,AND(F23&gt;='Variable index'!$J$17,F23&lt;'Variable index'!$J$18),'Variable index'!$L$14,F23&gt;='Variable index'!$J$18,'Variable index'!$M$14),"")</f>
        <v/>
      </c>
      <c r="H23" s="168" t="str">
        <f>IFERROR(H$21*G23,"")</f>
        <v/>
      </c>
      <c r="J23" s="233" t="str">
        <f>IF(_xlfn.XLOOKUP(J$14,TableStormwater['#],TableStormwater[Proximity to raw materials (in kilometres)])&lt;&gt;"",_xlfn.XLOOKUP(J$14,TableStormwater['#],TableStormwater[Proximity to raw materials (in kilometres)]),"")</f>
        <v/>
      </c>
      <c r="K23" s="149" t="str" cm="1">
        <f t="array" ref="K23">IF(J23&lt;&gt;"",_xlfn.IFS(J23&lt;'Variable index'!$J$17,'Variable index'!$K$14,AND(J23&gt;='Variable index'!$J$17,J23&lt;'Variable index'!$J$18),'Variable index'!$L$14,J23&gt;='Variable index'!$J$18,'Variable index'!$M$14),"")</f>
        <v/>
      </c>
      <c r="L23" s="168" t="str">
        <f>IFERROR(L$21*K23,"")</f>
        <v/>
      </c>
      <c r="N23" s="233" t="str">
        <f>IF(_xlfn.XLOOKUP(N$14,TableStormwater['#],TableStormwater[Proximity to raw materials (in kilometres)])&lt;&gt;"",_xlfn.XLOOKUP(N$14,TableStormwater['#],TableStormwater[Proximity to raw materials (in kilometres)]),"")</f>
        <v/>
      </c>
      <c r="O23" s="149" t="str" cm="1">
        <f t="array" ref="O23">IF(N23&lt;&gt;"",_xlfn.IFS(N23&lt;'Variable index'!$J$17,'Variable index'!$K$14,AND(N23&gt;='Variable index'!$J$17,N23&lt;'Variable index'!$J$18),'Variable index'!$L$14,N23&gt;='Variable index'!$J$18,'Variable index'!$M$14),"")</f>
        <v/>
      </c>
      <c r="P23" s="168" t="str">
        <f>IFERROR(P$21*O23,"")</f>
        <v/>
      </c>
      <c r="R23" s="233" t="str">
        <f>IF(_xlfn.XLOOKUP(R$14,TableStormwater['#],TableStormwater[Proximity to raw materials (in kilometres)])&lt;&gt;"",_xlfn.XLOOKUP(R$14,TableStormwater['#],TableStormwater[Proximity to raw materials (in kilometres)]),"")</f>
        <v/>
      </c>
      <c r="S23" s="149" t="str" cm="1">
        <f t="array" ref="S23">IF(R23&lt;&gt;"",_xlfn.IFS(R23&lt;'Variable index'!$J$17,'Variable index'!$K$14,AND(R23&gt;='Variable index'!$J$17,R23&lt;'Variable index'!$J$18),'Variable index'!$L$14,R23&gt;='Variable index'!$J$18,'Variable index'!$M$14),"")</f>
        <v/>
      </c>
      <c r="T23" s="168" t="str">
        <f>IFERROR(T$21*S23,"")</f>
        <v/>
      </c>
      <c r="V23" s="233" t="str">
        <f>IF(_xlfn.XLOOKUP(V$14,TableStormwater['#],TableStormwater[Proximity to raw materials (in kilometres)])&lt;&gt;"",_xlfn.XLOOKUP(V$14,TableStormwater['#],TableStormwater[Proximity to raw materials (in kilometres)]),"")</f>
        <v/>
      </c>
      <c r="W23" s="149" t="str" cm="1">
        <f t="array" ref="W23">IF(V23&lt;&gt;"",_xlfn.IFS(V23&lt;'Variable index'!$J$17,'Variable index'!$K$14,AND(V23&gt;='Variable index'!$J$17,V23&lt;'Variable index'!$J$18),'Variable index'!$L$14,V23&gt;='Variable index'!$J$18,'Variable index'!$M$14),"")</f>
        <v/>
      </c>
      <c r="X23" s="168" t="str">
        <f>IFERROR(X$21*W23,"")</f>
        <v/>
      </c>
      <c r="Z23" s="233" t="str">
        <f>IF(_xlfn.XLOOKUP(Z$14,TableStormwater['#],TableStormwater[Proximity to raw materials (in kilometres)])&lt;&gt;"",_xlfn.XLOOKUP(Z$14,TableStormwater['#],TableStormwater[Proximity to raw materials (in kilometres)]),"")</f>
        <v/>
      </c>
      <c r="AA23" s="149" t="str" cm="1">
        <f t="array" ref="AA23">IF(Z23&lt;&gt;"",_xlfn.IFS(Z23&lt;'Variable index'!$J$17,'Variable index'!$K$14,AND(Z23&gt;='Variable index'!$J$17,Z23&lt;'Variable index'!$J$18),'Variable index'!$L$14,Z23&gt;='Variable index'!$J$18,'Variable index'!$M$14),"")</f>
        <v/>
      </c>
      <c r="AB23" s="168" t="str">
        <f>IFERROR(AB$21*AA23,"")</f>
        <v/>
      </c>
      <c r="AD23" s="233" t="str">
        <f>IF(_xlfn.XLOOKUP(AD$14,TableStormwater['#],TableStormwater[Proximity to raw materials (in kilometres)])&lt;&gt;"",_xlfn.XLOOKUP(AD$14,TableStormwater['#],TableStormwater[Proximity to raw materials (in kilometres)]),"")</f>
        <v/>
      </c>
      <c r="AE23" s="149" t="str" cm="1">
        <f t="array" ref="AE23">IF(AD23&lt;&gt;"",_xlfn.IFS(AD23&lt;'Variable index'!$J$17,'Variable index'!$K$14,AND(AD23&gt;='Variable index'!$J$17,AD23&lt;'Variable index'!$J$18),'Variable index'!$L$14,AD23&gt;='Variable index'!$J$18,'Variable index'!$M$14),"")</f>
        <v/>
      </c>
      <c r="AF23" s="168" t="str">
        <f>IFERROR(AF$21*AE23,"")</f>
        <v/>
      </c>
      <c r="AH23" s="233" t="str">
        <f>IF(_xlfn.XLOOKUP(AH$14,TableStormwater['#],TableStormwater[Proximity to raw materials (in kilometres)])&lt;&gt;"",_xlfn.XLOOKUP(AH$14,TableStormwater['#],TableStormwater[Proximity to raw materials (in kilometres)]),"")</f>
        <v/>
      </c>
      <c r="AI23" s="149" t="str" cm="1">
        <f t="array" ref="AI23">IF(AH23&lt;&gt;"",_xlfn.IFS(AH23&lt;'Variable index'!$J$17,'Variable index'!$K$14,AND(AH23&gt;='Variable index'!$J$17,AH23&lt;'Variable index'!$J$18),'Variable index'!$L$14,AH23&gt;='Variable index'!$J$18,'Variable index'!$M$14),"")</f>
        <v/>
      </c>
      <c r="AJ23" s="168" t="str">
        <f>IFERROR(AJ$21*AI23,"")</f>
        <v/>
      </c>
      <c r="AL23" s="233" t="str">
        <f>IF(_xlfn.XLOOKUP(AL$14,TableStormwater['#],TableStormwater[Proximity to raw materials (in kilometres)])&lt;&gt;"",_xlfn.XLOOKUP(AL$14,TableStormwater['#],TableStormwater[Proximity to raw materials (in kilometres)]),"")</f>
        <v/>
      </c>
      <c r="AM23" s="149" t="str" cm="1">
        <f t="array" ref="AM23">IF(AL23&lt;&gt;"",_xlfn.IFS(AL23&lt;'Variable index'!$J$17,'Variable index'!$K$14,AND(AL23&gt;='Variable index'!$J$17,AL23&lt;'Variable index'!$J$18),'Variable index'!$L$14,AL23&gt;='Variable index'!$J$18,'Variable index'!$M$14),"")</f>
        <v/>
      </c>
      <c r="AN23" s="168" t="str">
        <f>IFERROR(AN$21*AM23,"")</f>
        <v/>
      </c>
      <c r="AP23" s="233" t="str">
        <f>IF(_xlfn.XLOOKUP(AP$14,TableStormwater['#],TableStormwater[Proximity to raw materials (in kilometres)])&lt;&gt;"",_xlfn.XLOOKUP(AP$14,TableStormwater['#],TableStormwater[Proximity to raw materials (in kilometres)]),"")</f>
        <v/>
      </c>
      <c r="AQ23" s="149" t="str" cm="1">
        <f t="array" ref="AQ23">IF(AP23&lt;&gt;"",_xlfn.IFS(AP23&lt;'Variable index'!$J$17,'Variable index'!$K$14,AND(AP23&gt;='Variable index'!$J$17,AP23&lt;'Variable index'!$J$18),'Variable index'!$L$14,AP23&gt;='Variable index'!$J$18,'Variable index'!$M$14),"")</f>
        <v/>
      </c>
      <c r="AR23" s="168" t="str">
        <f>IFERROR(AR$21*AQ23,"")</f>
        <v/>
      </c>
      <c r="AT23" s="233" t="str">
        <f>IF(_xlfn.XLOOKUP(AT$14,TableStormwater['#],TableStormwater[Proximity to raw materials (in kilometres)])&lt;&gt;"",_xlfn.XLOOKUP(AT$14,TableStormwater['#],TableStormwater[Proximity to raw materials (in kilometres)]),"")</f>
        <v/>
      </c>
      <c r="AU23" s="149" t="str" cm="1">
        <f t="array" ref="AU23">IF(AT23&lt;&gt;"",_xlfn.IFS(AT23&lt;'Variable index'!$J$17,'Variable index'!$K$14,AND(AT23&gt;='Variable index'!$J$17,AT23&lt;'Variable index'!$J$18),'Variable index'!$L$14,AT23&gt;='Variable index'!$J$18,'Variable index'!$M$14),"")</f>
        <v/>
      </c>
      <c r="AV23" s="168" t="str">
        <f>IFERROR(AV$21*AU23,"")</f>
        <v/>
      </c>
      <c r="AX23" s="233" t="str">
        <f>IF(_xlfn.XLOOKUP(AX$14,TableStormwater['#],TableStormwater[Proximity to raw materials (in kilometres)])&lt;&gt;"",_xlfn.XLOOKUP(AX$14,TableStormwater['#],TableStormwater[Proximity to raw materials (in kilometres)]),"")</f>
        <v/>
      </c>
      <c r="AY23" s="149" t="str" cm="1">
        <f t="array" ref="AY23">IF(AX23&lt;&gt;"",_xlfn.IFS(AX23&lt;'Variable index'!$J$17,'Variable index'!$K$14,AND(AX23&gt;='Variable index'!$J$17,AX23&lt;'Variable index'!$J$18),'Variable index'!$L$14,AX23&gt;='Variable index'!$J$18,'Variable index'!$M$14),"")</f>
        <v/>
      </c>
      <c r="AZ23" s="168" t="str">
        <f>IFERROR(AZ$21*AY23,"")</f>
        <v/>
      </c>
      <c r="BB23" s="233" t="str">
        <f>IF(_xlfn.XLOOKUP(BB$14,TableStormwater['#],TableStormwater[Proximity to raw materials (in kilometres)])&lt;&gt;"",_xlfn.XLOOKUP(BB$14,TableStormwater['#],TableStormwater[Proximity to raw materials (in kilometres)]),"")</f>
        <v/>
      </c>
      <c r="BC23" s="149" t="str" cm="1">
        <f t="array" ref="BC23">IF(BB23&lt;&gt;"",_xlfn.IFS(BB23&lt;'Variable index'!$J$17,'Variable index'!$K$14,AND(BB23&gt;='Variable index'!$J$17,BB23&lt;'Variable index'!$J$18),'Variable index'!$L$14,BB23&gt;='Variable index'!$J$18,'Variable index'!$M$14),"")</f>
        <v/>
      </c>
      <c r="BD23" s="168" t="str">
        <f>IFERROR(BD$21*BC23,"")</f>
        <v/>
      </c>
      <c r="BF23" s="233" t="str">
        <f>IF(_xlfn.XLOOKUP(BF$14,TableStormwater['#],TableStormwater[Proximity to raw materials (in kilometres)])&lt;&gt;"",_xlfn.XLOOKUP(BF$14,TableStormwater['#],TableStormwater[Proximity to raw materials (in kilometres)]),"")</f>
        <v/>
      </c>
      <c r="BG23" s="149" t="str" cm="1">
        <f t="array" ref="BG23">IF(BF23&lt;&gt;"",_xlfn.IFS(BF23&lt;'Variable index'!$J$17,'Variable index'!$K$14,AND(BF23&gt;='Variable index'!$J$17,BF23&lt;'Variable index'!$J$18),'Variable index'!$L$14,BF23&gt;='Variable index'!$J$18,'Variable index'!$M$14),"")</f>
        <v/>
      </c>
      <c r="BH23" s="168" t="str">
        <f>IFERROR(BH$21*BG23,"")</f>
        <v/>
      </c>
      <c r="BJ23" s="233" t="str">
        <f>IF(_xlfn.XLOOKUP(BJ$14,TableStormwater['#],TableStormwater[Proximity to raw materials (in kilometres)])&lt;&gt;"",_xlfn.XLOOKUP(BJ$14,TableStormwater['#],TableStormwater[Proximity to raw materials (in kilometres)]),"")</f>
        <v/>
      </c>
      <c r="BK23" s="149" t="str" cm="1">
        <f t="array" ref="BK23">IF(BJ23&lt;&gt;"",_xlfn.IFS(BJ23&lt;'Variable index'!$J$17,'Variable index'!$K$14,AND(BJ23&gt;='Variable index'!$J$17,BJ23&lt;'Variable index'!$J$18),'Variable index'!$L$14,BJ23&gt;='Variable index'!$J$18,'Variable index'!$M$14),"")</f>
        <v/>
      </c>
      <c r="BL23" s="168" t="str">
        <f>IFERROR(BL$21*BK23,"")</f>
        <v/>
      </c>
      <c r="BN23" s="233" t="str">
        <f>IF(_xlfn.XLOOKUP(BN$14,TableStormwater['#],TableStormwater[Proximity to raw materials (in kilometres)])&lt;&gt;"",_xlfn.XLOOKUP(BN$14,TableStormwater['#],TableStormwater[Proximity to raw materials (in kilometres)]),"")</f>
        <v/>
      </c>
      <c r="BO23" s="149" t="str" cm="1">
        <f t="array" ref="BO23">IF(BN23&lt;&gt;"",_xlfn.IFS(BN23&lt;'Variable index'!$J$17,'Variable index'!$K$14,AND(BN23&gt;='Variable index'!$J$17,BN23&lt;'Variable index'!$J$18),'Variable index'!$L$14,BN23&gt;='Variable index'!$J$18,'Variable index'!$M$14),"")</f>
        <v/>
      </c>
      <c r="BP23" s="168" t="str">
        <f>IFERROR(BP$21*BO23,"")</f>
        <v/>
      </c>
      <c r="BR23" s="233" t="str">
        <f>IF(_xlfn.XLOOKUP(BR$14,TableStormwater['#],TableStormwater[Proximity to raw materials (in kilometres)])&lt;&gt;"",_xlfn.XLOOKUP(BR$14,TableStormwater['#],TableStormwater[Proximity to raw materials (in kilometres)]),"")</f>
        <v/>
      </c>
      <c r="BS23" s="149" t="str" cm="1">
        <f t="array" ref="BS23">IF(BR23&lt;&gt;"",_xlfn.IFS(BR23&lt;'Variable index'!$J$17,'Variable index'!$K$14,AND(BR23&gt;='Variable index'!$J$17,BR23&lt;'Variable index'!$J$18),'Variable index'!$L$14,BR23&gt;='Variable index'!$J$18,'Variable index'!$M$14),"")</f>
        <v/>
      </c>
      <c r="BT23" s="168" t="str">
        <f>IFERROR(BT$21*BS23,"")</f>
        <v/>
      </c>
      <c r="BV23" s="233" t="str">
        <f>IF(_xlfn.XLOOKUP(BV$14,TableStormwater['#],TableStormwater[Proximity to raw materials (in kilometres)])&lt;&gt;"",_xlfn.XLOOKUP(BV$14,TableStormwater['#],TableStormwater[Proximity to raw materials (in kilometres)]),"")</f>
        <v/>
      </c>
      <c r="BW23" s="149" t="str" cm="1">
        <f t="array" ref="BW23">IF(BV23&lt;&gt;"",_xlfn.IFS(BV23&lt;'Variable index'!$J$17,'Variable index'!$K$14,AND(BV23&gt;='Variable index'!$J$17,BV23&lt;'Variable index'!$J$18),'Variable index'!$L$14,BV23&gt;='Variable index'!$J$18,'Variable index'!$M$14),"")</f>
        <v/>
      </c>
      <c r="BX23" s="168" t="str">
        <f>IFERROR(BX$21*BW23,"")</f>
        <v/>
      </c>
      <c r="BZ23" s="233" t="str">
        <f>IF(_xlfn.XLOOKUP(BZ$14,TableStormwater['#],TableStormwater[Proximity to raw materials (in kilometres)])&lt;&gt;"",_xlfn.XLOOKUP(BZ$14,TableStormwater['#],TableStormwater[Proximity to raw materials (in kilometres)]),"")</f>
        <v/>
      </c>
      <c r="CA23" s="149" t="str" cm="1">
        <f t="array" ref="CA23">IF(BZ23&lt;&gt;"",_xlfn.IFS(BZ23&lt;'Variable index'!$J$17,'Variable index'!$K$14,AND(BZ23&gt;='Variable index'!$J$17,BZ23&lt;'Variable index'!$J$18),'Variable index'!$L$14,BZ23&gt;='Variable index'!$J$18,'Variable index'!$M$14),"")</f>
        <v/>
      </c>
      <c r="CB23" s="168" t="str">
        <f>IFERROR(CB$21*CA23,"")</f>
        <v/>
      </c>
      <c r="CD23" s="233" t="str">
        <f>IF(_xlfn.XLOOKUP(CD$14,TableStormwater['#],TableStormwater[Proximity to raw materials (in kilometres)])&lt;&gt;"",_xlfn.XLOOKUP(CD$14,TableStormwater['#],TableStormwater[Proximity to raw materials (in kilometres)]),"")</f>
        <v/>
      </c>
      <c r="CE23" s="149" t="str" cm="1">
        <f t="array" ref="CE23">IF(CD23&lt;&gt;"",_xlfn.IFS(CD23&lt;'Variable index'!$J$17,'Variable index'!$K$14,AND(CD23&gt;='Variable index'!$J$17,CD23&lt;'Variable index'!$J$18),'Variable index'!$L$14,CD23&gt;='Variable index'!$J$18,'Variable index'!$M$14),"")</f>
        <v/>
      </c>
      <c r="CF23" s="168" t="str">
        <f>IFERROR(CF$21*CE23,"")</f>
        <v/>
      </c>
      <c r="CH23" s="233" t="str">
        <f>IF(_xlfn.XLOOKUP(CH$14,TableStormwater['#],TableStormwater[Proximity to raw materials (in kilometres)])&lt;&gt;"",_xlfn.XLOOKUP(CH$14,TableStormwater['#],TableStormwater[Proximity to raw materials (in kilometres)]),"")</f>
        <v/>
      </c>
      <c r="CI23" s="149" t="str" cm="1">
        <f t="array" ref="CI23">IF(CH23&lt;&gt;"",_xlfn.IFS(CH23&lt;'Variable index'!$J$17,'Variable index'!$K$14,AND(CH23&gt;='Variable index'!$J$17,CH23&lt;'Variable index'!$J$18),'Variable index'!$L$14,CH23&gt;='Variable index'!$J$18,'Variable index'!$M$14),"")</f>
        <v/>
      </c>
      <c r="CJ23" s="168" t="str">
        <f>IFERROR(CJ$21*CI23,"")</f>
        <v/>
      </c>
      <c r="CL23" s="233" t="str">
        <f>IF(_xlfn.XLOOKUP(CL$14,TableStormwater['#],TableStormwater[Proximity to raw materials (in kilometres)])&lt;&gt;"",_xlfn.XLOOKUP(CL$14,TableStormwater['#],TableStormwater[Proximity to raw materials (in kilometres)]),"")</f>
        <v/>
      </c>
      <c r="CM23" s="149" t="str" cm="1">
        <f t="array" ref="CM23">IF(CL23&lt;&gt;"",_xlfn.IFS(CL23&lt;'Variable index'!$J$17,'Variable index'!$K$14,AND(CL23&gt;='Variable index'!$J$17,CL23&lt;'Variable index'!$J$18),'Variable index'!$L$14,CL23&gt;='Variable index'!$J$18,'Variable index'!$M$14),"")</f>
        <v/>
      </c>
      <c r="CN23" s="168" t="str">
        <f>IFERROR(CN$21*CM23,"")</f>
        <v/>
      </c>
      <c r="CP23" s="233" t="str">
        <f>IF(_xlfn.XLOOKUP(CP$14,TableStormwater['#],TableStormwater[Proximity to raw materials (in kilometres)])&lt;&gt;"",_xlfn.XLOOKUP(CP$14,TableStormwater['#],TableStormwater[Proximity to raw materials (in kilometres)]),"")</f>
        <v/>
      </c>
      <c r="CQ23" s="149" t="str" cm="1">
        <f t="array" ref="CQ23">IF(CP23&lt;&gt;"",_xlfn.IFS(CP23&lt;'Variable index'!$J$17,'Variable index'!$K$14,AND(CP23&gt;='Variable index'!$J$17,CP23&lt;'Variable index'!$J$18),'Variable index'!$L$14,CP23&gt;='Variable index'!$J$18,'Variable index'!$M$14),"")</f>
        <v/>
      </c>
      <c r="CR23" s="168" t="str">
        <f>IFERROR(CR$21*CQ23,"")</f>
        <v/>
      </c>
      <c r="CT23" s="233" t="str">
        <f>IF(_xlfn.XLOOKUP(CT$14,TableStormwater['#],TableStormwater[Proximity to raw materials (in kilometres)])&lt;&gt;"",_xlfn.XLOOKUP(CT$14,TableStormwater['#],TableStormwater[Proximity to raw materials (in kilometres)]),"")</f>
        <v/>
      </c>
      <c r="CU23" s="149" t="str" cm="1">
        <f t="array" ref="CU23">IF(CT23&lt;&gt;"",_xlfn.IFS(CT23&lt;'Variable index'!$J$17,'Variable index'!$K$14,AND(CT23&gt;='Variable index'!$J$17,CT23&lt;'Variable index'!$J$18),'Variable index'!$L$14,CT23&gt;='Variable index'!$J$18,'Variable index'!$M$14),"")</f>
        <v/>
      </c>
      <c r="CV23" s="168" t="str">
        <f>IFERROR(CV$21*CU23,"")</f>
        <v/>
      </c>
      <c r="CX23" s="233" t="str">
        <f>IF(_xlfn.XLOOKUP(CX$14,TableStormwater['#],TableStormwater[Proximity to raw materials (in kilometres)])&lt;&gt;"",_xlfn.XLOOKUP(CX$14,TableStormwater['#],TableStormwater[Proximity to raw materials (in kilometres)]),"")</f>
        <v/>
      </c>
      <c r="CY23" s="149" t="str" cm="1">
        <f t="array" ref="CY23">IF(CX23&lt;&gt;"",_xlfn.IFS(CX23&lt;'Variable index'!$J$17,'Variable index'!$K$14,AND(CX23&gt;='Variable index'!$J$17,CX23&lt;'Variable index'!$J$18),'Variable index'!$L$14,CX23&gt;='Variable index'!$J$18,'Variable index'!$M$14),"")</f>
        <v/>
      </c>
      <c r="CZ23" s="168" t="str">
        <f>IFERROR(CZ$21*CY23,"")</f>
        <v/>
      </c>
      <c r="DB23" s="233" t="str">
        <f>IF(_xlfn.XLOOKUP(DB$14,TableStormwater['#],TableStormwater[Proximity to raw materials (in kilometres)])&lt;&gt;"",_xlfn.XLOOKUP(DB$14,TableStormwater['#],TableStormwater[Proximity to raw materials (in kilometres)]),"")</f>
        <v/>
      </c>
      <c r="DC23" s="149" t="str" cm="1">
        <f t="array" ref="DC23">IF(DB23&lt;&gt;"",_xlfn.IFS(DB23&lt;'Variable index'!$J$17,'Variable index'!$K$14,AND(DB23&gt;='Variable index'!$J$17,DB23&lt;'Variable index'!$J$18),'Variable index'!$L$14,DB23&gt;='Variable index'!$J$18,'Variable index'!$M$14),"")</f>
        <v/>
      </c>
      <c r="DD23" s="168" t="str">
        <f>IFERROR(DD$21*DC23,"")</f>
        <v/>
      </c>
      <c r="DF23" s="233" t="str">
        <f>IF(_xlfn.XLOOKUP(DF$14,TableStormwater['#],TableStormwater[Proximity to raw materials (in kilometres)])&lt;&gt;"",_xlfn.XLOOKUP(DF$14,TableStormwater['#],TableStormwater[Proximity to raw materials (in kilometres)]),"")</f>
        <v/>
      </c>
      <c r="DG23" s="149" t="str" cm="1">
        <f t="array" ref="DG23">IF(DF23&lt;&gt;"",_xlfn.IFS(DF23&lt;'Variable index'!$J$17,'Variable index'!$K$14,AND(DF23&gt;='Variable index'!$J$17,DF23&lt;'Variable index'!$J$18),'Variable index'!$L$14,DF23&gt;='Variable index'!$J$18,'Variable index'!$M$14),"")</f>
        <v/>
      </c>
      <c r="DH23" s="168" t="str">
        <f>IFERROR(DH$21*DG23,"")</f>
        <v/>
      </c>
      <c r="DJ23" s="233" t="str">
        <f>IF(_xlfn.XLOOKUP(DJ$14,TableStormwater['#],TableStormwater[Proximity to raw materials (in kilometres)])&lt;&gt;"",_xlfn.XLOOKUP(DJ$14,TableStormwater['#],TableStormwater[Proximity to raw materials (in kilometres)]),"")</f>
        <v/>
      </c>
      <c r="DK23" s="149" t="str" cm="1">
        <f t="array" ref="DK23">IF(DJ23&lt;&gt;"",_xlfn.IFS(DJ23&lt;'Variable index'!$J$17,'Variable index'!$K$14,AND(DJ23&gt;='Variable index'!$J$17,DJ23&lt;'Variable index'!$J$18),'Variable index'!$L$14,DJ23&gt;='Variable index'!$J$18,'Variable index'!$M$14),"")</f>
        <v/>
      </c>
      <c r="DL23" s="168" t="str">
        <f>IFERROR(DL$21*DK23,"")</f>
        <v/>
      </c>
      <c r="DN23" s="233" t="str">
        <f>IF(_xlfn.XLOOKUP(DN$14,TableStormwater['#],TableStormwater[Proximity to raw materials (in kilometres)])&lt;&gt;"",_xlfn.XLOOKUP(DN$14,TableStormwater['#],TableStormwater[Proximity to raw materials (in kilometres)]),"")</f>
        <v/>
      </c>
      <c r="DO23" s="149" t="str" cm="1">
        <f t="array" ref="DO23">IF(DN23&lt;&gt;"",_xlfn.IFS(DN23&lt;'Variable index'!$J$17,'Variable index'!$K$14,AND(DN23&gt;='Variable index'!$J$17,DN23&lt;'Variable index'!$J$18),'Variable index'!$L$14,DN23&gt;='Variable index'!$J$18,'Variable index'!$M$14),"")</f>
        <v/>
      </c>
      <c r="DP23" s="168" t="str">
        <f>IFERROR(DP$21*DO23,"")</f>
        <v/>
      </c>
      <c r="DR23" s="233" t="str">
        <f>IF(_xlfn.XLOOKUP(DR$14,TableStormwater['#],TableStormwater[Proximity to raw materials (in kilometres)])&lt;&gt;"",_xlfn.XLOOKUP(DR$14,TableStormwater['#],TableStormwater[Proximity to raw materials (in kilometres)]),"")</f>
        <v/>
      </c>
      <c r="DS23" s="149" t="str" cm="1">
        <f t="array" ref="DS23">IF(DR23&lt;&gt;"",_xlfn.IFS(DR23&lt;'Variable index'!$J$17,'Variable index'!$K$14,AND(DR23&gt;='Variable index'!$J$17,DR23&lt;'Variable index'!$J$18),'Variable index'!$L$14,DR23&gt;='Variable index'!$J$18,'Variable index'!$M$14),"")</f>
        <v/>
      </c>
      <c r="DT23" s="168" t="str">
        <f>IFERROR(DT$21*DS23,"")</f>
        <v/>
      </c>
      <c r="DV23" s="233" t="str">
        <f>IF(_xlfn.XLOOKUP(DV$14,TableStormwater['#],TableStormwater[Proximity to raw materials (in kilometres)])&lt;&gt;"",_xlfn.XLOOKUP(DV$14,TableStormwater['#],TableStormwater[Proximity to raw materials (in kilometres)]),"")</f>
        <v/>
      </c>
      <c r="DW23" s="149" t="str" cm="1">
        <f t="array" ref="DW23">IF(DV23&lt;&gt;"",_xlfn.IFS(DV23&lt;'Variable index'!$J$17,'Variable index'!$K$14,AND(DV23&gt;='Variable index'!$J$17,DV23&lt;'Variable index'!$J$18),'Variable index'!$L$14,DV23&gt;='Variable index'!$J$18,'Variable index'!$M$14),"")</f>
        <v/>
      </c>
      <c r="DX23" s="168" t="str">
        <f>IFERROR(DX$21*DW23,"")</f>
        <v/>
      </c>
      <c r="DZ23" s="233" t="str">
        <f>IF(_xlfn.XLOOKUP(DZ$14,TableStormwater['#],TableStormwater[Proximity to raw materials (in kilometres)])&lt;&gt;"",_xlfn.XLOOKUP(DZ$14,TableStormwater['#],TableStormwater[Proximity to raw materials (in kilometres)]),"")</f>
        <v/>
      </c>
      <c r="EA23" s="149" t="str" cm="1">
        <f t="array" ref="EA23">IF(DZ23&lt;&gt;"",_xlfn.IFS(DZ23&lt;'Variable index'!$J$17,'Variable index'!$K$14,AND(DZ23&gt;='Variable index'!$J$17,DZ23&lt;'Variable index'!$J$18),'Variable index'!$L$14,DZ23&gt;='Variable index'!$J$18,'Variable index'!$M$14),"")</f>
        <v/>
      </c>
      <c r="EB23" s="168" t="str">
        <f>IFERROR(EB$21*EA23,"")</f>
        <v/>
      </c>
      <c r="ED23" s="233" t="str">
        <f>IF(_xlfn.XLOOKUP(ED$14,TableStormwater['#],TableStormwater[Proximity to raw materials (in kilometres)])&lt;&gt;"",_xlfn.XLOOKUP(ED$14,TableStormwater['#],TableStormwater[Proximity to raw materials (in kilometres)]),"")</f>
        <v/>
      </c>
      <c r="EE23" s="149" t="str" cm="1">
        <f t="array" ref="EE23">IF(ED23&lt;&gt;"",_xlfn.IFS(ED23&lt;'Variable index'!$J$17,'Variable index'!$K$14,AND(ED23&gt;='Variable index'!$J$17,ED23&lt;'Variable index'!$J$18),'Variable index'!$L$14,ED23&gt;='Variable index'!$J$18,'Variable index'!$M$14),"")</f>
        <v/>
      </c>
      <c r="EF23" s="168" t="str">
        <f>IFERROR(EF$21*EE23,"")</f>
        <v/>
      </c>
      <c r="EH23" s="233" t="str">
        <f>IF(_xlfn.XLOOKUP(EH$14,TableStormwater['#],TableStormwater[Proximity to raw materials (in kilometres)])&lt;&gt;"",_xlfn.XLOOKUP(EH$14,TableStormwater['#],TableStormwater[Proximity to raw materials (in kilometres)]),"")</f>
        <v/>
      </c>
      <c r="EI23" s="149" t="str" cm="1">
        <f t="array" ref="EI23">IF(EH23&lt;&gt;"",_xlfn.IFS(EH23&lt;'Variable index'!$J$17,'Variable index'!$K$14,AND(EH23&gt;='Variable index'!$J$17,EH23&lt;'Variable index'!$J$18),'Variable index'!$L$14,EH23&gt;='Variable index'!$J$18,'Variable index'!$M$14),"")</f>
        <v/>
      </c>
      <c r="EJ23" s="168" t="str">
        <f>IFERROR(EJ$21*EI23,"")</f>
        <v/>
      </c>
      <c r="EL23" s="233" t="str">
        <f>IF(_xlfn.XLOOKUP(EL$14,TableStormwater['#],TableStormwater[Proximity to raw materials (in kilometres)])&lt;&gt;"",_xlfn.XLOOKUP(EL$14,TableStormwater['#],TableStormwater[Proximity to raw materials (in kilometres)]),"")</f>
        <v/>
      </c>
      <c r="EM23" s="149" t="str" cm="1">
        <f t="array" ref="EM23">IF(EL23&lt;&gt;"",_xlfn.IFS(EL23&lt;'Variable index'!$J$17,'Variable index'!$K$14,AND(EL23&gt;='Variable index'!$J$17,EL23&lt;'Variable index'!$J$18),'Variable index'!$L$14,EL23&gt;='Variable index'!$J$18,'Variable index'!$M$14),"")</f>
        <v/>
      </c>
      <c r="EN23" s="168" t="str">
        <f>IFERROR(EN$21*EM23,"")</f>
        <v/>
      </c>
      <c r="EP23" s="233" t="str">
        <f>IF(_xlfn.XLOOKUP(EP$14,TableStormwater['#],TableStormwater[Proximity to raw materials (in kilometres)])&lt;&gt;"",_xlfn.XLOOKUP(EP$14,TableStormwater['#],TableStormwater[Proximity to raw materials (in kilometres)]),"")</f>
        <v/>
      </c>
      <c r="EQ23" s="149" t="str" cm="1">
        <f t="array" ref="EQ23">IF(EP23&lt;&gt;"",_xlfn.IFS(EP23&lt;'Variable index'!$J$17,'Variable index'!$K$14,AND(EP23&gt;='Variable index'!$J$17,EP23&lt;'Variable index'!$J$18),'Variable index'!$L$14,EP23&gt;='Variable index'!$J$18,'Variable index'!$M$14),"")</f>
        <v/>
      </c>
      <c r="ER23" s="168" t="str">
        <f>IFERROR(ER$21*EQ23,"")</f>
        <v/>
      </c>
      <c r="ET23" s="233" t="str">
        <f>IF(_xlfn.XLOOKUP(ET$14,TableStormwater['#],TableStormwater[Proximity to raw materials (in kilometres)])&lt;&gt;"",_xlfn.XLOOKUP(ET$14,TableStormwater['#],TableStormwater[Proximity to raw materials (in kilometres)]),"")</f>
        <v/>
      </c>
      <c r="EU23" s="149" t="str" cm="1">
        <f t="array" ref="EU23">IF(ET23&lt;&gt;"",_xlfn.IFS(ET23&lt;'Variable index'!$J$17,'Variable index'!$K$14,AND(ET23&gt;='Variable index'!$J$17,ET23&lt;'Variable index'!$J$18),'Variable index'!$L$14,ET23&gt;='Variable index'!$J$18,'Variable index'!$M$14),"")</f>
        <v/>
      </c>
      <c r="EV23" s="168" t="str">
        <f>IFERROR(EV$21*EU23,"")</f>
        <v/>
      </c>
      <c r="EX23" s="233" t="str">
        <f>IF(_xlfn.XLOOKUP(EX$14,TableStormwater['#],TableStormwater[Proximity to raw materials (in kilometres)])&lt;&gt;"",_xlfn.XLOOKUP(EX$14,TableStormwater['#],TableStormwater[Proximity to raw materials (in kilometres)]),"")</f>
        <v/>
      </c>
      <c r="EY23" s="149" t="str" cm="1">
        <f t="array" ref="EY23">IF(EX23&lt;&gt;"",_xlfn.IFS(EX23&lt;'Variable index'!$J$17,'Variable index'!$K$14,AND(EX23&gt;='Variable index'!$J$17,EX23&lt;'Variable index'!$J$18),'Variable index'!$L$14,EX23&gt;='Variable index'!$J$18,'Variable index'!$M$14),"")</f>
        <v/>
      </c>
      <c r="EZ23" s="168" t="str">
        <f>IFERROR(EZ$21*EY23,"")</f>
        <v/>
      </c>
      <c r="FB23" s="233" t="str">
        <f>IF(_xlfn.XLOOKUP(FB$14,TableStormwater['#],TableStormwater[Proximity to raw materials (in kilometres)])&lt;&gt;"",_xlfn.XLOOKUP(FB$14,TableStormwater['#],TableStormwater[Proximity to raw materials (in kilometres)]),"")</f>
        <v/>
      </c>
      <c r="FC23" s="149" t="str" cm="1">
        <f t="array" ref="FC23">IF(FB23&lt;&gt;"",_xlfn.IFS(FB23&lt;'Variable index'!$J$17,'Variable index'!$K$14,AND(FB23&gt;='Variable index'!$J$17,FB23&lt;'Variable index'!$J$18),'Variable index'!$L$14,FB23&gt;='Variable index'!$J$18,'Variable index'!$M$14),"")</f>
        <v/>
      </c>
      <c r="FD23" s="168" t="str">
        <f>IFERROR(FD$21*FC23,"")</f>
        <v/>
      </c>
      <c r="FF23" s="233" t="str">
        <f>IF(_xlfn.XLOOKUP(FF$14,TableStormwater['#],TableStormwater[Proximity to raw materials (in kilometres)])&lt;&gt;"",_xlfn.XLOOKUP(FF$14,TableStormwater['#],TableStormwater[Proximity to raw materials (in kilometres)]),"")</f>
        <v/>
      </c>
      <c r="FG23" s="149" t="str" cm="1">
        <f t="array" ref="FG23">IF(FF23&lt;&gt;"",_xlfn.IFS(FF23&lt;'Variable index'!$J$17,'Variable index'!$K$14,AND(FF23&gt;='Variable index'!$J$17,FF23&lt;'Variable index'!$J$18),'Variable index'!$L$14,FF23&gt;='Variable index'!$J$18,'Variable index'!$M$14),"")</f>
        <v/>
      </c>
      <c r="FH23" s="168" t="str">
        <f>IFERROR(FH$21*FG23,"")</f>
        <v/>
      </c>
      <c r="FJ23" s="233" t="str">
        <f>IF(_xlfn.XLOOKUP(FJ$14,TableStormwater['#],TableStormwater[Proximity to raw materials (in kilometres)])&lt;&gt;"",_xlfn.XLOOKUP(FJ$14,TableStormwater['#],TableStormwater[Proximity to raw materials (in kilometres)]),"")</f>
        <v/>
      </c>
      <c r="FK23" s="149" t="str" cm="1">
        <f t="array" ref="FK23">IF(FJ23&lt;&gt;"",_xlfn.IFS(FJ23&lt;'Variable index'!$J$17,'Variable index'!$K$14,AND(FJ23&gt;='Variable index'!$J$17,FJ23&lt;'Variable index'!$J$18),'Variable index'!$L$14,FJ23&gt;='Variable index'!$J$18,'Variable index'!$M$14),"")</f>
        <v/>
      </c>
      <c r="FL23" s="168" t="str">
        <f>IFERROR(FL$21*FK23,"")</f>
        <v/>
      </c>
      <c r="FN23" s="233" t="str">
        <f>IF(_xlfn.XLOOKUP(FN$14,TableStormwater['#],TableStormwater[Proximity to raw materials (in kilometres)])&lt;&gt;"",_xlfn.XLOOKUP(FN$14,TableStormwater['#],TableStormwater[Proximity to raw materials (in kilometres)]),"")</f>
        <v/>
      </c>
      <c r="FO23" s="149" t="str" cm="1">
        <f t="array" ref="FO23">IF(FN23&lt;&gt;"",_xlfn.IFS(FN23&lt;'Variable index'!$J$17,'Variable index'!$K$14,AND(FN23&gt;='Variable index'!$J$17,FN23&lt;'Variable index'!$J$18),'Variable index'!$L$14,FN23&gt;='Variable index'!$J$18,'Variable index'!$M$14),"")</f>
        <v/>
      </c>
      <c r="FP23" s="168" t="str">
        <f>IFERROR(FP$21*FO23,"")</f>
        <v/>
      </c>
      <c r="FR23" s="233" t="str">
        <f>IF(_xlfn.XLOOKUP(FR$14,TableStormwater['#],TableStormwater[Proximity to raw materials (in kilometres)])&lt;&gt;"",_xlfn.XLOOKUP(FR$14,TableStormwater['#],TableStormwater[Proximity to raw materials (in kilometres)]),"")</f>
        <v/>
      </c>
      <c r="FS23" s="149" t="str" cm="1">
        <f t="array" ref="FS23">IF(FR23&lt;&gt;"",_xlfn.IFS(FR23&lt;'Variable index'!$J$17,'Variable index'!$K$14,AND(FR23&gt;='Variable index'!$J$17,FR23&lt;'Variable index'!$J$18),'Variable index'!$L$14,FR23&gt;='Variable index'!$J$18,'Variable index'!$M$14),"")</f>
        <v/>
      </c>
      <c r="FT23" s="168" t="str">
        <f>IFERROR(FT$21*FS23,"")</f>
        <v/>
      </c>
      <c r="FV23" s="233" t="str">
        <f>IF(_xlfn.XLOOKUP(FV$14,TableStormwater['#],TableStormwater[Proximity to raw materials (in kilometres)])&lt;&gt;"",_xlfn.XLOOKUP(FV$14,TableStormwater['#],TableStormwater[Proximity to raw materials (in kilometres)]),"")</f>
        <v/>
      </c>
      <c r="FW23" s="149" t="str" cm="1">
        <f t="array" ref="FW23">IF(FV23&lt;&gt;"",_xlfn.IFS(FV23&lt;'Variable index'!$J$17,'Variable index'!$K$14,AND(FV23&gt;='Variable index'!$J$17,FV23&lt;'Variable index'!$J$18),'Variable index'!$L$14,FV23&gt;='Variable index'!$J$18,'Variable index'!$M$14),"")</f>
        <v/>
      </c>
      <c r="FX23" s="168" t="str">
        <f>IFERROR(FX$21*FW23,"")</f>
        <v/>
      </c>
      <c r="FZ23" s="233" t="str">
        <f>IF(_xlfn.XLOOKUP(FZ$14,TableStormwater['#],TableStormwater[Proximity to raw materials (in kilometres)])&lt;&gt;"",_xlfn.XLOOKUP(FZ$14,TableStormwater['#],TableStormwater[Proximity to raw materials (in kilometres)]),"")</f>
        <v/>
      </c>
      <c r="GA23" s="149" t="str" cm="1">
        <f t="array" ref="GA23">IF(FZ23&lt;&gt;"",_xlfn.IFS(FZ23&lt;'Variable index'!$J$17,'Variable index'!$K$14,AND(FZ23&gt;='Variable index'!$J$17,FZ23&lt;'Variable index'!$J$18),'Variable index'!$L$14,FZ23&gt;='Variable index'!$J$18,'Variable index'!$M$14),"")</f>
        <v/>
      </c>
      <c r="GB23" s="168" t="str">
        <f>IFERROR(GB$21*GA23,"")</f>
        <v/>
      </c>
      <c r="GD23" s="233" t="str">
        <f>IF(_xlfn.XLOOKUP(GD$14,TableStormwater['#],TableStormwater[Proximity to raw materials (in kilometres)])&lt;&gt;"",_xlfn.XLOOKUP(GD$14,TableStormwater['#],TableStormwater[Proximity to raw materials (in kilometres)]),"")</f>
        <v/>
      </c>
      <c r="GE23" s="149" t="str" cm="1">
        <f t="array" ref="GE23">IF(GD23&lt;&gt;"",_xlfn.IFS(GD23&lt;'Variable index'!$J$17,'Variable index'!$K$14,AND(GD23&gt;='Variable index'!$J$17,GD23&lt;'Variable index'!$J$18),'Variable index'!$L$14,GD23&gt;='Variable index'!$J$18,'Variable index'!$M$14),"")</f>
        <v/>
      </c>
      <c r="GF23" s="168" t="str">
        <f>IFERROR(GF$21*GE23,"")</f>
        <v/>
      </c>
      <c r="GH23" s="233" t="str">
        <f>IF(_xlfn.XLOOKUP(GH$14,TableStormwater['#],TableStormwater[Proximity to raw materials (in kilometres)])&lt;&gt;"",_xlfn.XLOOKUP(GH$14,TableStormwater['#],TableStormwater[Proximity to raw materials (in kilometres)]),"")</f>
        <v/>
      </c>
      <c r="GI23" s="149" t="str" cm="1">
        <f t="array" ref="GI23">IF(GH23&lt;&gt;"",_xlfn.IFS(GH23&lt;'Variable index'!$J$17,'Variable index'!$K$14,AND(GH23&gt;='Variable index'!$J$17,GH23&lt;'Variable index'!$J$18),'Variable index'!$L$14,GH23&gt;='Variable index'!$J$18,'Variable index'!$M$14),"")</f>
        <v/>
      </c>
      <c r="GJ23" s="168" t="str">
        <f>IFERROR(GJ$21*GI23,"")</f>
        <v/>
      </c>
      <c r="GL23" s="233" t="str">
        <f>IF(_xlfn.XLOOKUP(GL$14,TableStormwater['#],TableStormwater[Proximity to raw materials (in kilometres)])&lt;&gt;"",_xlfn.XLOOKUP(GL$14,TableStormwater['#],TableStormwater[Proximity to raw materials (in kilometres)]),"")</f>
        <v/>
      </c>
      <c r="GM23" s="149" t="str" cm="1">
        <f t="array" ref="GM23">IF(GL23&lt;&gt;"",_xlfn.IFS(GL23&lt;'Variable index'!$J$17,'Variable index'!$K$14,AND(GL23&gt;='Variable index'!$J$17,GL23&lt;'Variable index'!$J$18),'Variable index'!$L$14,GL23&gt;='Variable index'!$J$18,'Variable index'!$M$14),"")</f>
        <v/>
      </c>
      <c r="GN23" s="168" t="str">
        <f>IFERROR(GN$21*GM23,"")</f>
        <v/>
      </c>
      <c r="GP23" s="233" t="str">
        <f>IF(_xlfn.XLOOKUP(GP$14,TableStormwater['#],TableStormwater[Proximity to raw materials (in kilometres)])&lt;&gt;"",_xlfn.XLOOKUP(GP$14,TableStormwater['#],TableStormwater[Proximity to raw materials (in kilometres)]),"")</f>
        <v/>
      </c>
      <c r="GQ23" s="149" t="str" cm="1">
        <f t="array" ref="GQ23">IF(GP23&lt;&gt;"",_xlfn.IFS(GP23&lt;'Variable index'!$J$17,'Variable index'!$K$14,AND(GP23&gt;='Variable index'!$J$17,GP23&lt;'Variable index'!$J$18),'Variable index'!$L$14,GP23&gt;='Variable index'!$J$18,'Variable index'!$M$14),"")</f>
        <v/>
      </c>
      <c r="GR23" s="168" t="str">
        <f>IFERROR(GR$21*GQ23,"")</f>
        <v/>
      </c>
      <c r="GT23" s="233" t="str">
        <f>IF(_xlfn.XLOOKUP(GT$14,TableStormwater['#],TableStormwater[Proximity to raw materials (in kilometres)])&lt;&gt;"",_xlfn.XLOOKUP(GT$14,TableStormwater['#],TableStormwater[Proximity to raw materials (in kilometres)]),"")</f>
        <v/>
      </c>
      <c r="GU23" s="149" t="str" cm="1">
        <f t="array" ref="GU23">IF(GT23&lt;&gt;"",_xlfn.IFS(GT23&lt;'Variable index'!$J$17,'Variable index'!$K$14,AND(GT23&gt;='Variable index'!$J$17,GT23&lt;'Variable index'!$J$18),'Variable index'!$L$14,GT23&gt;='Variable index'!$J$18,'Variable index'!$M$14),"")</f>
        <v/>
      </c>
      <c r="GV23" s="168" t="str">
        <f>IFERROR(GV$21*GU23,"")</f>
        <v/>
      </c>
    </row>
    <row r="24" spans="4:204" x14ac:dyDescent="0.2">
      <c r="D24" t="s">
        <v>152</v>
      </c>
      <c r="F24" s="236" t="str">
        <f>IF(_xlfn.XLOOKUP(F$14,TableStormwater['#],TableStormwater[Site constraints (as a percentage %)])&lt;&gt;"",_xlfn.XLOOKUP(F$14,TableStormwater['#],TableStormwater[Site constraints (as a percentage %)]),"")</f>
        <v/>
      </c>
      <c r="G24" s="144" t="str">
        <f>F24</f>
        <v/>
      </c>
      <c r="H24" s="168" t="str">
        <f>IFERROR(H$21*G24,"")</f>
        <v/>
      </c>
      <c r="J24" s="236" t="str">
        <f>IF(_xlfn.XLOOKUP(J$14,TableStormwater['#],TableStormwater[Site constraints (as a percentage %)])&lt;&gt;"",_xlfn.XLOOKUP(J$14,TableStormwater['#],TableStormwater[Site constraints (as a percentage %)]),"")</f>
        <v/>
      </c>
      <c r="K24" s="144" t="str">
        <f>J24</f>
        <v/>
      </c>
      <c r="L24" s="168" t="str">
        <f>IFERROR(L$21*K24,"")</f>
        <v/>
      </c>
      <c r="N24" s="236" t="str">
        <f>IF(_xlfn.XLOOKUP(N$14,TableStormwater['#],TableStormwater[Site constraints (as a percentage %)])&lt;&gt;"",_xlfn.XLOOKUP(N$14,TableStormwater['#],TableStormwater[Site constraints (as a percentage %)]),"")</f>
        <v/>
      </c>
      <c r="O24" s="144" t="str">
        <f>N24</f>
        <v/>
      </c>
      <c r="P24" s="168" t="str">
        <f>IFERROR(P$21*O24,"")</f>
        <v/>
      </c>
      <c r="R24" s="236" t="str">
        <f>IF(_xlfn.XLOOKUP(R$14,TableStormwater['#],TableStormwater[Site constraints (as a percentage %)])&lt;&gt;"",_xlfn.XLOOKUP(R$14,TableStormwater['#],TableStormwater[Site constraints (as a percentage %)]),"")</f>
        <v/>
      </c>
      <c r="S24" s="144" t="str">
        <f>R24</f>
        <v/>
      </c>
      <c r="T24" s="168" t="str">
        <f>IFERROR(T$21*S24,"")</f>
        <v/>
      </c>
      <c r="V24" s="236" t="str">
        <f>IF(_xlfn.XLOOKUP(V$14,TableStormwater['#],TableStormwater[Site constraints (as a percentage %)])&lt;&gt;"",_xlfn.XLOOKUP(V$14,TableStormwater['#],TableStormwater[Site constraints (as a percentage %)]),"")</f>
        <v/>
      </c>
      <c r="W24" s="144" t="str">
        <f>V24</f>
        <v/>
      </c>
      <c r="X24" s="168" t="str">
        <f>IFERROR(X$21*W24,"")</f>
        <v/>
      </c>
      <c r="Z24" s="236" t="str">
        <f>IF(_xlfn.XLOOKUP(Z$14,TableStormwater['#],TableStormwater[Site constraints (as a percentage %)])&lt;&gt;"",_xlfn.XLOOKUP(Z$14,TableStormwater['#],TableStormwater[Site constraints (as a percentage %)]),"")</f>
        <v/>
      </c>
      <c r="AA24" s="144" t="str">
        <f>Z24</f>
        <v/>
      </c>
      <c r="AB24" s="168" t="str">
        <f>IFERROR(AB$21*AA24,"")</f>
        <v/>
      </c>
      <c r="AD24" s="236" t="str">
        <f>IF(_xlfn.XLOOKUP(AD$14,TableStormwater['#],TableStormwater[Site constraints (as a percentage %)])&lt;&gt;"",_xlfn.XLOOKUP(AD$14,TableStormwater['#],TableStormwater[Site constraints (as a percentage %)]),"")</f>
        <v/>
      </c>
      <c r="AE24" s="144" t="str">
        <f>AD24</f>
        <v/>
      </c>
      <c r="AF24" s="168" t="str">
        <f>IFERROR(AF$21*AE24,"")</f>
        <v/>
      </c>
      <c r="AH24" s="236" t="str">
        <f>IF(_xlfn.XLOOKUP(AH$14,TableStormwater['#],TableStormwater[Site constraints (as a percentage %)])&lt;&gt;"",_xlfn.XLOOKUP(AH$14,TableStormwater['#],TableStormwater[Site constraints (as a percentage %)]),"")</f>
        <v/>
      </c>
      <c r="AI24" s="144" t="str">
        <f>AH24</f>
        <v/>
      </c>
      <c r="AJ24" s="168" t="str">
        <f>IFERROR(AJ$21*AI24,"")</f>
        <v/>
      </c>
      <c r="AL24" s="236" t="str">
        <f>IF(_xlfn.XLOOKUP(AL$14,TableStormwater['#],TableStormwater[Site constraints (as a percentage %)])&lt;&gt;"",_xlfn.XLOOKUP(AL$14,TableStormwater['#],TableStormwater[Site constraints (as a percentage %)]),"")</f>
        <v/>
      </c>
      <c r="AM24" s="144" t="str">
        <f>AL24</f>
        <v/>
      </c>
      <c r="AN24" s="168" t="str">
        <f>IFERROR(AN$21*AM24,"")</f>
        <v/>
      </c>
      <c r="AP24" s="236" t="str">
        <f>IF(_xlfn.XLOOKUP(AP$14,TableStormwater['#],TableStormwater[Site constraints (as a percentage %)])&lt;&gt;"",_xlfn.XLOOKUP(AP$14,TableStormwater['#],TableStormwater[Site constraints (as a percentage %)]),"")</f>
        <v/>
      </c>
      <c r="AQ24" s="144" t="str">
        <f>AP24</f>
        <v/>
      </c>
      <c r="AR24" s="168" t="str">
        <f>IFERROR(AR$21*AQ24,"")</f>
        <v/>
      </c>
      <c r="AT24" s="236" t="str">
        <f>IF(_xlfn.XLOOKUP(AT$14,TableStormwater['#],TableStormwater[Site constraints (as a percentage %)])&lt;&gt;"",_xlfn.XLOOKUP(AT$14,TableStormwater['#],TableStormwater[Site constraints (as a percentage %)]),"")</f>
        <v/>
      </c>
      <c r="AU24" s="144" t="str">
        <f>AT24</f>
        <v/>
      </c>
      <c r="AV24" s="168" t="str">
        <f>IFERROR(AV$21*AU24,"")</f>
        <v/>
      </c>
      <c r="AX24" s="236" t="str">
        <f>IF(_xlfn.XLOOKUP(AX$14,TableStormwater['#],TableStormwater[Site constraints (as a percentage %)])&lt;&gt;"",_xlfn.XLOOKUP(AX$14,TableStormwater['#],TableStormwater[Site constraints (as a percentage %)]),"")</f>
        <v/>
      </c>
      <c r="AY24" s="144" t="str">
        <f>AX24</f>
        <v/>
      </c>
      <c r="AZ24" s="168" t="str">
        <f>IFERROR(AZ$21*AY24,"")</f>
        <v/>
      </c>
      <c r="BB24" s="236" t="str">
        <f>IF(_xlfn.XLOOKUP(BB$14,TableStormwater['#],TableStormwater[Site constraints (as a percentage %)])&lt;&gt;"",_xlfn.XLOOKUP(BB$14,TableStormwater['#],TableStormwater[Site constraints (as a percentage %)]),"")</f>
        <v/>
      </c>
      <c r="BC24" s="144" t="str">
        <f>BB24</f>
        <v/>
      </c>
      <c r="BD24" s="168" t="str">
        <f>IFERROR(BD$21*BC24,"")</f>
        <v/>
      </c>
      <c r="BF24" s="236" t="str">
        <f>IF(_xlfn.XLOOKUP(BF$14,TableStormwater['#],TableStormwater[Site constraints (as a percentage %)])&lt;&gt;"",_xlfn.XLOOKUP(BF$14,TableStormwater['#],TableStormwater[Site constraints (as a percentage %)]),"")</f>
        <v/>
      </c>
      <c r="BG24" s="144" t="str">
        <f>BF24</f>
        <v/>
      </c>
      <c r="BH24" s="168" t="str">
        <f>IFERROR(BH$21*BG24,"")</f>
        <v/>
      </c>
      <c r="BJ24" s="236" t="str">
        <f>IF(_xlfn.XLOOKUP(BJ$14,TableStormwater['#],TableStormwater[Site constraints (as a percentage %)])&lt;&gt;"",_xlfn.XLOOKUP(BJ$14,TableStormwater['#],TableStormwater[Site constraints (as a percentage %)]),"")</f>
        <v/>
      </c>
      <c r="BK24" s="144" t="str">
        <f>BJ24</f>
        <v/>
      </c>
      <c r="BL24" s="168" t="str">
        <f>IFERROR(BL$21*BK24,"")</f>
        <v/>
      </c>
      <c r="BN24" s="236" t="str">
        <f>IF(_xlfn.XLOOKUP(BN$14,TableStormwater['#],TableStormwater[Site constraints (as a percentage %)])&lt;&gt;"",_xlfn.XLOOKUP(BN$14,TableStormwater['#],TableStormwater[Site constraints (as a percentage %)]),"")</f>
        <v/>
      </c>
      <c r="BO24" s="144" t="str">
        <f>BN24</f>
        <v/>
      </c>
      <c r="BP24" s="168" t="str">
        <f>IFERROR(BP$21*BO24,"")</f>
        <v/>
      </c>
      <c r="BR24" s="236" t="str">
        <f>IF(_xlfn.XLOOKUP(BR$14,TableStormwater['#],TableStormwater[Site constraints (as a percentage %)])&lt;&gt;"",_xlfn.XLOOKUP(BR$14,TableStormwater['#],TableStormwater[Site constraints (as a percentage %)]),"")</f>
        <v/>
      </c>
      <c r="BS24" s="144" t="str">
        <f>BR24</f>
        <v/>
      </c>
      <c r="BT24" s="168" t="str">
        <f>IFERROR(BT$21*BS24,"")</f>
        <v/>
      </c>
      <c r="BV24" s="236" t="str">
        <f>IF(_xlfn.XLOOKUP(BV$14,TableStormwater['#],TableStormwater[Site constraints (as a percentage %)])&lt;&gt;"",_xlfn.XLOOKUP(BV$14,TableStormwater['#],TableStormwater[Site constraints (as a percentage %)]),"")</f>
        <v/>
      </c>
      <c r="BW24" s="144" t="str">
        <f>BV24</f>
        <v/>
      </c>
      <c r="BX24" s="168" t="str">
        <f>IFERROR(BX$21*BW24,"")</f>
        <v/>
      </c>
      <c r="BZ24" s="236" t="str">
        <f>IF(_xlfn.XLOOKUP(BZ$14,TableStormwater['#],TableStormwater[Site constraints (as a percentage %)])&lt;&gt;"",_xlfn.XLOOKUP(BZ$14,TableStormwater['#],TableStormwater[Site constraints (as a percentage %)]),"")</f>
        <v/>
      </c>
      <c r="CA24" s="144" t="str">
        <f>BZ24</f>
        <v/>
      </c>
      <c r="CB24" s="168" t="str">
        <f>IFERROR(CB$21*CA24,"")</f>
        <v/>
      </c>
      <c r="CD24" s="236" t="str">
        <f>IF(_xlfn.XLOOKUP(CD$14,TableStormwater['#],TableStormwater[Site constraints (as a percentage %)])&lt;&gt;"",_xlfn.XLOOKUP(CD$14,TableStormwater['#],TableStormwater[Site constraints (as a percentage %)]),"")</f>
        <v/>
      </c>
      <c r="CE24" s="144" t="str">
        <f>CD24</f>
        <v/>
      </c>
      <c r="CF24" s="168" t="str">
        <f>IFERROR(CF$21*CE24,"")</f>
        <v/>
      </c>
      <c r="CH24" s="236" t="str">
        <f>IF(_xlfn.XLOOKUP(CH$14,TableStormwater['#],TableStormwater[Site constraints (as a percentage %)])&lt;&gt;"",_xlfn.XLOOKUP(CH$14,TableStormwater['#],TableStormwater[Site constraints (as a percentage %)]),"")</f>
        <v/>
      </c>
      <c r="CI24" s="144" t="str">
        <f>CH24</f>
        <v/>
      </c>
      <c r="CJ24" s="168" t="str">
        <f>IFERROR(CJ$21*CI24,"")</f>
        <v/>
      </c>
      <c r="CL24" s="236" t="str">
        <f>IF(_xlfn.XLOOKUP(CL$14,TableStormwater['#],TableStormwater[Site constraints (as a percentage %)])&lt;&gt;"",_xlfn.XLOOKUP(CL$14,TableStormwater['#],TableStormwater[Site constraints (as a percentage %)]),"")</f>
        <v/>
      </c>
      <c r="CM24" s="144" t="str">
        <f>CL24</f>
        <v/>
      </c>
      <c r="CN24" s="168" t="str">
        <f>IFERROR(CN$21*CM24,"")</f>
        <v/>
      </c>
      <c r="CP24" s="236" t="str">
        <f>IF(_xlfn.XLOOKUP(CP$14,TableStormwater['#],TableStormwater[Site constraints (as a percentage %)])&lt;&gt;"",_xlfn.XLOOKUP(CP$14,TableStormwater['#],TableStormwater[Site constraints (as a percentage %)]),"")</f>
        <v/>
      </c>
      <c r="CQ24" s="144" t="str">
        <f>CP24</f>
        <v/>
      </c>
      <c r="CR24" s="168" t="str">
        <f>IFERROR(CR$21*CQ24,"")</f>
        <v/>
      </c>
      <c r="CT24" s="236" t="str">
        <f>IF(_xlfn.XLOOKUP(CT$14,TableStormwater['#],TableStormwater[Site constraints (as a percentage %)])&lt;&gt;"",_xlfn.XLOOKUP(CT$14,TableStormwater['#],TableStormwater[Site constraints (as a percentage %)]),"")</f>
        <v/>
      </c>
      <c r="CU24" s="144" t="str">
        <f>CT24</f>
        <v/>
      </c>
      <c r="CV24" s="168" t="str">
        <f>IFERROR(CV$21*CU24,"")</f>
        <v/>
      </c>
      <c r="CX24" s="236" t="str">
        <f>IF(_xlfn.XLOOKUP(CX$14,TableStormwater['#],TableStormwater[Site constraints (as a percentage %)])&lt;&gt;"",_xlfn.XLOOKUP(CX$14,TableStormwater['#],TableStormwater[Site constraints (as a percentage %)]),"")</f>
        <v/>
      </c>
      <c r="CY24" s="144" t="str">
        <f>CX24</f>
        <v/>
      </c>
      <c r="CZ24" s="168" t="str">
        <f>IFERROR(CZ$21*CY24,"")</f>
        <v/>
      </c>
      <c r="DB24" s="236" t="str">
        <f>IF(_xlfn.XLOOKUP(DB$14,TableStormwater['#],TableStormwater[Site constraints (as a percentage %)])&lt;&gt;"",_xlfn.XLOOKUP(DB$14,TableStormwater['#],TableStormwater[Site constraints (as a percentage %)]),"")</f>
        <v/>
      </c>
      <c r="DC24" s="144" t="str">
        <f>DB24</f>
        <v/>
      </c>
      <c r="DD24" s="168" t="str">
        <f>IFERROR(DD$21*DC24,"")</f>
        <v/>
      </c>
      <c r="DF24" s="236" t="str">
        <f>IF(_xlfn.XLOOKUP(DF$14,TableStormwater['#],TableStormwater[Site constraints (as a percentage %)])&lt;&gt;"",_xlfn.XLOOKUP(DF$14,TableStormwater['#],TableStormwater[Site constraints (as a percentage %)]),"")</f>
        <v/>
      </c>
      <c r="DG24" s="144" t="str">
        <f>DF24</f>
        <v/>
      </c>
      <c r="DH24" s="168" t="str">
        <f>IFERROR(DH$21*DG24,"")</f>
        <v/>
      </c>
      <c r="DJ24" s="236" t="str">
        <f>IF(_xlfn.XLOOKUP(DJ$14,TableStormwater['#],TableStormwater[Site constraints (as a percentage %)])&lt;&gt;"",_xlfn.XLOOKUP(DJ$14,TableStormwater['#],TableStormwater[Site constraints (as a percentage %)]),"")</f>
        <v/>
      </c>
      <c r="DK24" s="144" t="str">
        <f>DJ24</f>
        <v/>
      </c>
      <c r="DL24" s="168" t="str">
        <f>IFERROR(DL$21*DK24,"")</f>
        <v/>
      </c>
      <c r="DN24" s="236" t="str">
        <f>IF(_xlfn.XLOOKUP(DN$14,TableStormwater['#],TableStormwater[Site constraints (as a percentage %)])&lt;&gt;"",_xlfn.XLOOKUP(DN$14,TableStormwater['#],TableStormwater[Site constraints (as a percentage %)]),"")</f>
        <v/>
      </c>
      <c r="DO24" s="144" t="str">
        <f>DN24</f>
        <v/>
      </c>
      <c r="DP24" s="168" t="str">
        <f>IFERROR(DP$21*DO24,"")</f>
        <v/>
      </c>
      <c r="DR24" s="236" t="str">
        <f>IF(_xlfn.XLOOKUP(DR$14,TableStormwater['#],TableStormwater[Site constraints (as a percentage %)])&lt;&gt;"",_xlfn.XLOOKUP(DR$14,TableStormwater['#],TableStormwater[Site constraints (as a percentage %)]),"")</f>
        <v/>
      </c>
      <c r="DS24" s="144" t="str">
        <f>DR24</f>
        <v/>
      </c>
      <c r="DT24" s="168" t="str">
        <f>IFERROR(DT$21*DS24,"")</f>
        <v/>
      </c>
      <c r="DV24" s="236" t="str">
        <f>IF(_xlfn.XLOOKUP(DV$14,TableStormwater['#],TableStormwater[Site constraints (as a percentage %)])&lt;&gt;"",_xlfn.XLOOKUP(DV$14,TableStormwater['#],TableStormwater[Site constraints (as a percentage %)]),"")</f>
        <v/>
      </c>
      <c r="DW24" s="144" t="str">
        <f>DV24</f>
        <v/>
      </c>
      <c r="DX24" s="168" t="str">
        <f>IFERROR(DX$21*DW24,"")</f>
        <v/>
      </c>
      <c r="DZ24" s="236" t="str">
        <f>IF(_xlfn.XLOOKUP(DZ$14,TableStormwater['#],TableStormwater[Site constraints (as a percentage %)])&lt;&gt;"",_xlfn.XLOOKUP(DZ$14,TableStormwater['#],TableStormwater[Site constraints (as a percentage %)]),"")</f>
        <v/>
      </c>
      <c r="EA24" s="144" t="str">
        <f>DZ24</f>
        <v/>
      </c>
      <c r="EB24" s="168" t="str">
        <f>IFERROR(EB$21*EA24,"")</f>
        <v/>
      </c>
      <c r="ED24" s="236" t="str">
        <f>IF(_xlfn.XLOOKUP(ED$14,TableStormwater['#],TableStormwater[Site constraints (as a percentage %)])&lt;&gt;"",_xlfn.XLOOKUP(ED$14,TableStormwater['#],TableStormwater[Site constraints (as a percentage %)]),"")</f>
        <v/>
      </c>
      <c r="EE24" s="144" t="str">
        <f>ED24</f>
        <v/>
      </c>
      <c r="EF24" s="168" t="str">
        <f>IFERROR(EF$21*EE24,"")</f>
        <v/>
      </c>
      <c r="EH24" s="236" t="str">
        <f>IF(_xlfn.XLOOKUP(EH$14,TableStormwater['#],TableStormwater[Site constraints (as a percentage %)])&lt;&gt;"",_xlfn.XLOOKUP(EH$14,TableStormwater['#],TableStormwater[Site constraints (as a percentage %)]),"")</f>
        <v/>
      </c>
      <c r="EI24" s="144" t="str">
        <f>EH24</f>
        <v/>
      </c>
      <c r="EJ24" s="168" t="str">
        <f>IFERROR(EJ$21*EI24,"")</f>
        <v/>
      </c>
      <c r="EL24" s="236" t="str">
        <f>IF(_xlfn.XLOOKUP(EL$14,TableStormwater['#],TableStormwater[Site constraints (as a percentage %)])&lt;&gt;"",_xlfn.XLOOKUP(EL$14,TableStormwater['#],TableStormwater[Site constraints (as a percentage %)]),"")</f>
        <v/>
      </c>
      <c r="EM24" s="144" t="str">
        <f>EL24</f>
        <v/>
      </c>
      <c r="EN24" s="168" t="str">
        <f>IFERROR(EN$21*EM24,"")</f>
        <v/>
      </c>
      <c r="EP24" s="236" t="str">
        <f>IF(_xlfn.XLOOKUP(EP$14,TableStormwater['#],TableStormwater[Site constraints (as a percentage %)])&lt;&gt;"",_xlfn.XLOOKUP(EP$14,TableStormwater['#],TableStormwater[Site constraints (as a percentage %)]),"")</f>
        <v/>
      </c>
      <c r="EQ24" s="144" t="str">
        <f>EP24</f>
        <v/>
      </c>
      <c r="ER24" s="168" t="str">
        <f>IFERROR(ER$21*EQ24,"")</f>
        <v/>
      </c>
      <c r="ET24" s="236" t="str">
        <f>IF(_xlfn.XLOOKUP(ET$14,TableStormwater['#],TableStormwater[Site constraints (as a percentage %)])&lt;&gt;"",_xlfn.XLOOKUP(ET$14,TableStormwater['#],TableStormwater[Site constraints (as a percentage %)]),"")</f>
        <v/>
      </c>
      <c r="EU24" s="144" t="str">
        <f>ET24</f>
        <v/>
      </c>
      <c r="EV24" s="168" t="str">
        <f>IFERROR(EV$21*EU24,"")</f>
        <v/>
      </c>
      <c r="EX24" s="236" t="str">
        <f>IF(_xlfn.XLOOKUP(EX$14,TableStormwater['#],TableStormwater[Site constraints (as a percentage %)])&lt;&gt;"",_xlfn.XLOOKUP(EX$14,TableStormwater['#],TableStormwater[Site constraints (as a percentage %)]),"")</f>
        <v/>
      </c>
      <c r="EY24" s="144" t="str">
        <f>EX24</f>
        <v/>
      </c>
      <c r="EZ24" s="168" t="str">
        <f>IFERROR(EZ$21*EY24,"")</f>
        <v/>
      </c>
      <c r="FB24" s="236" t="str">
        <f>IF(_xlfn.XLOOKUP(FB$14,TableStormwater['#],TableStormwater[Site constraints (as a percentage %)])&lt;&gt;"",_xlfn.XLOOKUP(FB$14,TableStormwater['#],TableStormwater[Site constraints (as a percentage %)]),"")</f>
        <v/>
      </c>
      <c r="FC24" s="144" t="str">
        <f>FB24</f>
        <v/>
      </c>
      <c r="FD24" s="168" t="str">
        <f>IFERROR(FD$21*FC24,"")</f>
        <v/>
      </c>
      <c r="FF24" s="236" t="str">
        <f>IF(_xlfn.XLOOKUP(FF$14,TableStormwater['#],TableStormwater[Site constraints (as a percentage %)])&lt;&gt;"",_xlfn.XLOOKUP(FF$14,TableStormwater['#],TableStormwater[Site constraints (as a percentage %)]),"")</f>
        <v/>
      </c>
      <c r="FG24" s="144" t="str">
        <f>FF24</f>
        <v/>
      </c>
      <c r="FH24" s="168" t="str">
        <f>IFERROR(FH$21*FG24,"")</f>
        <v/>
      </c>
      <c r="FJ24" s="236" t="str">
        <f>IF(_xlfn.XLOOKUP(FJ$14,TableStormwater['#],TableStormwater[Site constraints (as a percentage %)])&lt;&gt;"",_xlfn.XLOOKUP(FJ$14,TableStormwater['#],TableStormwater[Site constraints (as a percentage %)]),"")</f>
        <v/>
      </c>
      <c r="FK24" s="144" t="str">
        <f>FJ24</f>
        <v/>
      </c>
      <c r="FL24" s="168" t="str">
        <f>IFERROR(FL$21*FK24,"")</f>
        <v/>
      </c>
      <c r="FN24" s="236" t="str">
        <f>IF(_xlfn.XLOOKUP(FN$14,TableStormwater['#],TableStormwater[Site constraints (as a percentage %)])&lt;&gt;"",_xlfn.XLOOKUP(FN$14,TableStormwater['#],TableStormwater[Site constraints (as a percentage %)]),"")</f>
        <v/>
      </c>
      <c r="FO24" s="144" t="str">
        <f>FN24</f>
        <v/>
      </c>
      <c r="FP24" s="168" t="str">
        <f>IFERROR(FP$21*FO24,"")</f>
        <v/>
      </c>
      <c r="FR24" s="236" t="str">
        <f>IF(_xlfn.XLOOKUP(FR$14,TableStormwater['#],TableStormwater[Site constraints (as a percentage %)])&lt;&gt;"",_xlfn.XLOOKUP(FR$14,TableStormwater['#],TableStormwater[Site constraints (as a percentage %)]),"")</f>
        <v/>
      </c>
      <c r="FS24" s="144" t="str">
        <f>FR24</f>
        <v/>
      </c>
      <c r="FT24" s="168" t="str">
        <f>IFERROR(FT$21*FS24,"")</f>
        <v/>
      </c>
      <c r="FV24" s="236" t="str">
        <f>IF(_xlfn.XLOOKUP(FV$14,TableStormwater['#],TableStormwater[Site constraints (as a percentage %)])&lt;&gt;"",_xlfn.XLOOKUP(FV$14,TableStormwater['#],TableStormwater[Site constraints (as a percentage %)]),"")</f>
        <v/>
      </c>
      <c r="FW24" s="144" t="str">
        <f>FV24</f>
        <v/>
      </c>
      <c r="FX24" s="168" t="str">
        <f>IFERROR(FX$21*FW24,"")</f>
        <v/>
      </c>
      <c r="FZ24" s="236" t="str">
        <f>IF(_xlfn.XLOOKUP(FZ$14,TableStormwater['#],TableStormwater[Site constraints (as a percentage %)])&lt;&gt;"",_xlfn.XLOOKUP(FZ$14,TableStormwater['#],TableStormwater[Site constraints (as a percentage %)]),"")</f>
        <v/>
      </c>
      <c r="GA24" s="144" t="str">
        <f>FZ24</f>
        <v/>
      </c>
      <c r="GB24" s="168" t="str">
        <f>IFERROR(GB$21*GA24,"")</f>
        <v/>
      </c>
      <c r="GD24" s="236" t="str">
        <f>IF(_xlfn.XLOOKUP(GD$14,TableStormwater['#],TableStormwater[Site constraints (as a percentage %)])&lt;&gt;"",_xlfn.XLOOKUP(GD$14,TableStormwater['#],TableStormwater[Site constraints (as a percentage %)]),"")</f>
        <v/>
      </c>
      <c r="GE24" s="144" t="str">
        <f>GD24</f>
        <v/>
      </c>
      <c r="GF24" s="168" t="str">
        <f>IFERROR(GF$21*GE24,"")</f>
        <v/>
      </c>
      <c r="GH24" s="236" t="str">
        <f>IF(_xlfn.XLOOKUP(GH$14,TableStormwater['#],TableStormwater[Site constraints (as a percentage %)])&lt;&gt;"",_xlfn.XLOOKUP(GH$14,TableStormwater['#],TableStormwater[Site constraints (as a percentage %)]),"")</f>
        <v/>
      </c>
      <c r="GI24" s="144" t="str">
        <f>GH24</f>
        <v/>
      </c>
      <c r="GJ24" s="168" t="str">
        <f>IFERROR(GJ$21*GI24,"")</f>
        <v/>
      </c>
      <c r="GL24" s="236" t="str">
        <f>IF(_xlfn.XLOOKUP(GL$14,TableStormwater['#],TableStormwater[Site constraints (as a percentage %)])&lt;&gt;"",_xlfn.XLOOKUP(GL$14,TableStormwater['#],TableStormwater[Site constraints (as a percentage %)]),"")</f>
        <v/>
      </c>
      <c r="GM24" s="144" t="str">
        <f>GL24</f>
        <v/>
      </c>
      <c r="GN24" s="168" t="str">
        <f>IFERROR(GN$21*GM24,"")</f>
        <v/>
      </c>
      <c r="GP24" s="236" t="str">
        <f>IF(_xlfn.XLOOKUP(GP$14,TableStormwater['#],TableStormwater[Site constraints (as a percentage %)])&lt;&gt;"",_xlfn.XLOOKUP(GP$14,TableStormwater['#],TableStormwater[Site constraints (as a percentage %)]),"")</f>
        <v/>
      </c>
      <c r="GQ24" s="144" t="str">
        <f>GP24</f>
        <v/>
      </c>
      <c r="GR24" s="168" t="str">
        <f>IFERROR(GR$21*GQ24,"")</f>
        <v/>
      </c>
      <c r="GT24" s="236" t="str">
        <f>IF(_xlfn.XLOOKUP(GT$14,TableStormwater['#],TableStormwater[Site constraints (as a percentage %)])&lt;&gt;"",_xlfn.XLOOKUP(GT$14,TableStormwater['#],TableStormwater[Site constraints (as a percentage %)]),"")</f>
        <v/>
      </c>
      <c r="GU24" s="144" t="str">
        <f>GT24</f>
        <v/>
      </c>
      <c r="GV24" s="168" t="str">
        <f>IFERROR(GV$21*GU24,"")</f>
        <v/>
      </c>
    </row>
    <row r="25" spans="4:204" x14ac:dyDescent="0.2">
      <c r="D25" t="s">
        <v>153</v>
      </c>
      <c r="F25" s="236" t="str">
        <f>IF(_xlfn.XLOOKUP(F$14,TableStormwater['#],TableStormwater[Waste disposal - type of waste (if applicable)])&lt;&gt;"",_xlfn.XLOOKUP(F$14,TableStormwater['#],TableStormwater[Waste disposal - type of waste (if applicable)]),"")</f>
        <v/>
      </c>
      <c r="G25" s="161" t="str" cm="1">
        <f t="array" ref="G25">IFERROR(INDEX('Variable index'!$E$57:$F$65,MATCH(F$25,'Variable index'!$C$57:$C$65,0),$D$12),"")</f>
        <v/>
      </c>
      <c r="J25" s="236" t="str">
        <f>IF(_xlfn.XLOOKUP(J$14,TableStormwater['#],TableStormwater[Waste disposal - type of waste (if applicable)])&lt;&gt;"",_xlfn.XLOOKUP(J$14,TableStormwater['#],TableStormwater[Waste disposal - type of waste (if applicable)]),"")</f>
        <v/>
      </c>
      <c r="K25" s="161" t="str" cm="1">
        <f t="array" ref="K25">IFERROR(INDEX('Variable index'!$E$57:$F$65,MATCH(J$25,'Variable index'!$C$57:$C$65,0),$D$12),"")</f>
        <v/>
      </c>
      <c r="N25" s="236" t="str">
        <f>IF(_xlfn.XLOOKUP(N$14,TableStormwater['#],TableStormwater[Waste disposal - type of waste (if applicable)])&lt;&gt;"",_xlfn.XLOOKUP(N$14,TableStormwater['#],TableStormwater[Waste disposal - type of waste (if applicable)]),"")</f>
        <v/>
      </c>
      <c r="O25" s="161" t="str" cm="1">
        <f t="array" ref="O25">IFERROR(INDEX('Variable index'!$E$57:$F$65,MATCH(N$25,'Variable index'!$C$57:$C$65,0),$D$12),"")</f>
        <v/>
      </c>
      <c r="R25" s="236" t="str">
        <f>IF(_xlfn.XLOOKUP(R$14,TableStormwater['#],TableStormwater[Waste disposal - type of waste (if applicable)])&lt;&gt;"",_xlfn.XLOOKUP(R$14,TableStormwater['#],TableStormwater[Waste disposal - type of waste (if applicable)]),"")</f>
        <v/>
      </c>
      <c r="S25" s="161" t="str" cm="1">
        <f t="array" ref="S25">IFERROR(INDEX('Variable index'!$E$57:$F$65,MATCH(R$25,'Variable index'!$C$57:$C$65,0),$D$12),"")</f>
        <v/>
      </c>
      <c r="V25" s="236" t="str">
        <f>IF(_xlfn.XLOOKUP(V$14,TableStormwater['#],TableStormwater[Waste disposal - type of waste (if applicable)])&lt;&gt;"",_xlfn.XLOOKUP(V$14,TableStormwater['#],TableStormwater[Waste disposal - type of waste (if applicable)]),"")</f>
        <v/>
      </c>
      <c r="W25" s="161" t="str" cm="1">
        <f t="array" ref="W25">IFERROR(INDEX('Variable index'!$E$57:$F$65,MATCH(V$25,'Variable index'!$C$57:$C$65,0),$D$12),"")</f>
        <v/>
      </c>
      <c r="Z25" s="236" t="str">
        <f>IF(_xlfn.XLOOKUP(Z$14,TableStormwater['#],TableStormwater[Waste disposal - type of waste (if applicable)])&lt;&gt;"",_xlfn.XLOOKUP(Z$14,TableStormwater['#],TableStormwater[Waste disposal - type of waste (if applicable)]),"")</f>
        <v/>
      </c>
      <c r="AA25" s="161" t="str" cm="1">
        <f t="array" ref="AA25">IFERROR(INDEX('Variable index'!$E$57:$F$65,MATCH(Z$25,'Variable index'!$C$57:$C$65,0),$D$12),"")</f>
        <v/>
      </c>
      <c r="AD25" s="236" t="str">
        <f>IF(_xlfn.XLOOKUP(AD$14,TableStormwater['#],TableStormwater[Waste disposal - type of waste (if applicable)])&lt;&gt;"",_xlfn.XLOOKUP(AD$14,TableStormwater['#],TableStormwater[Waste disposal - type of waste (if applicable)]),"")</f>
        <v/>
      </c>
      <c r="AE25" s="161" t="str" cm="1">
        <f t="array" ref="AE25">IFERROR(INDEX('Variable index'!$E$57:$F$65,MATCH(AD$25,'Variable index'!$C$57:$C$65,0),$D$12),"")</f>
        <v/>
      </c>
      <c r="AH25" s="236" t="str">
        <f>IF(_xlfn.XLOOKUP(AH$14,TableStormwater['#],TableStormwater[Waste disposal - type of waste (if applicable)])&lt;&gt;"",_xlfn.XLOOKUP(AH$14,TableStormwater['#],TableStormwater[Waste disposal - type of waste (if applicable)]),"")</f>
        <v/>
      </c>
      <c r="AI25" s="161" t="str" cm="1">
        <f t="array" ref="AI25">IFERROR(INDEX('Variable index'!$E$57:$F$65,MATCH(AH$25,'Variable index'!$C$57:$C$65,0),$D$12),"")</f>
        <v/>
      </c>
      <c r="AL25" s="236" t="str">
        <f>IF(_xlfn.XLOOKUP(AL$14,TableStormwater['#],TableStormwater[Waste disposal - type of waste (if applicable)])&lt;&gt;"",_xlfn.XLOOKUP(AL$14,TableStormwater['#],TableStormwater[Waste disposal - type of waste (if applicable)]),"")</f>
        <v/>
      </c>
      <c r="AM25" s="161" t="str" cm="1">
        <f t="array" ref="AM25">IFERROR(INDEX('Variable index'!$E$57:$F$65,MATCH(AL$25,'Variable index'!$C$57:$C$65,0),$D$12),"")</f>
        <v/>
      </c>
      <c r="AP25" s="236" t="str">
        <f>IF(_xlfn.XLOOKUP(AP$14,TableStormwater['#],TableStormwater[Waste disposal - type of waste (if applicable)])&lt;&gt;"",_xlfn.XLOOKUP(AP$14,TableStormwater['#],TableStormwater[Waste disposal - type of waste (if applicable)]),"")</f>
        <v/>
      </c>
      <c r="AQ25" s="161" t="str" cm="1">
        <f t="array" ref="AQ25">IFERROR(INDEX('Variable index'!$E$57:$F$65,MATCH(AP$25,'Variable index'!$C$57:$C$65,0),$D$12),"")</f>
        <v/>
      </c>
      <c r="AT25" s="236" t="str">
        <f>IF(_xlfn.XLOOKUP(AT$14,TableStormwater['#],TableStormwater[Waste disposal - type of waste (if applicable)])&lt;&gt;"",_xlfn.XLOOKUP(AT$14,TableStormwater['#],TableStormwater[Waste disposal - type of waste (if applicable)]),"")</f>
        <v/>
      </c>
      <c r="AU25" s="161" t="str" cm="1">
        <f t="array" ref="AU25">IFERROR(INDEX('Variable index'!$E$57:$F$65,MATCH(AT$25,'Variable index'!$C$57:$C$65,0),$D$12),"")</f>
        <v/>
      </c>
      <c r="AX25" s="236" t="str">
        <f>IF(_xlfn.XLOOKUP(AX$14,TableStormwater['#],TableStormwater[Waste disposal - type of waste (if applicable)])&lt;&gt;"",_xlfn.XLOOKUP(AX$14,TableStormwater['#],TableStormwater[Waste disposal - type of waste (if applicable)]),"")</f>
        <v/>
      </c>
      <c r="AY25" s="161" t="str" cm="1">
        <f t="array" ref="AY25">IFERROR(INDEX('Variable index'!$E$57:$F$65,MATCH(AX$25,'Variable index'!$C$57:$C$65,0),$D$12),"")</f>
        <v/>
      </c>
      <c r="BB25" s="236" t="str">
        <f>IF(_xlfn.XLOOKUP(BB$14,TableStormwater['#],TableStormwater[Waste disposal - type of waste (if applicable)])&lt;&gt;"",_xlfn.XLOOKUP(BB$14,TableStormwater['#],TableStormwater[Waste disposal - type of waste (if applicable)]),"")</f>
        <v/>
      </c>
      <c r="BC25" s="161" t="str" cm="1">
        <f t="array" ref="BC25">IFERROR(INDEX('Variable index'!$E$57:$F$65,MATCH(BB$25,'Variable index'!$C$57:$C$65,0),$D$12),"")</f>
        <v/>
      </c>
      <c r="BF25" s="236" t="str">
        <f>IF(_xlfn.XLOOKUP(BF$14,TableStormwater['#],TableStormwater[Waste disposal - type of waste (if applicable)])&lt;&gt;"",_xlfn.XLOOKUP(BF$14,TableStormwater['#],TableStormwater[Waste disposal - type of waste (if applicable)]),"")</f>
        <v/>
      </c>
      <c r="BG25" s="161" t="str" cm="1">
        <f t="array" ref="BG25">IFERROR(INDEX('Variable index'!$E$57:$F$65,MATCH(BF$25,'Variable index'!$C$57:$C$65,0),$D$12),"")</f>
        <v/>
      </c>
      <c r="BJ25" s="236" t="str">
        <f>IF(_xlfn.XLOOKUP(BJ$14,TableStormwater['#],TableStormwater[Waste disposal - type of waste (if applicable)])&lt;&gt;"",_xlfn.XLOOKUP(BJ$14,TableStormwater['#],TableStormwater[Waste disposal - type of waste (if applicable)]),"")</f>
        <v/>
      </c>
      <c r="BK25" s="161" t="str" cm="1">
        <f t="array" ref="BK25">IFERROR(INDEX('Variable index'!$E$57:$F$65,MATCH(BJ$25,'Variable index'!$C$57:$C$65,0),$D$12),"")</f>
        <v/>
      </c>
      <c r="BN25" s="236" t="str">
        <f>IF(_xlfn.XLOOKUP(BN$14,TableStormwater['#],TableStormwater[Waste disposal - type of waste (if applicable)])&lt;&gt;"",_xlfn.XLOOKUP(BN$14,TableStormwater['#],TableStormwater[Waste disposal - type of waste (if applicable)]),"")</f>
        <v/>
      </c>
      <c r="BO25" s="161" t="str" cm="1">
        <f t="array" ref="BO25">IFERROR(INDEX('Variable index'!$E$57:$F$65,MATCH(BN$25,'Variable index'!$C$57:$C$65,0),$D$12),"")</f>
        <v/>
      </c>
      <c r="BR25" s="236" t="str">
        <f>IF(_xlfn.XLOOKUP(BR$14,TableStormwater['#],TableStormwater[Waste disposal - type of waste (if applicable)])&lt;&gt;"",_xlfn.XLOOKUP(BR$14,TableStormwater['#],TableStormwater[Waste disposal - type of waste (if applicable)]),"")</f>
        <v/>
      </c>
      <c r="BS25" s="161" t="str" cm="1">
        <f t="array" ref="BS25">IFERROR(INDEX('Variable index'!$E$57:$F$65,MATCH(BR$25,'Variable index'!$C$57:$C$65,0),$D$12),"")</f>
        <v/>
      </c>
      <c r="BV25" s="236" t="str">
        <f>IF(_xlfn.XLOOKUP(BV$14,TableStormwater['#],TableStormwater[Waste disposal - type of waste (if applicable)])&lt;&gt;"",_xlfn.XLOOKUP(BV$14,TableStormwater['#],TableStormwater[Waste disposal - type of waste (if applicable)]),"")</f>
        <v/>
      </c>
      <c r="BW25" s="161" t="str" cm="1">
        <f t="array" ref="BW25">IFERROR(INDEX('Variable index'!$E$57:$F$65,MATCH(BV$25,'Variable index'!$C$57:$C$65,0),$D$12),"")</f>
        <v/>
      </c>
      <c r="BZ25" s="236" t="str">
        <f>IF(_xlfn.XLOOKUP(BZ$14,TableStormwater['#],TableStormwater[Waste disposal - type of waste (if applicable)])&lt;&gt;"",_xlfn.XLOOKUP(BZ$14,TableStormwater['#],TableStormwater[Waste disposal - type of waste (if applicable)]),"")</f>
        <v/>
      </c>
      <c r="CA25" s="161" t="str" cm="1">
        <f t="array" ref="CA25">IFERROR(INDEX('Variable index'!$E$57:$F$65,MATCH(BZ$25,'Variable index'!$C$57:$C$65,0),$D$12),"")</f>
        <v/>
      </c>
      <c r="CD25" s="236" t="str">
        <f>IF(_xlfn.XLOOKUP(CD$14,TableStormwater['#],TableStormwater[Waste disposal - type of waste (if applicable)])&lt;&gt;"",_xlfn.XLOOKUP(CD$14,TableStormwater['#],TableStormwater[Waste disposal - type of waste (if applicable)]),"")</f>
        <v/>
      </c>
      <c r="CE25" s="161" t="str" cm="1">
        <f t="array" ref="CE25">IFERROR(INDEX('Variable index'!$E$57:$F$65,MATCH(CD$25,'Variable index'!$C$57:$C$65,0),$D$12),"")</f>
        <v/>
      </c>
      <c r="CH25" s="236" t="str">
        <f>IF(_xlfn.XLOOKUP(CH$14,TableStormwater['#],TableStormwater[Waste disposal - type of waste (if applicable)])&lt;&gt;"",_xlfn.XLOOKUP(CH$14,TableStormwater['#],TableStormwater[Waste disposal - type of waste (if applicable)]),"")</f>
        <v/>
      </c>
      <c r="CI25" s="161" t="str" cm="1">
        <f t="array" ref="CI25">IFERROR(INDEX('Variable index'!$E$57:$F$65,MATCH(CH$25,'Variable index'!$C$57:$C$65,0),$D$12),"")</f>
        <v/>
      </c>
      <c r="CL25" s="236" t="str">
        <f>IF(_xlfn.XLOOKUP(CL$14,TableStormwater['#],TableStormwater[Waste disposal - type of waste (if applicable)])&lt;&gt;"",_xlfn.XLOOKUP(CL$14,TableStormwater['#],TableStormwater[Waste disposal - type of waste (if applicable)]),"")</f>
        <v/>
      </c>
      <c r="CM25" s="161" t="str" cm="1">
        <f t="array" ref="CM25">IFERROR(INDEX('Variable index'!$E$57:$F$65,MATCH(CL$25,'Variable index'!$C$57:$C$65,0),$D$12),"")</f>
        <v/>
      </c>
      <c r="CP25" s="236" t="str">
        <f>IF(_xlfn.XLOOKUP(CP$14,TableStormwater['#],TableStormwater[Waste disposal - type of waste (if applicable)])&lt;&gt;"",_xlfn.XLOOKUP(CP$14,TableStormwater['#],TableStormwater[Waste disposal - type of waste (if applicable)]),"")</f>
        <v/>
      </c>
      <c r="CQ25" s="161" t="str" cm="1">
        <f t="array" ref="CQ25">IFERROR(INDEX('Variable index'!$E$57:$F$65,MATCH(CP$25,'Variable index'!$C$57:$C$65,0),$D$12),"")</f>
        <v/>
      </c>
      <c r="CT25" s="236" t="str">
        <f>IF(_xlfn.XLOOKUP(CT$14,TableStormwater['#],TableStormwater[Waste disposal - type of waste (if applicable)])&lt;&gt;"",_xlfn.XLOOKUP(CT$14,TableStormwater['#],TableStormwater[Waste disposal - type of waste (if applicable)]),"")</f>
        <v/>
      </c>
      <c r="CU25" s="161" t="str" cm="1">
        <f t="array" ref="CU25">IFERROR(INDEX('Variable index'!$E$57:$F$65,MATCH(CT$25,'Variable index'!$C$57:$C$65,0),$D$12),"")</f>
        <v/>
      </c>
      <c r="CX25" s="236" t="str">
        <f>IF(_xlfn.XLOOKUP(CX$14,TableStormwater['#],TableStormwater[Waste disposal - type of waste (if applicable)])&lt;&gt;"",_xlfn.XLOOKUP(CX$14,TableStormwater['#],TableStormwater[Waste disposal - type of waste (if applicable)]),"")</f>
        <v/>
      </c>
      <c r="CY25" s="161" t="str" cm="1">
        <f t="array" ref="CY25">IFERROR(INDEX('Variable index'!$E$57:$F$65,MATCH(CX$25,'Variable index'!$C$57:$C$65,0),$D$12),"")</f>
        <v/>
      </c>
      <c r="DB25" s="236" t="str">
        <f>IF(_xlfn.XLOOKUP(DB$14,TableStormwater['#],TableStormwater[Waste disposal - type of waste (if applicable)])&lt;&gt;"",_xlfn.XLOOKUP(DB$14,TableStormwater['#],TableStormwater[Waste disposal - type of waste (if applicable)]),"")</f>
        <v/>
      </c>
      <c r="DC25" s="161" t="str" cm="1">
        <f t="array" ref="DC25">IFERROR(INDEX('Variable index'!$E$57:$F$65,MATCH(DB$25,'Variable index'!$C$57:$C$65,0),$D$12),"")</f>
        <v/>
      </c>
      <c r="DF25" s="236" t="str">
        <f>IF(_xlfn.XLOOKUP(DF$14,TableStormwater['#],TableStormwater[Waste disposal - type of waste (if applicable)])&lt;&gt;"",_xlfn.XLOOKUP(DF$14,TableStormwater['#],TableStormwater[Waste disposal - type of waste (if applicable)]),"")</f>
        <v/>
      </c>
      <c r="DG25" s="161" t="str" cm="1">
        <f t="array" ref="DG25">IFERROR(INDEX('Variable index'!$E$57:$F$65,MATCH(DF$25,'Variable index'!$C$57:$C$65,0),$D$12),"")</f>
        <v/>
      </c>
      <c r="DJ25" s="236" t="str">
        <f>IF(_xlfn.XLOOKUP(DJ$14,TableStormwater['#],TableStormwater[Waste disposal - type of waste (if applicable)])&lt;&gt;"",_xlfn.XLOOKUP(DJ$14,TableStormwater['#],TableStormwater[Waste disposal - type of waste (if applicable)]),"")</f>
        <v/>
      </c>
      <c r="DK25" s="161" t="str" cm="1">
        <f t="array" ref="DK25">IFERROR(INDEX('Variable index'!$E$57:$F$65,MATCH(DJ$25,'Variable index'!$C$57:$C$65,0),$D$12),"")</f>
        <v/>
      </c>
      <c r="DN25" s="236" t="str">
        <f>IF(_xlfn.XLOOKUP(DN$14,TableStormwater['#],TableStormwater[Waste disposal - type of waste (if applicable)])&lt;&gt;"",_xlfn.XLOOKUP(DN$14,TableStormwater['#],TableStormwater[Waste disposal - type of waste (if applicable)]),"")</f>
        <v/>
      </c>
      <c r="DO25" s="161" t="str" cm="1">
        <f t="array" ref="DO25">IFERROR(INDEX('Variable index'!$E$57:$F$65,MATCH(DN$25,'Variable index'!$C$57:$C$65,0),$D$12),"")</f>
        <v/>
      </c>
      <c r="DR25" s="236" t="str">
        <f>IF(_xlfn.XLOOKUP(DR$14,TableStormwater['#],TableStormwater[Waste disposal - type of waste (if applicable)])&lt;&gt;"",_xlfn.XLOOKUP(DR$14,TableStormwater['#],TableStormwater[Waste disposal - type of waste (if applicable)]),"")</f>
        <v/>
      </c>
      <c r="DS25" s="161" t="str" cm="1">
        <f t="array" ref="DS25">IFERROR(INDEX('Variable index'!$E$57:$F$65,MATCH(DR$25,'Variable index'!$C$57:$C$65,0),$D$12),"")</f>
        <v/>
      </c>
      <c r="DV25" s="236" t="str">
        <f>IF(_xlfn.XLOOKUP(DV$14,TableStormwater['#],TableStormwater[Waste disposal - type of waste (if applicable)])&lt;&gt;"",_xlfn.XLOOKUP(DV$14,TableStormwater['#],TableStormwater[Waste disposal - type of waste (if applicable)]),"")</f>
        <v/>
      </c>
      <c r="DW25" s="161" t="str" cm="1">
        <f t="array" ref="DW25">IFERROR(INDEX('Variable index'!$E$57:$F$65,MATCH(DV$25,'Variable index'!$C$57:$C$65,0),$D$12),"")</f>
        <v/>
      </c>
      <c r="DZ25" s="236" t="str">
        <f>IF(_xlfn.XLOOKUP(DZ$14,TableStormwater['#],TableStormwater[Waste disposal - type of waste (if applicable)])&lt;&gt;"",_xlfn.XLOOKUP(DZ$14,TableStormwater['#],TableStormwater[Waste disposal - type of waste (if applicable)]),"")</f>
        <v/>
      </c>
      <c r="EA25" s="161" t="str" cm="1">
        <f t="array" ref="EA25">IFERROR(INDEX('Variable index'!$E$57:$F$65,MATCH(DZ$25,'Variable index'!$C$57:$C$65,0),$D$12),"")</f>
        <v/>
      </c>
      <c r="ED25" s="236" t="str">
        <f>IF(_xlfn.XLOOKUP(ED$14,TableStormwater['#],TableStormwater[Waste disposal - type of waste (if applicable)])&lt;&gt;"",_xlfn.XLOOKUP(ED$14,TableStormwater['#],TableStormwater[Waste disposal - type of waste (if applicable)]),"")</f>
        <v/>
      </c>
      <c r="EE25" s="161" t="str" cm="1">
        <f t="array" ref="EE25">IFERROR(INDEX('Variable index'!$E$57:$F$65,MATCH(ED$25,'Variable index'!$C$57:$C$65,0),$D$12),"")</f>
        <v/>
      </c>
      <c r="EH25" s="236" t="str">
        <f>IF(_xlfn.XLOOKUP(EH$14,TableStormwater['#],TableStormwater[Waste disposal - type of waste (if applicable)])&lt;&gt;"",_xlfn.XLOOKUP(EH$14,TableStormwater['#],TableStormwater[Waste disposal - type of waste (if applicable)]),"")</f>
        <v/>
      </c>
      <c r="EI25" s="161" t="str" cm="1">
        <f t="array" ref="EI25">IFERROR(INDEX('Variable index'!$E$57:$F$65,MATCH(EH$25,'Variable index'!$C$57:$C$65,0),$D$12),"")</f>
        <v/>
      </c>
      <c r="EL25" s="236" t="str">
        <f>IF(_xlfn.XLOOKUP(EL$14,TableStormwater['#],TableStormwater[Waste disposal - type of waste (if applicable)])&lt;&gt;"",_xlfn.XLOOKUP(EL$14,TableStormwater['#],TableStormwater[Waste disposal - type of waste (if applicable)]),"")</f>
        <v/>
      </c>
      <c r="EM25" s="161" t="str" cm="1">
        <f t="array" ref="EM25">IFERROR(INDEX('Variable index'!$E$57:$F$65,MATCH(EL$25,'Variable index'!$C$57:$C$65,0),$D$12),"")</f>
        <v/>
      </c>
      <c r="EP25" s="236" t="str">
        <f>IF(_xlfn.XLOOKUP(EP$14,TableStormwater['#],TableStormwater[Waste disposal - type of waste (if applicable)])&lt;&gt;"",_xlfn.XLOOKUP(EP$14,TableStormwater['#],TableStormwater[Waste disposal - type of waste (if applicable)]),"")</f>
        <v/>
      </c>
      <c r="EQ25" s="161" t="str" cm="1">
        <f t="array" ref="EQ25">IFERROR(INDEX('Variable index'!$E$57:$F$65,MATCH(EP$25,'Variable index'!$C$57:$C$65,0),$D$12),"")</f>
        <v/>
      </c>
      <c r="ET25" s="236" t="str">
        <f>IF(_xlfn.XLOOKUP(ET$14,TableStormwater['#],TableStormwater[Waste disposal - type of waste (if applicable)])&lt;&gt;"",_xlfn.XLOOKUP(ET$14,TableStormwater['#],TableStormwater[Waste disposal - type of waste (if applicable)]),"")</f>
        <v/>
      </c>
      <c r="EU25" s="161" t="str" cm="1">
        <f t="array" ref="EU25">IFERROR(INDEX('Variable index'!$E$57:$F$65,MATCH(ET$25,'Variable index'!$C$57:$C$65,0),$D$12),"")</f>
        <v/>
      </c>
      <c r="EX25" s="236" t="str">
        <f>IF(_xlfn.XLOOKUP(EX$14,TableStormwater['#],TableStormwater[Waste disposal - type of waste (if applicable)])&lt;&gt;"",_xlfn.XLOOKUP(EX$14,TableStormwater['#],TableStormwater[Waste disposal - type of waste (if applicable)]),"")</f>
        <v/>
      </c>
      <c r="EY25" s="161" t="str" cm="1">
        <f t="array" ref="EY25">IFERROR(INDEX('Variable index'!$E$57:$F$65,MATCH(EX$25,'Variable index'!$C$57:$C$65,0),$D$12),"")</f>
        <v/>
      </c>
      <c r="FB25" s="236" t="str">
        <f>IF(_xlfn.XLOOKUP(FB$14,TableStormwater['#],TableStormwater[Waste disposal - type of waste (if applicable)])&lt;&gt;"",_xlfn.XLOOKUP(FB$14,TableStormwater['#],TableStormwater[Waste disposal - type of waste (if applicable)]),"")</f>
        <v/>
      </c>
      <c r="FC25" s="161" t="str" cm="1">
        <f t="array" ref="FC25">IFERROR(INDEX('Variable index'!$E$57:$F$65,MATCH(FB$25,'Variable index'!$C$57:$C$65,0),$D$12),"")</f>
        <v/>
      </c>
      <c r="FF25" s="236" t="str">
        <f>IF(_xlfn.XLOOKUP(FF$14,TableStormwater['#],TableStormwater[Waste disposal - type of waste (if applicable)])&lt;&gt;"",_xlfn.XLOOKUP(FF$14,TableStormwater['#],TableStormwater[Waste disposal - type of waste (if applicable)]),"")</f>
        <v/>
      </c>
      <c r="FG25" s="161" t="str" cm="1">
        <f t="array" ref="FG25">IFERROR(INDEX('Variable index'!$E$57:$F$65,MATCH(FF$25,'Variable index'!$C$57:$C$65,0),$D$12),"")</f>
        <v/>
      </c>
      <c r="FJ25" s="236" t="str">
        <f>IF(_xlfn.XLOOKUP(FJ$14,TableStormwater['#],TableStormwater[Waste disposal - type of waste (if applicable)])&lt;&gt;"",_xlfn.XLOOKUP(FJ$14,TableStormwater['#],TableStormwater[Waste disposal - type of waste (if applicable)]),"")</f>
        <v/>
      </c>
      <c r="FK25" s="161" t="str" cm="1">
        <f t="array" ref="FK25">IFERROR(INDEX('Variable index'!$E$57:$F$65,MATCH(FJ$25,'Variable index'!$C$57:$C$65,0),$D$12),"")</f>
        <v/>
      </c>
      <c r="FN25" s="236" t="str">
        <f>IF(_xlfn.XLOOKUP(FN$14,TableStormwater['#],TableStormwater[Waste disposal - type of waste (if applicable)])&lt;&gt;"",_xlfn.XLOOKUP(FN$14,TableStormwater['#],TableStormwater[Waste disposal - type of waste (if applicable)]),"")</f>
        <v/>
      </c>
      <c r="FO25" s="161" t="str" cm="1">
        <f t="array" ref="FO25">IFERROR(INDEX('Variable index'!$E$57:$F$65,MATCH(FN$25,'Variable index'!$C$57:$C$65,0),$D$12),"")</f>
        <v/>
      </c>
      <c r="FR25" s="236" t="str">
        <f>IF(_xlfn.XLOOKUP(FR$14,TableStormwater['#],TableStormwater[Waste disposal - type of waste (if applicable)])&lt;&gt;"",_xlfn.XLOOKUP(FR$14,TableStormwater['#],TableStormwater[Waste disposal - type of waste (if applicable)]),"")</f>
        <v/>
      </c>
      <c r="FS25" s="161" t="str" cm="1">
        <f t="array" ref="FS25">IFERROR(INDEX('Variable index'!$E$57:$F$65,MATCH(FR$25,'Variable index'!$C$57:$C$65,0),$D$12),"")</f>
        <v/>
      </c>
      <c r="FV25" s="236" t="str">
        <f>IF(_xlfn.XLOOKUP(FV$14,TableStormwater['#],TableStormwater[Waste disposal - type of waste (if applicable)])&lt;&gt;"",_xlfn.XLOOKUP(FV$14,TableStormwater['#],TableStormwater[Waste disposal - type of waste (if applicable)]),"")</f>
        <v/>
      </c>
      <c r="FW25" s="161" t="str" cm="1">
        <f t="array" ref="FW25">IFERROR(INDEX('Variable index'!$E$57:$F$65,MATCH(FV$25,'Variable index'!$C$57:$C$65,0),$D$12),"")</f>
        <v/>
      </c>
      <c r="FZ25" s="236" t="str">
        <f>IF(_xlfn.XLOOKUP(FZ$14,TableStormwater['#],TableStormwater[Waste disposal - type of waste (if applicable)])&lt;&gt;"",_xlfn.XLOOKUP(FZ$14,TableStormwater['#],TableStormwater[Waste disposal - type of waste (if applicable)]),"")</f>
        <v/>
      </c>
      <c r="GA25" s="161" t="str" cm="1">
        <f t="array" ref="GA25">IFERROR(INDEX('Variable index'!$E$57:$F$65,MATCH(FZ$25,'Variable index'!$C$57:$C$65,0),$D$12),"")</f>
        <v/>
      </c>
      <c r="GD25" s="236" t="str">
        <f>IF(_xlfn.XLOOKUP(GD$14,TableStormwater['#],TableStormwater[Waste disposal - type of waste (if applicable)])&lt;&gt;"",_xlfn.XLOOKUP(GD$14,TableStormwater['#],TableStormwater[Waste disposal - type of waste (if applicable)]),"")</f>
        <v/>
      </c>
      <c r="GE25" s="161" t="str" cm="1">
        <f t="array" ref="GE25">IFERROR(INDEX('Variable index'!$E$57:$F$65,MATCH(GD$25,'Variable index'!$C$57:$C$65,0),$D$12),"")</f>
        <v/>
      </c>
      <c r="GH25" s="236" t="str">
        <f>IF(_xlfn.XLOOKUP(GH$14,TableStormwater['#],TableStormwater[Waste disposal - type of waste (if applicable)])&lt;&gt;"",_xlfn.XLOOKUP(GH$14,TableStormwater['#],TableStormwater[Waste disposal - type of waste (if applicable)]),"")</f>
        <v/>
      </c>
      <c r="GI25" s="161" t="str" cm="1">
        <f t="array" ref="GI25">IFERROR(INDEX('Variable index'!$E$57:$F$65,MATCH(GH$25,'Variable index'!$C$57:$C$65,0),$D$12),"")</f>
        <v/>
      </c>
      <c r="GL25" s="236" t="str">
        <f>IF(_xlfn.XLOOKUP(GL$14,TableStormwater['#],TableStormwater[Waste disposal - type of waste (if applicable)])&lt;&gt;"",_xlfn.XLOOKUP(GL$14,TableStormwater['#],TableStormwater[Waste disposal - type of waste (if applicable)]),"")</f>
        <v/>
      </c>
      <c r="GM25" s="161" t="str" cm="1">
        <f t="array" ref="GM25">IFERROR(INDEX('Variable index'!$E$57:$F$65,MATCH(GL$25,'Variable index'!$C$57:$C$65,0),$D$12),"")</f>
        <v/>
      </c>
      <c r="GP25" s="236" t="str">
        <f>IF(_xlfn.XLOOKUP(GP$14,TableStormwater['#],TableStormwater[Waste disposal - type of waste (if applicable)])&lt;&gt;"",_xlfn.XLOOKUP(GP$14,TableStormwater['#],TableStormwater[Waste disposal - type of waste (if applicable)]),"")</f>
        <v/>
      </c>
      <c r="GQ25" s="161" t="str" cm="1">
        <f t="array" ref="GQ25">IFERROR(INDEX('Variable index'!$E$57:$F$65,MATCH(GP$25,'Variable index'!$C$57:$C$65,0),$D$12),"")</f>
        <v/>
      </c>
      <c r="GT25" s="236" t="str">
        <f>IF(_xlfn.XLOOKUP(GT$14,TableStormwater['#],TableStormwater[Waste disposal - type of waste (if applicable)])&lt;&gt;"",_xlfn.XLOOKUP(GT$14,TableStormwater['#],TableStormwater[Waste disposal - type of waste (if applicable)]),"")</f>
        <v/>
      </c>
      <c r="GU25" s="161" t="str" cm="1">
        <f t="array" ref="GU25">IFERROR(INDEX('Variable index'!$E$57:$F$65,MATCH(GT$25,'Variable index'!$C$57:$C$65,0),$D$12),"")</f>
        <v/>
      </c>
    </row>
    <row r="26" spans="4:204" x14ac:dyDescent="0.2">
      <c r="D26" t="s">
        <v>154</v>
      </c>
      <c r="F26" s="233" t="str">
        <f>IF(_xlfn.XLOOKUP(F$14,TableStormwater['#],TableStormwater[Waste disposal quantity (in tonnes)])&lt;&gt;"",_xlfn.XLOOKUP(F$14,TableStormwater['#],TableStormwater[Waste disposal quantity (in tonnes)]),"")</f>
        <v/>
      </c>
      <c r="H26" s="168" t="str">
        <f>IFERROR(G25*F26,"")</f>
        <v/>
      </c>
      <c r="J26" s="233" t="str">
        <f>IF(_xlfn.XLOOKUP(J$14,TableStormwater['#],TableStormwater[Waste disposal quantity (in tonnes)])&lt;&gt;"",_xlfn.XLOOKUP(J$14,TableStormwater['#],TableStormwater[Waste disposal quantity (in tonnes)]),"")</f>
        <v/>
      </c>
      <c r="L26" s="168" t="str">
        <f>IFERROR(K25*J26,"")</f>
        <v/>
      </c>
      <c r="N26" s="233" t="str">
        <f>IF(_xlfn.XLOOKUP(N$14,TableStormwater['#],TableStormwater[Waste disposal quantity (in tonnes)])&lt;&gt;"",_xlfn.XLOOKUP(N$14,TableStormwater['#],TableStormwater[Waste disposal quantity (in tonnes)]),"")</f>
        <v/>
      </c>
      <c r="P26" s="168" t="str">
        <f>IFERROR(O25*N26,"")</f>
        <v/>
      </c>
      <c r="R26" s="233" t="str">
        <f>IF(_xlfn.XLOOKUP(R$14,TableStormwater['#],TableStormwater[Waste disposal quantity (in tonnes)])&lt;&gt;"",_xlfn.XLOOKUP(R$14,TableStormwater['#],TableStormwater[Waste disposal quantity (in tonnes)]),"")</f>
        <v/>
      </c>
      <c r="T26" s="168" t="str">
        <f>IFERROR(S25*R26,"")</f>
        <v/>
      </c>
      <c r="V26" s="233" t="str">
        <f>IF(_xlfn.XLOOKUP(V$14,TableStormwater['#],TableStormwater[Waste disposal quantity (in tonnes)])&lt;&gt;"",_xlfn.XLOOKUP(V$14,TableStormwater['#],TableStormwater[Waste disposal quantity (in tonnes)]),"")</f>
        <v/>
      </c>
      <c r="X26" s="168" t="str">
        <f>IFERROR(W25*V26,"")</f>
        <v/>
      </c>
      <c r="Z26" s="233" t="str">
        <f>IF(_xlfn.XLOOKUP(Z$14,TableStormwater['#],TableStormwater[Waste disposal quantity (in tonnes)])&lt;&gt;"",_xlfn.XLOOKUP(Z$14,TableStormwater['#],TableStormwater[Waste disposal quantity (in tonnes)]),"")</f>
        <v/>
      </c>
      <c r="AB26" s="168" t="str">
        <f>IFERROR(AA25*Z26,"")</f>
        <v/>
      </c>
      <c r="AD26" s="233" t="str">
        <f>IF(_xlfn.XLOOKUP(AD$14,TableStormwater['#],TableStormwater[Waste disposal quantity (in tonnes)])&lt;&gt;"",_xlfn.XLOOKUP(AD$14,TableStormwater['#],TableStormwater[Waste disposal quantity (in tonnes)]),"")</f>
        <v/>
      </c>
      <c r="AF26" s="168" t="str">
        <f>IFERROR(AE25*AD26,"")</f>
        <v/>
      </c>
      <c r="AH26" s="233" t="str">
        <f>IF(_xlfn.XLOOKUP(AH$14,TableStormwater['#],TableStormwater[Waste disposal quantity (in tonnes)])&lt;&gt;"",_xlfn.XLOOKUP(AH$14,TableStormwater['#],TableStormwater[Waste disposal quantity (in tonnes)]),"")</f>
        <v/>
      </c>
      <c r="AJ26" s="168" t="str">
        <f>IFERROR(AI25*AH26,"")</f>
        <v/>
      </c>
      <c r="AL26" s="233" t="str">
        <f>IF(_xlfn.XLOOKUP(AL$14,TableStormwater['#],TableStormwater[Waste disposal quantity (in tonnes)])&lt;&gt;"",_xlfn.XLOOKUP(AL$14,TableStormwater['#],TableStormwater[Waste disposal quantity (in tonnes)]),"")</f>
        <v/>
      </c>
      <c r="AN26" s="168" t="str">
        <f>IFERROR(AM25*AL26,"")</f>
        <v/>
      </c>
      <c r="AP26" s="233" t="str">
        <f>IF(_xlfn.XLOOKUP(AP$14,TableStormwater['#],TableStormwater[Waste disposal quantity (in tonnes)])&lt;&gt;"",_xlfn.XLOOKUP(AP$14,TableStormwater['#],TableStormwater[Waste disposal quantity (in tonnes)]),"")</f>
        <v/>
      </c>
      <c r="AR26" s="168" t="str">
        <f>IFERROR(AQ25*AP26,"")</f>
        <v/>
      </c>
      <c r="AT26" s="233" t="str">
        <f>IF(_xlfn.XLOOKUP(AT$14,TableStormwater['#],TableStormwater[Waste disposal quantity (in tonnes)])&lt;&gt;"",_xlfn.XLOOKUP(AT$14,TableStormwater['#],TableStormwater[Waste disposal quantity (in tonnes)]),"")</f>
        <v/>
      </c>
      <c r="AV26" s="168" t="str">
        <f>IFERROR(AU25*AT26,"")</f>
        <v/>
      </c>
      <c r="AX26" s="233" t="str">
        <f>IF(_xlfn.XLOOKUP(AX$14,TableStormwater['#],TableStormwater[Waste disposal quantity (in tonnes)])&lt;&gt;"",_xlfn.XLOOKUP(AX$14,TableStormwater['#],TableStormwater[Waste disposal quantity (in tonnes)]),"")</f>
        <v/>
      </c>
      <c r="AZ26" s="168" t="str">
        <f>IFERROR(AY25*AX26,"")</f>
        <v/>
      </c>
      <c r="BB26" s="233" t="str">
        <f>IF(_xlfn.XLOOKUP(BB$14,TableStormwater['#],TableStormwater[Waste disposal quantity (in tonnes)])&lt;&gt;"",_xlfn.XLOOKUP(BB$14,TableStormwater['#],TableStormwater[Waste disposal quantity (in tonnes)]),"")</f>
        <v/>
      </c>
      <c r="BD26" s="168" t="str">
        <f>IFERROR(BC25*BB26,"")</f>
        <v/>
      </c>
      <c r="BF26" s="233" t="str">
        <f>IF(_xlfn.XLOOKUP(BF$14,TableStormwater['#],TableStormwater[Waste disposal quantity (in tonnes)])&lt;&gt;"",_xlfn.XLOOKUP(BF$14,TableStormwater['#],TableStormwater[Waste disposal quantity (in tonnes)]),"")</f>
        <v/>
      </c>
      <c r="BH26" s="168" t="str">
        <f>IFERROR(BG25*BF26,"")</f>
        <v/>
      </c>
      <c r="BJ26" s="233" t="str">
        <f>IF(_xlfn.XLOOKUP(BJ$14,TableStormwater['#],TableStormwater[Waste disposal quantity (in tonnes)])&lt;&gt;"",_xlfn.XLOOKUP(BJ$14,TableStormwater['#],TableStormwater[Waste disposal quantity (in tonnes)]),"")</f>
        <v/>
      </c>
      <c r="BL26" s="168" t="str">
        <f>IFERROR(BK25*BJ26,"")</f>
        <v/>
      </c>
      <c r="BN26" s="233" t="str">
        <f>IF(_xlfn.XLOOKUP(BN$14,TableStormwater['#],TableStormwater[Waste disposal quantity (in tonnes)])&lt;&gt;"",_xlfn.XLOOKUP(BN$14,TableStormwater['#],TableStormwater[Waste disposal quantity (in tonnes)]),"")</f>
        <v/>
      </c>
      <c r="BP26" s="168" t="str">
        <f>IFERROR(BO25*BN26,"")</f>
        <v/>
      </c>
      <c r="BR26" s="233" t="str">
        <f>IF(_xlfn.XLOOKUP(BR$14,TableStormwater['#],TableStormwater[Waste disposal quantity (in tonnes)])&lt;&gt;"",_xlfn.XLOOKUP(BR$14,TableStormwater['#],TableStormwater[Waste disposal quantity (in tonnes)]),"")</f>
        <v/>
      </c>
      <c r="BT26" s="168" t="str">
        <f>IFERROR(BS25*BR26,"")</f>
        <v/>
      </c>
      <c r="BV26" s="233" t="str">
        <f>IF(_xlfn.XLOOKUP(BV$14,TableStormwater['#],TableStormwater[Waste disposal quantity (in tonnes)])&lt;&gt;"",_xlfn.XLOOKUP(BV$14,TableStormwater['#],TableStormwater[Waste disposal quantity (in tonnes)]),"")</f>
        <v/>
      </c>
      <c r="BX26" s="168" t="str">
        <f>IFERROR(BW25*BV26,"")</f>
        <v/>
      </c>
      <c r="BZ26" s="233" t="str">
        <f>IF(_xlfn.XLOOKUP(BZ$14,TableStormwater['#],TableStormwater[Waste disposal quantity (in tonnes)])&lt;&gt;"",_xlfn.XLOOKUP(BZ$14,TableStormwater['#],TableStormwater[Waste disposal quantity (in tonnes)]),"")</f>
        <v/>
      </c>
      <c r="CB26" s="168" t="str">
        <f>IFERROR(CA25*BZ26,"")</f>
        <v/>
      </c>
      <c r="CD26" s="233" t="str">
        <f>IF(_xlfn.XLOOKUP(CD$14,TableStormwater['#],TableStormwater[Waste disposal quantity (in tonnes)])&lt;&gt;"",_xlfn.XLOOKUP(CD$14,TableStormwater['#],TableStormwater[Waste disposal quantity (in tonnes)]),"")</f>
        <v/>
      </c>
      <c r="CF26" s="168" t="str">
        <f>IFERROR(CE25*CD26,"")</f>
        <v/>
      </c>
      <c r="CH26" s="233" t="str">
        <f>IF(_xlfn.XLOOKUP(CH$14,TableStormwater['#],TableStormwater[Waste disposal quantity (in tonnes)])&lt;&gt;"",_xlfn.XLOOKUP(CH$14,TableStormwater['#],TableStormwater[Waste disposal quantity (in tonnes)]),"")</f>
        <v/>
      </c>
      <c r="CJ26" s="168" t="str">
        <f>IFERROR(CI25*CH26,"")</f>
        <v/>
      </c>
      <c r="CL26" s="233" t="str">
        <f>IF(_xlfn.XLOOKUP(CL$14,TableStormwater['#],TableStormwater[Waste disposal quantity (in tonnes)])&lt;&gt;"",_xlfn.XLOOKUP(CL$14,TableStormwater['#],TableStormwater[Waste disposal quantity (in tonnes)]),"")</f>
        <v/>
      </c>
      <c r="CN26" s="168" t="str">
        <f>IFERROR(CM25*CL26,"")</f>
        <v/>
      </c>
      <c r="CP26" s="233" t="str">
        <f>IF(_xlfn.XLOOKUP(CP$14,TableStormwater['#],TableStormwater[Waste disposal quantity (in tonnes)])&lt;&gt;"",_xlfn.XLOOKUP(CP$14,TableStormwater['#],TableStormwater[Waste disposal quantity (in tonnes)]),"")</f>
        <v/>
      </c>
      <c r="CR26" s="168" t="str">
        <f>IFERROR(CQ25*CP26,"")</f>
        <v/>
      </c>
      <c r="CT26" s="233" t="str">
        <f>IF(_xlfn.XLOOKUP(CT$14,TableStormwater['#],TableStormwater[Waste disposal quantity (in tonnes)])&lt;&gt;"",_xlfn.XLOOKUP(CT$14,TableStormwater['#],TableStormwater[Waste disposal quantity (in tonnes)]),"")</f>
        <v/>
      </c>
      <c r="CV26" s="168" t="str">
        <f>IFERROR(CU25*CT26,"")</f>
        <v/>
      </c>
      <c r="CX26" s="233" t="str">
        <f>IF(_xlfn.XLOOKUP(CX$14,TableStormwater['#],TableStormwater[Waste disposal quantity (in tonnes)])&lt;&gt;"",_xlfn.XLOOKUP(CX$14,TableStormwater['#],TableStormwater[Waste disposal quantity (in tonnes)]),"")</f>
        <v/>
      </c>
      <c r="CZ26" s="168" t="str">
        <f>IFERROR(CY25*CX26,"")</f>
        <v/>
      </c>
      <c r="DB26" s="233" t="str">
        <f>IF(_xlfn.XLOOKUP(DB$14,TableStormwater['#],TableStormwater[Waste disposal quantity (in tonnes)])&lt;&gt;"",_xlfn.XLOOKUP(DB$14,TableStormwater['#],TableStormwater[Waste disposal quantity (in tonnes)]),"")</f>
        <v/>
      </c>
      <c r="DD26" s="168" t="str">
        <f>IFERROR(DC25*DB26,"")</f>
        <v/>
      </c>
      <c r="DF26" s="233" t="str">
        <f>IF(_xlfn.XLOOKUP(DF$14,TableStormwater['#],TableStormwater[Waste disposal quantity (in tonnes)])&lt;&gt;"",_xlfn.XLOOKUP(DF$14,TableStormwater['#],TableStormwater[Waste disposal quantity (in tonnes)]),"")</f>
        <v/>
      </c>
      <c r="DH26" s="168" t="str">
        <f>IFERROR(DG25*DF26,"")</f>
        <v/>
      </c>
      <c r="DJ26" s="233" t="str">
        <f>IF(_xlfn.XLOOKUP(DJ$14,TableStormwater['#],TableStormwater[Waste disposal quantity (in tonnes)])&lt;&gt;"",_xlfn.XLOOKUP(DJ$14,TableStormwater['#],TableStormwater[Waste disposal quantity (in tonnes)]),"")</f>
        <v/>
      </c>
      <c r="DL26" s="168" t="str">
        <f>IFERROR(DK25*DJ26,"")</f>
        <v/>
      </c>
      <c r="DN26" s="233" t="str">
        <f>IF(_xlfn.XLOOKUP(DN$14,TableStormwater['#],TableStormwater[Waste disposal quantity (in tonnes)])&lt;&gt;"",_xlfn.XLOOKUP(DN$14,TableStormwater['#],TableStormwater[Waste disposal quantity (in tonnes)]),"")</f>
        <v/>
      </c>
      <c r="DP26" s="168" t="str">
        <f>IFERROR(DO25*DN26,"")</f>
        <v/>
      </c>
      <c r="DR26" s="233" t="str">
        <f>IF(_xlfn.XLOOKUP(DR$14,TableStormwater['#],TableStormwater[Waste disposal quantity (in tonnes)])&lt;&gt;"",_xlfn.XLOOKUP(DR$14,TableStormwater['#],TableStormwater[Waste disposal quantity (in tonnes)]),"")</f>
        <v/>
      </c>
      <c r="DT26" s="168" t="str">
        <f>IFERROR(DS25*DR26,"")</f>
        <v/>
      </c>
      <c r="DV26" s="233" t="str">
        <f>IF(_xlfn.XLOOKUP(DV$14,TableStormwater['#],TableStormwater[Waste disposal quantity (in tonnes)])&lt;&gt;"",_xlfn.XLOOKUP(DV$14,TableStormwater['#],TableStormwater[Waste disposal quantity (in tonnes)]),"")</f>
        <v/>
      </c>
      <c r="DX26" s="168" t="str">
        <f>IFERROR(DW25*DV26,"")</f>
        <v/>
      </c>
      <c r="DZ26" s="233" t="str">
        <f>IF(_xlfn.XLOOKUP(DZ$14,TableStormwater['#],TableStormwater[Waste disposal quantity (in tonnes)])&lt;&gt;"",_xlfn.XLOOKUP(DZ$14,TableStormwater['#],TableStormwater[Waste disposal quantity (in tonnes)]),"")</f>
        <v/>
      </c>
      <c r="EB26" s="168" t="str">
        <f>IFERROR(EA25*DZ26,"")</f>
        <v/>
      </c>
      <c r="ED26" s="233" t="str">
        <f>IF(_xlfn.XLOOKUP(ED$14,TableStormwater['#],TableStormwater[Waste disposal quantity (in tonnes)])&lt;&gt;"",_xlfn.XLOOKUP(ED$14,TableStormwater['#],TableStormwater[Waste disposal quantity (in tonnes)]),"")</f>
        <v/>
      </c>
      <c r="EF26" s="168" t="str">
        <f>IFERROR(EE25*ED26,"")</f>
        <v/>
      </c>
      <c r="EH26" s="233" t="str">
        <f>IF(_xlfn.XLOOKUP(EH$14,TableStormwater['#],TableStormwater[Waste disposal quantity (in tonnes)])&lt;&gt;"",_xlfn.XLOOKUP(EH$14,TableStormwater['#],TableStormwater[Waste disposal quantity (in tonnes)]),"")</f>
        <v/>
      </c>
      <c r="EJ26" s="168" t="str">
        <f>IFERROR(EI25*EH26,"")</f>
        <v/>
      </c>
      <c r="EL26" s="233" t="str">
        <f>IF(_xlfn.XLOOKUP(EL$14,TableStormwater['#],TableStormwater[Waste disposal quantity (in tonnes)])&lt;&gt;"",_xlfn.XLOOKUP(EL$14,TableStormwater['#],TableStormwater[Waste disposal quantity (in tonnes)]),"")</f>
        <v/>
      </c>
      <c r="EN26" s="168" t="str">
        <f>IFERROR(EM25*EL26,"")</f>
        <v/>
      </c>
      <c r="EP26" s="233" t="str">
        <f>IF(_xlfn.XLOOKUP(EP$14,TableStormwater['#],TableStormwater[Waste disposal quantity (in tonnes)])&lt;&gt;"",_xlfn.XLOOKUP(EP$14,TableStormwater['#],TableStormwater[Waste disposal quantity (in tonnes)]),"")</f>
        <v/>
      </c>
      <c r="ER26" s="168" t="str">
        <f>IFERROR(EQ25*EP26,"")</f>
        <v/>
      </c>
      <c r="ET26" s="233" t="str">
        <f>IF(_xlfn.XLOOKUP(ET$14,TableStormwater['#],TableStormwater[Waste disposal quantity (in tonnes)])&lt;&gt;"",_xlfn.XLOOKUP(ET$14,TableStormwater['#],TableStormwater[Waste disposal quantity (in tonnes)]),"")</f>
        <v/>
      </c>
      <c r="EV26" s="168" t="str">
        <f>IFERROR(EU25*ET26,"")</f>
        <v/>
      </c>
      <c r="EX26" s="233" t="str">
        <f>IF(_xlfn.XLOOKUP(EX$14,TableStormwater['#],TableStormwater[Waste disposal quantity (in tonnes)])&lt;&gt;"",_xlfn.XLOOKUP(EX$14,TableStormwater['#],TableStormwater[Waste disposal quantity (in tonnes)]),"")</f>
        <v/>
      </c>
      <c r="EZ26" s="168" t="str">
        <f>IFERROR(EY25*EX26,"")</f>
        <v/>
      </c>
      <c r="FB26" s="233" t="str">
        <f>IF(_xlfn.XLOOKUP(FB$14,TableStormwater['#],TableStormwater[Waste disposal quantity (in tonnes)])&lt;&gt;"",_xlfn.XLOOKUP(FB$14,TableStormwater['#],TableStormwater[Waste disposal quantity (in tonnes)]),"")</f>
        <v/>
      </c>
      <c r="FD26" s="168" t="str">
        <f>IFERROR(FC25*FB26,"")</f>
        <v/>
      </c>
      <c r="FF26" s="233" t="str">
        <f>IF(_xlfn.XLOOKUP(FF$14,TableStormwater['#],TableStormwater[Waste disposal quantity (in tonnes)])&lt;&gt;"",_xlfn.XLOOKUP(FF$14,TableStormwater['#],TableStormwater[Waste disposal quantity (in tonnes)]),"")</f>
        <v/>
      </c>
      <c r="FH26" s="168" t="str">
        <f>IFERROR(FG25*FF26,"")</f>
        <v/>
      </c>
      <c r="FJ26" s="233" t="str">
        <f>IF(_xlfn.XLOOKUP(FJ$14,TableStormwater['#],TableStormwater[Waste disposal quantity (in tonnes)])&lt;&gt;"",_xlfn.XLOOKUP(FJ$14,TableStormwater['#],TableStormwater[Waste disposal quantity (in tonnes)]),"")</f>
        <v/>
      </c>
      <c r="FL26" s="168" t="str">
        <f>IFERROR(FK25*FJ26,"")</f>
        <v/>
      </c>
      <c r="FN26" s="233" t="str">
        <f>IF(_xlfn.XLOOKUP(FN$14,TableStormwater['#],TableStormwater[Waste disposal quantity (in tonnes)])&lt;&gt;"",_xlfn.XLOOKUP(FN$14,TableStormwater['#],TableStormwater[Waste disposal quantity (in tonnes)]),"")</f>
        <v/>
      </c>
      <c r="FP26" s="168" t="str">
        <f>IFERROR(FO25*FN26,"")</f>
        <v/>
      </c>
      <c r="FR26" s="233" t="str">
        <f>IF(_xlfn.XLOOKUP(FR$14,TableStormwater['#],TableStormwater[Waste disposal quantity (in tonnes)])&lt;&gt;"",_xlfn.XLOOKUP(FR$14,TableStormwater['#],TableStormwater[Waste disposal quantity (in tonnes)]),"")</f>
        <v/>
      </c>
      <c r="FT26" s="168" t="str">
        <f>IFERROR(FS25*FR26,"")</f>
        <v/>
      </c>
      <c r="FV26" s="233" t="str">
        <f>IF(_xlfn.XLOOKUP(FV$14,TableStormwater['#],TableStormwater[Waste disposal quantity (in tonnes)])&lt;&gt;"",_xlfn.XLOOKUP(FV$14,TableStormwater['#],TableStormwater[Waste disposal quantity (in tonnes)]),"")</f>
        <v/>
      </c>
      <c r="FX26" s="168" t="str">
        <f>IFERROR(FW25*FV26,"")</f>
        <v/>
      </c>
      <c r="FZ26" s="233" t="str">
        <f>IF(_xlfn.XLOOKUP(FZ$14,TableStormwater['#],TableStormwater[Waste disposal quantity (in tonnes)])&lt;&gt;"",_xlfn.XLOOKUP(FZ$14,TableStormwater['#],TableStormwater[Waste disposal quantity (in tonnes)]),"")</f>
        <v/>
      </c>
      <c r="GB26" s="168" t="str">
        <f>IFERROR(GA25*FZ26,"")</f>
        <v/>
      </c>
      <c r="GD26" s="233" t="str">
        <f>IF(_xlfn.XLOOKUP(GD$14,TableStormwater['#],TableStormwater[Waste disposal quantity (in tonnes)])&lt;&gt;"",_xlfn.XLOOKUP(GD$14,TableStormwater['#],TableStormwater[Waste disposal quantity (in tonnes)]),"")</f>
        <v/>
      </c>
      <c r="GF26" s="168" t="str">
        <f>IFERROR(GE25*GD26,"")</f>
        <v/>
      </c>
      <c r="GH26" s="233" t="str">
        <f>IF(_xlfn.XLOOKUP(GH$14,TableStormwater['#],TableStormwater[Waste disposal quantity (in tonnes)])&lt;&gt;"",_xlfn.XLOOKUP(GH$14,TableStormwater['#],TableStormwater[Waste disposal quantity (in tonnes)]),"")</f>
        <v/>
      </c>
      <c r="GJ26" s="168" t="str">
        <f>IFERROR(GI25*GH26,"")</f>
        <v/>
      </c>
      <c r="GL26" s="233" t="str">
        <f>IF(_xlfn.XLOOKUP(GL$14,TableStormwater['#],TableStormwater[Waste disposal quantity (in tonnes)])&lt;&gt;"",_xlfn.XLOOKUP(GL$14,TableStormwater['#],TableStormwater[Waste disposal quantity (in tonnes)]),"")</f>
        <v/>
      </c>
      <c r="GN26" s="168" t="str">
        <f>IFERROR(GM25*GL26,"")</f>
        <v/>
      </c>
      <c r="GP26" s="233" t="str">
        <f>IF(_xlfn.XLOOKUP(GP$14,TableStormwater['#],TableStormwater[Waste disposal quantity (in tonnes)])&lt;&gt;"",_xlfn.XLOOKUP(GP$14,TableStormwater['#],TableStormwater[Waste disposal quantity (in tonnes)]),"")</f>
        <v/>
      </c>
      <c r="GR26" s="168" t="str">
        <f>IFERROR(GQ25*GP26,"")</f>
        <v/>
      </c>
      <c r="GT26" s="233" t="str">
        <f>IF(_xlfn.XLOOKUP(GT$14,TableStormwater['#],TableStormwater[Waste disposal quantity (in tonnes)])&lt;&gt;"",_xlfn.XLOOKUP(GT$14,TableStormwater['#],TableStormwater[Waste disposal quantity (in tonnes)]),"")</f>
        <v/>
      </c>
      <c r="GV26" s="168" t="str">
        <f>IFERROR(GU25*GT26,"")</f>
        <v/>
      </c>
    </row>
    <row r="27" spans="4:204" x14ac:dyDescent="0.2">
      <c r="D27" t="s">
        <v>155</v>
      </c>
      <c r="F27" s="236" t="str">
        <f>IF(_xlfn.XLOOKUP(F$14,TableStormwater['#],TableStormwater[Contaminated land remediation (if applicable)])&lt;&gt;"",_xlfn.XLOOKUP(F$14,TableStormwater['#],TableStormwater[Contaminated land remediation (if applicable)]),"")</f>
        <v/>
      </c>
      <c r="G27" s="161" t="str" cm="1">
        <f t="array" ref="G27">IFERROR(INDEX('Variable index'!$E$68:$F$73,MATCH(F$27,'Variable index'!$C$68:$C$73,0),$D$12),"")</f>
        <v/>
      </c>
      <c r="J27" s="236" t="str">
        <f>IF(_xlfn.XLOOKUP(J$14,TableStormwater['#],TableStormwater[Contaminated land remediation (if applicable)])&lt;&gt;"",_xlfn.XLOOKUP(J$14,TableStormwater['#],TableStormwater[Contaminated land remediation (if applicable)]),"")</f>
        <v/>
      </c>
      <c r="K27" s="161" t="str" cm="1">
        <f t="array" ref="K27">IFERROR(INDEX('Variable index'!$E$68:$F$73,MATCH(J$27,'Variable index'!$C$68:$C$73,0),$D$12),"")</f>
        <v/>
      </c>
      <c r="N27" s="236" t="str">
        <f>IF(_xlfn.XLOOKUP(N$14,TableStormwater['#],TableStormwater[Contaminated land remediation (if applicable)])&lt;&gt;"",_xlfn.XLOOKUP(N$14,TableStormwater['#],TableStormwater[Contaminated land remediation (if applicable)]),"")</f>
        <v/>
      </c>
      <c r="O27" s="161" t="str" cm="1">
        <f t="array" ref="O27">IFERROR(INDEX('Variable index'!$E$68:$F$73,MATCH(N$27,'Variable index'!$C$68:$C$73,0),$D$12),"")</f>
        <v/>
      </c>
      <c r="R27" s="236" t="str">
        <f>IF(_xlfn.XLOOKUP(R$14,TableStormwater['#],TableStormwater[Contaminated land remediation (if applicable)])&lt;&gt;"",_xlfn.XLOOKUP(R$14,TableStormwater['#],TableStormwater[Contaminated land remediation (if applicable)]),"")</f>
        <v/>
      </c>
      <c r="S27" s="161" t="str" cm="1">
        <f t="array" ref="S27">IFERROR(INDEX('Variable index'!$E$68:$F$73,MATCH(R$27,'Variable index'!$C$68:$C$73,0),$D$12),"")</f>
        <v/>
      </c>
      <c r="V27" s="236" t="str">
        <f>IF(_xlfn.XLOOKUP(V$14,TableStormwater['#],TableStormwater[Contaminated land remediation (if applicable)])&lt;&gt;"",_xlfn.XLOOKUP(V$14,TableStormwater['#],TableStormwater[Contaminated land remediation (if applicable)]),"")</f>
        <v/>
      </c>
      <c r="W27" s="161" t="str" cm="1">
        <f t="array" ref="W27">IFERROR(INDEX('Variable index'!$E$68:$F$73,MATCH(V$27,'Variable index'!$C$68:$C$73,0),$D$12),"")</f>
        <v/>
      </c>
      <c r="Z27" s="236" t="str">
        <f>IF(_xlfn.XLOOKUP(Z$14,TableStormwater['#],TableStormwater[Contaminated land remediation (if applicable)])&lt;&gt;"",_xlfn.XLOOKUP(Z$14,TableStormwater['#],TableStormwater[Contaminated land remediation (if applicable)]),"")</f>
        <v/>
      </c>
      <c r="AA27" s="161" t="str" cm="1">
        <f t="array" ref="AA27">IFERROR(INDEX('Variable index'!$E$68:$F$73,MATCH(Z$27,'Variable index'!$C$68:$C$73,0),$D$12),"")</f>
        <v/>
      </c>
      <c r="AD27" s="236" t="str">
        <f>IF(_xlfn.XLOOKUP(AD$14,TableStormwater['#],TableStormwater[Contaminated land remediation (if applicable)])&lt;&gt;"",_xlfn.XLOOKUP(AD$14,TableStormwater['#],TableStormwater[Contaminated land remediation (if applicable)]),"")</f>
        <v/>
      </c>
      <c r="AE27" s="161" t="str" cm="1">
        <f t="array" ref="AE27">IFERROR(INDEX('Variable index'!$E$68:$F$73,MATCH(AD$27,'Variable index'!$C$68:$C$73,0),$D$12),"")</f>
        <v/>
      </c>
      <c r="AH27" s="236" t="str">
        <f>IF(_xlfn.XLOOKUP(AH$14,TableStormwater['#],TableStormwater[Contaminated land remediation (if applicable)])&lt;&gt;"",_xlfn.XLOOKUP(AH$14,TableStormwater['#],TableStormwater[Contaminated land remediation (if applicable)]),"")</f>
        <v/>
      </c>
      <c r="AI27" s="161" t="str" cm="1">
        <f t="array" ref="AI27">IFERROR(INDEX('Variable index'!$E$68:$F$73,MATCH(AH$27,'Variable index'!$C$68:$C$73,0),$D$12),"")</f>
        <v/>
      </c>
      <c r="AL27" s="236" t="str">
        <f>IF(_xlfn.XLOOKUP(AL$14,TableStormwater['#],TableStormwater[Contaminated land remediation (if applicable)])&lt;&gt;"",_xlfn.XLOOKUP(AL$14,TableStormwater['#],TableStormwater[Contaminated land remediation (if applicable)]),"")</f>
        <v/>
      </c>
      <c r="AM27" s="161" t="str" cm="1">
        <f t="array" ref="AM27">IFERROR(INDEX('Variable index'!$E$68:$F$73,MATCH(AL$27,'Variable index'!$C$68:$C$73,0),$D$12),"")</f>
        <v/>
      </c>
      <c r="AP27" s="236" t="str">
        <f>IF(_xlfn.XLOOKUP(AP$14,TableStormwater['#],TableStormwater[Contaminated land remediation (if applicable)])&lt;&gt;"",_xlfn.XLOOKUP(AP$14,TableStormwater['#],TableStormwater[Contaminated land remediation (if applicable)]),"")</f>
        <v/>
      </c>
      <c r="AQ27" s="161" t="str" cm="1">
        <f t="array" ref="AQ27">IFERROR(INDEX('Variable index'!$E$68:$F$73,MATCH(AP$27,'Variable index'!$C$68:$C$73,0),$D$12),"")</f>
        <v/>
      </c>
      <c r="AT27" s="236" t="str">
        <f>IF(_xlfn.XLOOKUP(AT$14,TableStormwater['#],TableStormwater[Contaminated land remediation (if applicable)])&lt;&gt;"",_xlfn.XLOOKUP(AT$14,TableStormwater['#],TableStormwater[Contaminated land remediation (if applicable)]),"")</f>
        <v/>
      </c>
      <c r="AU27" s="161" t="str" cm="1">
        <f t="array" ref="AU27">IFERROR(INDEX('Variable index'!$E$68:$F$73,MATCH(AT$27,'Variable index'!$C$68:$C$73,0),$D$12),"")</f>
        <v/>
      </c>
      <c r="AX27" s="236" t="str">
        <f>IF(_xlfn.XLOOKUP(AX$14,TableStormwater['#],TableStormwater[Contaminated land remediation (if applicable)])&lt;&gt;"",_xlfn.XLOOKUP(AX$14,TableStormwater['#],TableStormwater[Contaminated land remediation (if applicable)]),"")</f>
        <v/>
      </c>
      <c r="AY27" s="161" t="str" cm="1">
        <f t="array" ref="AY27">IFERROR(INDEX('Variable index'!$E$68:$F$73,MATCH(AX$27,'Variable index'!$C$68:$C$73,0),$D$12),"")</f>
        <v/>
      </c>
      <c r="BB27" s="236" t="str">
        <f>IF(_xlfn.XLOOKUP(BB$14,TableStormwater['#],TableStormwater[Contaminated land remediation (if applicable)])&lt;&gt;"",_xlfn.XLOOKUP(BB$14,TableStormwater['#],TableStormwater[Contaminated land remediation (if applicable)]),"")</f>
        <v/>
      </c>
      <c r="BC27" s="161" t="str" cm="1">
        <f t="array" ref="BC27">IFERROR(INDEX('Variable index'!$E$68:$F$73,MATCH(BB$27,'Variable index'!$C$68:$C$73,0),$D$12),"")</f>
        <v/>
      </c>
      <c r="BF27" s="236" t="str">
        <f>IF(_xlfn.XLOOKUP(BF$14,TableStormwater['#],TableStormwater[Contaminated land remediation (if applicable)])&lt;&gt;"",_xlfn.XLOOKUP(BF$14,TableStormwater['#],TableStormwater[Contaminated land remediation (if applicable)]),"")</f>
        <v/>
      </c>
      <c r="BG27" s="161" t="str" cm="1">
        <f t="array" ref="BG27">IFERROR(INDEX('Variable index'!$E$68:$F$73,MATCH(BF$27,'Variable index'!$C$68:$C$73,0),$D$12),"")</f>
        <v/>
      </c>
      <c r="BJ27" s="236" t="str">
        <f>IF(_xlfn.XLOOKUP(BJ$14,TableStormwater['#],TableStormwater[Contaminated land remediation (if applicable)])&lt;&gt;"",_xlfn.XLOOKUP(BJ$14,TableStormwater['#],TableStormwater[Contaminated land remediation (if applicable)]),"")</f>
        <v/>
      </c>
      <c r="BK27" s="161" t="str" cm="1">
        <f t="array" ref="BK27">IFERROR(INDEX('Variable index'!$E$68:$F$73,MATCH(BJ$27,'Variable index'!$C$68:$C$73,0),$D$12),"")</f>
        <v/>
      </c>
      <c r="BN27" s="236" t="str">
        <f>IF(_xlfn.XLOOKUP(BN$14,TableStormwater['#],TableStormwater[Contaminated land remediation (if applicable)])&lt;&gt;"",_xlfn.XLOOKUP(BN$14,TableStormwater['#],TableStormwater[Contaminated land remediation (if applicable)]),"")</f>
        <v/>
      </c>
      <c r="BO27" s="161" t="str" cm="1">
        <f t="array" ref="BO27">IFERROR(INDEX('Variable index'!$E$68:$F$73,MATCH(BN$27,'Variable index'!$C$68:$C$73,0),$D$12),"")</f>
        <v/>
      </c>
      <c r="BR27" s="236" t="str">
        <f>IF(_xlfn.XLOOKUP(BR$14,TableStormwater['#],TableStormwater[Contaminated land remediation (if applicable)])&lt;&gt;"",_xlfn.XLOOKUP(BR$14,TableStormwater['#],TableStormwater[Contaminated land remediation (if applicable)]),"")</f>
        <v/>
      </c>
      <c r="BS27" s="161" t="str" cm="1">
        <f t="array" ref="BS27">IFERROR(INDEX('Variable index'!$E$68:$F$73,MATCH(BR$27,'Variable index'!$C$68:$C$73,0),$D$12),"")</f>
        <v/>
      </c>
      <c r="BV27" s="236" t="str">
        <f>IF(_xlfn.XLOOKUP(BV$14,TableStormwater['#],TableStormwater[Contaminated land remediation (if applicable)])&lt;&gt;"",_xlfn.XLOOKUP(BV$14,TableStormwater['#],TableStormwater[Contaminated land remediation (if applicable)]),"")</f>
        <v/>
      </c>
      <c r="BW27" s="161" t="str" cm="1">
        <f t="array" ref="BW27">IFERROR(INDEX('Variable index'!$E$68:$F$73,MATCH(BV$27,'Variable index'!$C$68:$C$73,0),$D$12),"")</f>
        <v/>
      </c>
      <c r="BZ27" s="236" t="str">
        <f>IF(_xlfn.XLOOKUP(BZ$14,TableStormwater['#],TableStormwater[Contaminated land remediation (if applicable)])&lt;&gt;"",_xlfn.XLOOKUP(BZ$14,TableStormwater['#],TableStormwater[Contaminated land remediation (if applicable)]),"")</f>
        <v/>
      </c>
      <c r="CA27" s="161" t="str" cm="1">
        <f t="array" ref="CA27">IFERROR(INDEX('Variable index'!$E$68:$F$73,MATCH(BZ$27,'Variable index'!$C$68:$C$73,0),$D$12),"")</f>
        <v/>
      </c>
      <c r="CD27" s="236" t="str">
        <f>IF(_xlfn.XLOOKUP(CD$14,TableStormwater['#],TableStormwater[Contaminated land remediation (if applicable)])&lt;&gt;"",_xlfn.XLOOKUP(CD$14,TableStormwater['#],TableStormwater[Contaminated land remediation (if applicable)]),"")</f>
        <v/>
      </c>
      <c r="CE27" s="161" t="str" cm="1">
        <f t="array" ref="CE27">IFERROR(INDEX('Variable index'!$E$68:$F$73,MATCH(CD$27,'Variable index'!$C$68:$C$73,0),$D$12),"")</f>
        <v/>
      </c>
      <c r="CH27" s="236" t="str">
        <f>IF(_xlfn.XLOOKUP(CH$14,TableStormwater['#],TableStormwater[Contaminated land remediation (if applicable)])&lt;&gt;"",_xlfn.XLOOKUP(CH$14,TableStormwater['#],TableStormwater[Contaminated land remediation (if applicable)]),"")</f>
        <v/>
      </c>
      <c r="CI27" s="161" t="str" cm="1">
        <f t="array" ref="CI27">IFERROR(INDEX('Variable index'!$E$68:$F$73,MATCH(CH$27,'Variable index'!$C$68:$C$73,0),$D$12),"")</f>
        <v/>
      </c>
      <c r="CL27" s="236" t="str">
        <f>IF(_xlfn.XLOOKUP(CL$14,TableStormwater['#],TableStormwater[Contaminated land remediation (if applicable)])&lt;&gt;"",_xlfn.XLOOKUP(CL$14,TableStormwater['#],TableStormwater[Contaminated land remediation (if applicable)]),"")</f>
        <v/>
      </c>
      <c r="CM27" s="161" t="str" cm="1">
        <f t="array" ref="CM27">IFERROR(INDEX('Variable index'!$E$68:$F$73,MATCH(CL$27,'Variable index'!$C$68:$C$73,0),$D$12),"")</f>
        <v/>
      </c>
      <c r="CP27" s="236" t="str">
        <f>IF(_xlfn.XLOOKUP(CP$14,TableStormwater['#],TableStormwater[Contaminated land remediation (if applicable)])&lt;&gt;"",_xlfn.XLOOKUP(CP$14,TableStormwater['#],TableStormwater[Contaminated land remediation (if applicable)]),"")</f>
        <v/>
      </c>
      <c r="CQ27" s="161" t="str" cm="1">
        <f t="array" ref="CQ27">IFERROR(INDEX('Variable index'!$E$68:$F$73,MATCH(CP$27,'Variable index'!$C$68:$C$73,0),$D$12),"")</f>
        <v/>
      </c>
      <c r="CT27" s="236" t="str">
        <f>IF(_xlfn.XLOOKUP(CT$14,TableStormwater['#],TableStormwater[Contaminated land remediation (if applicable)])&lt;&gt;"",_xlfn.XLOOKUP(CT$14,TableStormwater['#],TableStormwater[Contaminated land remediation (if applicable)]),"")</f>
        <v/>
      </c>
      <c r="CU27" s="161" t="str" cm="1">
        <f t="array" ref="CU27">IFERROR(INDEX('Variable index'!$E$68:$F$73,MATCH(CT$27,'Variable index'!$C$68:$C$73,0),$D$12),"")</f>
        <v/>
      </c>
      <c r="CX27" s="236" t="str">
        <f>IF(_xlfn.XLOOKUP(CX$14,TableStormwater['#],TableStormwater[Contaminated land remediation (if applicable)])&lt;&gt;"",_xlfn.XLOOKUP(CX$14,TableStormwater['#],TableStormwater[Contaminated land remediation (if applicable)]),"")</f>
        <v/>
      </c>
      <c r="CY27" s="161" t="str" cm="1">
        <f t="array" ref="CY27">IFERROR(INDEX('Variable index'!$E$68:$F$73,MATCH(CX$27,'Variable index'!$C$68:$C$73,0),$D$12),"")</f>
        <v/>
      </c>
      <c r="DB27" s="236" t="str">
        <f>IF(_xlfn.XLOOKUP(DB$14,TableStormwater['#],TableStormwater[Contaminated land remediation (if applicable)])&lt;&gt;"",_xlfn.XLOOKUP(DB$14,TableStormwater['#],TableStormwater[Contaminated land remediation (if applicable)]),"")</f>
        <v/>
      </c>
      <c r="DC27" s="161" t="str" cm="1">
        <f t="array" ref="DC27">IFERROR(INDEX('Variable index'!$E$68:$F$73,MATCH(DB$27,'Variable index'!$C$68:$C$73,0),$D$12),"")</f>
        <v/>
      </c>
      <c r="DF27" s="236" t="str">
        <f>IF(_xlfn.XLOOKUP(DF$14,TableStormwater['#],TableStormwater[Contaminated land remediation (if applicable)])&lt;&gt;"",_xlfn.XLOOKUP(DF$14,TableStormwater['#],TableStormwater[Contaminated land remediation (if applicable)]),"")</f>
        <v/>
      </c>
      <c r="DG27" s="161" t="str" cm="1">
        <f t="array" ref="DG27">IFERROR(INDEX('Variable index'!$E$68:$F$73,MATCH(DF$27,'Variable index'!$C$68:$C$73,0),$D$12),"")</f>
        <v/>
      </c>
      <c r="DJ27" s="236" t="str">
        <f>IF(_xlfn.XLOOKUP(DJ$14,TableStormwater['#],TableStormwater[Contaminated land remediation (if applicable)])&lt;&gt;"",_xlfn.XLOOKUP(DJ$14,TableStormwater['#],TableStormwater[Contaminated land remediation (if applicable)]),"")</f>
        <v/>
      </c>
      <c r="DK27" s="161" t="str" cm="1">
        <f t="array" ref="DK27">IFERROR(INDEX('Variable index'!$E$68:$F$73,MATCH(DJ$27,'Variable index'!$C$68:$C$73,0),$D$12),"")</f>
        <v/>
      </c>
      <c r="DN27" s="236" t="str">
        <f>IF(_xlfn.XLOOKUP(DN$14,TableStormwater['#],TableStormwater[Contaminated land remediation (if applicable)])&lt;&gt;"",_xlfn.XLOOKUP(DN$14,TableStormwater['#],TableStormwater[Contaminated land remediation (if applicable)]),"")</f>
        <v/>
      </c>
      <c r="DO27" s="161" t="str" cm="1">
        <f t="array" ref="DO27">IFERROR(INDEX('Variable index'!$E$68:$F$73,MATCH(DN$27,'Variable index'!$C$68:$C$73,0),$D$12),"")</f>
        <v/>
      </c>
      <c r="DR27" s="236" t="str">
        <f>IF(_xlfn.XLOOKUP(DR$14,TableStormwater['#],TableStormwater[Contaminated land remediation (if applicable)])&lt;&gt;"",_xlfn.XLOOKUP(DR$14,TableStormwater['#],TableStormwater[Contaminated land remediation (if applicable)]),"")</f>
        <v/>
      </c>
      <c r="DS27" s="161" t="str" cm="1">
        <f t="array" ref="DS27">IFERROR(INDEX('Variable index'!$E$68:$F$73,MATCH(DR$27,'Variable index'!$C$68:$C$73,0),$D$12),"")</f>
        <v/>
      </c>
      <c r="DV27" s="236" t="str">
        <f>IF(_xlfn.XLOOKUP(DV$14,TableStormwater['#],TableStormwater[Contaminated land remediation (if applicable)])&lt;&gt;"",_xlfn.XLOOKUP(DV$14,TableStormwater['#],TableStormwater[Contaminated land remediation (if applicable)]),"")</f>
        <v/>
      </c>
      <c r="DW27" s="161" t="str" cm="1">
        <f t="array" ref="DW27">IFERROR(INDEX('Variable index'!$E$68:$F$73,MATCH(DV$27,'Variable index'!$C$68:$C$73,0),$D$12),"")</f>
        <v/>
      </c>
      <c r="DZ27" s="236" t="str">
        <f>IF(_xlfn.XLOOKUP(DZ$14,TableStormwater['#],TableStormwater[Contaminated land remediation (if applicable)])&lt;&gt;"",_xlfn.XLOOKUP(DZ$14,TableStormwater['#],TableStormwater[Contaminated land remediation (if applicable)]),"")</f>
        <v/>
      </c>
      <c r="EA27" s="161" t="str" cm="1">
        <f t="array" ref="EA27">IFERROR(INDEX('Variable index'!$E$68:$F$73,MATCH(DZ$27,'Variable index'!$C$68:$C$73,0),$D$12),"")</f>
        <v/>
      </c>
      <c r="ED27" s="236" t="str">
        <f>IF(_xlfn.XLOOKUP(ED$14,TableStormwater['#],TableStormwater[Contaminated land remediation (if applicable)])&lt;&gt;"",_xlfn.XLOOKUP(ED$14,TableStormwater['#],TableStormwater[Contaminated land remediation (if applicable)]),"")</f>
        <v/>
      </c>
      <c r="EE27" s="161" t="str" cm="1">
        <f t="array" ref="EE27">IFERROR(INDEX('Variable index'!$E$68:$F$73,MATCH(ED$27,'Variable index'!$C$68:$C$73,0),$D$12),"")</f>
        <v/>
      </c>
      <c r="EH27" s="236" t="str">
        <f>IF(_xlfn.XLOOKUP(EH$14,TableStormwater['#],TableStormwater[Contaminated land remediation (if applicable)])&lt;&gt;"",_xlfn.XLOOKUP(EH$14,TableStormwater['#],TableStormwater[Contaminated land remediation (if applicable)]),"")</f>
        <v/>
      </c>
      <c r="EI27" s="161" t="str" cm="1">
        <f t="array" ref="EI27">IFERROR(INDEX('Variable index'!$E$68:$F$73,MATCH(EH$27,'Variable index'!$C$68:$C$73,0),$D$12),"")</f>
        <v/>
      </c>
      <c r="EL27" s="236" t="str">
        <f>IF(_xlfn.XLOOKUP(EL$14,TableStormwater['#],TableStormwater[Contaminated land remediation (if applicable)])&lt;&gt;"",_xlfn.XLOOKUP(EL$14,TableStormwater['#],TableStormwater[Contaminated land remediation (if applicable)]),"")</f>
        <v/>
      </c>
      <c r="EM27" s="161" t="str" cm="1">
        <f t="array" ref="EM27">IFERROR(INDEX('Variable index'!$E$68:$F$73,MATCH(EL$27,'Variable index'!$C$68:$C$73,0),$D$12),"")</f>
        <v/>
      </c>
      <c r="EP27" s="236" t="str">
        <f>IF(_xlfn.XLOOKUP(EP$14,TableStormwater['#],TableStormwater[Contaminated land remediation (if applicable)])&lt;&gt;"",_xlfn.XLOOKUP(EP$14,TableStormwater['#],TableStormwater[Contaminated land remediation (if applicable)]),"")</f>
        <v/>
      </c>
      <c r="EQ27" s="161" t="str" cm="1">
        <f t="array" ref="EQ27">IFERROR(INDEX('Variable index'!$E$68:$F$73,MATCH(EP$27,'Variable index'!$C$68:$C$73,0),$D$12),"")</f>
        <v/>
      </c>
      <c r="ET27" s="236" t="str">
        <f>IF(_xlfn.XLOOKUP(ET$14,TableStormwater['#],TableStormwater[Contaminated land remediation (if applicable)])&lt;&gt;"",_xlfn.XLOOKUP(ET$14,TableStormwater['#],TableStormwater[Contaminated land remediation (if applicable)]),"")</f>
        <v/>
      </c>
      <c r="EU27" s="161" t="str" cm="1">
        <f t="array" ref="EU27">IFERROR(INDEX('Variable index'!$E$68:$F$73,MATCH(ET$27,'Variable index'!$C$68:$C$73,0),$D$12),"")</f>
        <v/>
      </c>
      <c r="EX27" s="236" t="str">
        <f>IF(_xlfn.XLOOKUP(EX$14,TableStormwater['#],TableStormwater[Contaminated land remediation (if applicable)])&lt;&gt;"",_xlfn.XLOOKUP(EX$14,TableStormwater['#],TableStormwater[Contaminated land remediation (if applicable)]),"")</f>
        <v/>
      </c>
      <c r="EY27" s="161" t="str" cm="1">
        <f t="array" ref="EY27">IFERROR(INDEX('Variable index'!$E$68:$F$73,MATCH(EX$27,'Variable index'!$C$68:$C$73,0),$D$12),"")</f>
        <v/>
      </c>
      <c r="FB27" s="236" t="str">
        <f>IF(_xlfn.XLOOKUP(FB$14,TableStormwater['#],TableStormwater[Contaminated land remediation (if applicable)])&lt;&gt;"",_xlfn.XLOOKUP(FB$14,TableStormwater['#],TableStormwater[Contaminated land remediation (if applicable)]),"")</f>
        <v/>
      </c>
      <c r="FC27" s="161" t="str" cm="1">
        <f t="array" ref="FC27">IFERROR(INDEX('Variable index'!$E$68:$F$73,MATCH(FB$27,'Variable index'!$C$68:$C$73,0),$D$12),"")</f>
        <v/>
      </c>
      <c r="FF27" s="236" t="str">
        <f>IF(_xlfn.XLOOKUP(FF$14,TableStormwater['#],TableStormwater[Contaminated land remediation (if applicable)])&lt;&gt;"",_xlfn.XLOOKUP(FF$14,TableStormwater['#],TableStormwater[Contaminated land remediation (if applicable)]),"")</f>
        <v/>
      </c>
      <c r="FG27" s="161" t="str" cm="1">
        <f t="array" ref="FG27">IFERROR(INDEX('Variable index'!$E$68:$F$73,MATCH(FF$27,'Variable index'!$C$68:$C$73,0),$D$12),"")</f>
        <v/>
      </c>
      <c r="FJ27" s="236" t="str">
        <f>IF(_xlfn.XLOOKUP(FJ$14,TableStormwater['#],TableStormwater[Contaminated land remediation (if applicable)])&lt;&gt;"",_xlfn.XLOOKUP(FJ$14,TableStormwater['#],TableStormwater[Contaminated land remediation (if applicable)]),"")</f>
        <v/>
      </c>
      <c r="FK27" s="161" t="str" cm="1">
        <f t="array" ref="FK27">IFERROR(INDEX('Variable index'!$E$68:$F$73,MATCH(FJ$27,'Variable index'!$C$68:$C$73,0),$D$12),"")</f>
        <v/>
      </c>
      <c r="FN27" s="236" t="str">
        <f>IF(_xlfn.XLOOKUP(FN$14,TableStormwater['#],TableStormwater[Contaminated land remediation (if applicable)])&lt;&gt;"",_xlfn.XLOOKUP(FN$14,TableStormwater['#],TableStormwater[Contaminated land remediation (if applicable)]),"")</f>
        <v/>
      </c>
      <c r="FO27" s="161" t="str" cm="1">
        <f t="array" ref="FO27">IFERROR(INDEX('Variable index'!$E$68:$F$73,MATCH(FN$27,'Variable index'!$C$68:$C$73,0),$D$12),"")</f>
        <v/>
      </c>
      <c r="FR27" s="236" t="str">
        <f>IF(_xlfn.XLOOKUP(FR$14,TableStormwater['#],TableStormwater[Contaminated land remediation (if applicable)])&lt;&gt;"",_xlfn.XLOOKUP(FR$14,TableStormwater['#],TableStormwater[Contaminated land remediation (if applicable)]),"")</f>
        <v/>
      </c>
      <c r="FS27" s="161" t="str" cm="1">
        <f t="array" ref="FS27">IFERROR(INDEX('Variable index'!$E$68:$F$73,MATCH(FR$27,'Variable index'!$C$68:$C$73,0),$D$12),"")</f>
        <v/>
      </c>
      <c r="FV27" s="236" t="str">
        <f>IF(_xlfn.XLOOKUP(FV$14,TableStormwater['#],TableStormwater[Contaminated land remediation (if applicable)])&lt;&gt;"",_xlfn.XLOOKUP(FV$14,TableStormwater['#],TableStormwater[Contaminated land remediation (if applicable)]),"")</f>
        <v/>
      </c>
      <c r="FW27" s="161" t="str" cm="1">
        <f t="array" ref="FW27">IFERROR(INDEX('Variable index'!$E$68:$F$73,MATCH(FV$27,'Variable index'!$C$68:$C$73,0),$D$12),"")</f>
        <v/>
      </c>
      <c r="FZ27" s="236" t="str">
        <f>IF(_xlfn.XLOOKUP(FZ$14,TableStormwater['#],TableStormwater[Contaminated land remediation (if applicable)])&lt;&gt;"",_xlfn.XLOOKUP(FZ$14,TableStormwater['#],TableStormwater[Contaminated land remediation (if applicable)]),"")</f>
        <v/>
      </c>
      <c r="GA27" s="161" t="str" cm="1">
        <f t="array" ref="GA27">IFERROR(INDEX('Variable index'!$E$68:$F$73,MATCH(FZ$27,'Variable index'!$C$68:$C$73,0),$D$12),"")</f>
        <v/>
      </c>
      <c r="GD27" s="236" t="str">
        <f>IF(_xlfn.XLOOKUP(GD$14,TableStormwater['#],TableStormwater[Contaminated land remediation (if applicable)])&lt;&gt;"",_xlfn.XLOOKUP(GD$14,TableStormwater['#],TableStormwater[Contaminated land remediation (if applicable)]),"")</f>
        <v/>
      </c>
      <c r="GE27" s="161" t="str" cm="1">
        <f t="array" ref="GE27">IFERROR(INDEX('Variable index'!$E$68:$F$73,MATCH(GD$27,'Variable index'!$C$68:$C$73,0),$D$12),"")</f>
        <v/>
      </c>
      <c r="GH27" s="236" t="str">
        <f>IF(_xlfn.XLOOKUP(GH$14,TableStormwater['#],TableStormwater[Contaminated land remediation (if applicable)])&lt;&gt;"",_xlfn.XLOOKUP(GH$14,TableStormwater['#],TableStormwater[Contaminated land remediation (if applicable)]),"")</f>
        <v/>
      </c>
      <c r="GI27" s="161" t="str" cm="1">
        <f t="array" ref="GI27">IFERROR(INDEX('Variable index'!$E$68:$F$73,MATCH(GH$27,'Variable index'!$C$68:$C$73,0),$D$12),"")</f>
        <v/>
      </c>
      <c r="GL27" s="236" t="str">
        <f>IF(_xlfn.XLOOKUP(GL$14,TableStormwater['#],TableStormwater[Contaminated land remediation (if applicable)])&lt;&gt;"",_xlfn.XLOOKUP(GL$14,TableStormwater['#],TableStormwater[Contaminated land remediation (if applicable)]),"")</f>
        <v/>
      </c>
      <c r="GM27" s="161" t="str" cm="1">
        <f t="array" ref="GM27">IFERROR(INDEX('Variable index'!$E$68:$F$73,MATCH(GL$27,'Variable index'!$C$68:$C$73,0),$D$12),"")</f>
        <v/>
      </c>
      <c r="GP27" s="236" t="str">
        <f>IF(_xlfn.XLOOKUP(GP$14,TableStormwater['#],TableStormwater[Contaminated land remediation (if applicable)])&lt;&gt;"",_xlfn.XLOOKUP(GP$14,TableStormwater['#],TableStormwater[Contaminated land remediation (if applicable)]),"")</f>
        <v/>
      </c>
      <c r="GQ27" s="161" t="str" cm="1">
        <f t="array" ref="GQ27">IFERROR(INDEX('Variable index'!$E$68:$F$73,MATCH(GP$27,'Variable index'!$C$68:$C$73,0),$D$12),"")</f>
        <v/>
      </c>
      <c r="GT27" s="236" t="str">
        <f>IF(_xlfn.XLOOKUP(GT$14,TableStormwater['#],TableStormwater[Contaminated land remediation (if applicable)])&lt;&gt;"",_xlfn.XLOOKUP(GT$14,TableStormwater['#],TableStormwater[Contaminated land remediation (if applicable)]),"")</f>
        <v/>
      </c>
      <c r="GU27" s="161" t="str" cm="1">
        <f t="array" ref="GU27">IFERROR(INDEX('Variable index'!$E$68:$F$73,MATCH(GT$27,'Variable index'!$C$68:$C$73,0),$D$12),"")</f>
        <v/>
      </c>
    </row>
    <row r="28" spans="4:204" x14ac:dyDescent="0.2">
      <c r="D28" t="s">
        <v>156</v>
      </c>
      <c r="F28" s="233" t="str">
        <f>IF(_xlfn.XLOOKUP(F$14,TableStormwater['#],TableStormwater[Contaminated land area (in square metres)])&lt;&gt;"",_xlfn.XLOOKUP(F$14,TableStormwater['#],TableStormwater[Contaminated land area (in square metres)]),"")</f>
        <v/>
      </c>
      <c r="H28" s="168" t="str">
        <f>IFERROR(G27*F28,"")</f>
        <v/>
      </c>
      <c r="J28" s="233" t="str">
        <f>IF(_xlfn.XLOOKUP(J$14,TableStormwater['#],TableStormwater[Contaminated land area (in square metres)])&lt;&gt;"",_xlfn.XLOOKUP(J$14,TableStormwater['#],TableStormwater[Contaminated land area (in square metres)]),"")</f>
        <v/>
      </c>
      <c r="L28" s="168" t="str">
        <f>IFERROR(K27*J28,"")</f>
        <v/>
      </c>
      <c r="N28" s="233" t="str">
        <f>IF(_xlfn.XLOOKUP(N$14,TableStormwater['#],TableStormwater[Contaminated land area (in square metres)])&lt;&gt;"",_xlfn.XLOOKUP(N$14,TableStormwater['#],TableStormwater[Contaminated land area (in square metres)]),"")</f>
        <v/>
      </c>
      <c r="P28" s="168" t="str">
        <f>IFERROR(O27*N28,"")</f>
        <v/>
      </c>
      <c r="R28" s="233" t="str">
        <f>IF(_xlfn.XLOOKUP(R$14,TableStormwater['#],TableStormwater[Contaminated land area (in square metres)])&lt;&gt;"",_xlfn.XLOOKUP(R$14,TableStormwater['#],TableStormwater[Contaminated land area (in square metres)]),"")</f>
        <v/>
      </c>
      <c r="T28" s="168" t="str">
        <f>IFERROR(S27*R28,"")</f>
        <v/>
      </c>
      <c r="V28" s="233" t="str">
        <f>IF(_xlfn.XLOOKUP(V$14,TableStormwater['#],TableStormwater[Contaminated land area (in square metres)])&lt;&gt;"",_xlfn.XLOOKUP(V$14,TableStormwater['#],TableStormwater[Contaminated land area (in square metres)]),"")</f>
        <v/>
      </c>
      <c r="X28" s="168" t="str">
        <f>IFERROR(W27*V28,"")</f>
        <v/>
      </c>
      <c r="Z28" s="233" t="str">
        <f>IF(_xlfn.XLOOKUP(Z$14,TableStormwater['#],TableStormwater[Contaminated land area (in square metres)])&lt;&gt;"",_xlfn.XLOOKUP(Z$14,TableStormwater['#],TableStormwater[Contaminated land area (in square metres)]),"")</f>
        <v/>
      </c>
      <c r="AB28" s="168" t="str">
        <f>IFERROR(AA27*Z28,"")</f>
        <v/>
      </c>
      <c r="AD28" s="233" t="str">
        <f>IF(_xlfn.XLOOKUP(AD$14,TableStormwater['#],TableStormwater[Contaminated land area (in square metres)])&lt;&gt;"",_xlfn.XLOOKUP(AD$14,TableStormwater['#],TableStormwater[Contaminated land area (in square metres)]),"")</f>
        <v/>
      </c>
      <c r="AF28" s="168" t="str">
        <f>IFERROR(AE27*AD28,"")</f>
        <v/>
      </c>
      <c r="AH28" s="233" t="str">
        <f>IF(_xlfn.XLOOKUP(AH$14,TableStormwater['#],TableStormwater[Contaminated land area (in square metres)])&lt;&gt;"",_xlfn.XLOOKUP(AH$14,TableStormwater['#],TableStormwater[Contaminated land area (in square metres)]),"")</f>
        <v/>
      </c>
      <c r="AJ28" s="168" t="str">
        <f>IFERROR(AI27*AH28,"")</f>
        <v/>
      </c>
      <c r="AL28" s="233" t="str">
        <f>IF(_xlfn.XLOOKUP(AL$14,TableStormwater['#],TableStormwater[Contaminated land area (in square metres)])&lt;&gt;"",_xlfn.XLOOKUP(AL$14,TableStormwater['#],TableStormwater[Contaminated land area (in square metres)]),"")</f>
        <v/>
      </c>
      <c r="AN28" s="168" t="str">
        <f>IFERROR(AM27*AL28,"")</f>
        <v/>
      </c>
      <c r="AP28" s="233" t="str">
        <f>IF(_xlfn.XLOOKUP(AP$14,TableStormwater['#],TableStormwater[Contaminated land area (in square metres)])&lt;&gt;"",_xlfn.XLOOKUP(AP$14,TableStormwater['#],TableStormwater[Contaminated land area (in square metres)]),"")</f>
        <v/>
      </c>
      <c r="AR28" s="168" t="str">
        <f>IFERROR(AQ27*AP28,"")</f>
        <v/>
      </c>
      <c r="AT28" s="233" t="str">
        <f>IF(_xlfn.XLOOKUP(AT$14,TableStormwater['#],TableStormwater[Contaminated land area (in square metres)])&lt;&gt;"",_xlfn.XLOOKUP(AT$14,TableStormwater['#],TableStormwater[Contaminated land area (in square metres)]),"")</f>
        <v/>
      </c>
      <c r="AV28" s="168" t="str">
        <f>IFERROR(AU27*AT28,"")</f>
        <v/>
      </c>
      <c r="AX28" s="233" t="str">
        <f>IF(_xlfn.XLOOKUP(AX$14,TableStormwater['#],TableStormwater[Contaminated land area (in square metres)])&lt;&gt;"",_xlfn.XLOOKUP(AX$14,TableStormwater['#],TableStormwater[Contaminated land area (in square metres)]),"")</f>
        <v/>
      </c>
      <c r="AZ28" s="168" t="str">
        <f>IFERROR(AY27*AX28,"")</f>
        <v/>
      </c>
      <c r="BB28" s="233" t="str">
        <f>IF(_xlfn.XLOOKUP(BB$14,TableStormwater['#],TableStormwater[Contaminated land area (in square metres)])&lt;&gt;"",_xlfn.XLOOKUP(BB$14,TableStormwater['#],TableStormwater[Contaminated land area (in square metres)]),"")</f>
        <v/>
      </c>
      <c r="BD28" s="168" t="str">
        <f>IFERROR(BC27*BB28,"")</f>
        <v/>
      </c>
      <c r="BF28" s="233" t="str">
        <f>IF(_xlfn.XLOOKUP(BF$14,TableStormwater['#],TableStormwater[Contaminated land area (in square metres)])&lt;&gt;"",_xlfn.XLOOKUP(BF$14,TableStormwater['#],TableStormwater[Contaminated land area (in square metres)]),"")</f>
        <v/>
      </c>
      <c r="BH28" s="168" t="str">
        <f>IFERROR(BG27*BF28,"")</f>
        <v/>
      </c>
      <c r="BJ28" s="233" t="str">
        <f>IF(_xlfn.XLOOKUP(BJ$14,TableStormwater['#],TableStormwater[Contaminated land area (in square metres)])&lt;&gt;"",_xlfn.XLOOKUP(BJ$14,TableStormwater['#],TableStormwater[Contaminated land area (in square metres)]),"")</f>
        <v/>
      </c>
      <c r="BL28" s="168" t="str">
        <f>IFERROR(BK27*BJ28,"")</f>
        <v/>
      </c>
      <c r="BN28" s="233" t="str">
        <f>IF(_xlfn.XLOOKUP(BN$14,TableStormwater['#],TableStormwater[Contaminated land area (in square metres)])&lt;&gt;"",_xlfn.XLOOKUP(BN$14,TableStormwater['#],TableStormwater[Contaminated land area (in square metres)]),"")</f>
        <v/>
      </c>
      <c r="BP28" s="168" t="str">
        <f>IFERROR(BO27*BN28,"")</f>
        <v/>
      </c>
      <c r="BR28" s="233" t="str">
        <f>IF(_xlfn.XLOOKUP(BR$14,TableStormwater['#],TableStormwater[Contaminated land area (in square metres)])&lt;&gt;"",_xlfn.XLOOKUP(BR$14,TableStormwater['#],TableStormwater[Contaminated land area (in square metres)]),"")</f>
        <v/>
      </c>
      <c r="BT28" s="168" t="str">
        <f>IFERROR(BS27*BR28,"")</f>
        <v/>
      </c>
      <c r="BV28" s="233" t="str">
        <f>IF(_xlfn.XLOOKUP(BV$14,TableStormwater['#],TableStormwater[Contaminated land area (in square metres)])&lt;&gt;"",_xlfn.XLOOKUP(BV$14,TableStormwater['#],TableStormwater[Contaminated land area (in square metres)]),"")</f>
        <v/>
      </c>
      <c r="BX28" s="168" t="str">
        <f>IFERROR(BW27*BV28,"")</f>
        <v/>
      </c>
      <c r="BZ28" s="233" t="str">
        <f>IF(_xlfn.XLOOKUP(BZ$14,TableStormwater['#],TableStormwater[Contaminated land area (in square metres)])&lt;&gt;"",_xlfn.XLOOKUP(BZ$14,TableStormwater['#],TableStormwater[Contaminated land area (in square metres)]),"")</f>
        <v/>
      </c>
      <c r="CB28" s="168" t="str">
        <f>IFERROR(CA27*BZ28,"")</f>
        <v/>
      </c>
      <c r="CD28" s="233" t="str">
        <f>IF(_xlfn.XLOOKUP(CD$14,TableStormwater['#],TableStormwater[Contaminated land area (in square metres)])&lt;&gt;"",_xlfn.XLOOKUP(CD$14,TableStormwater['#],TableStormwater[Contaminated land area (in square metres)]),"")</f>
        <v/>
      </c>
      <c r="CF28" s="168" t="str">
        <f>IFERROR(CE27*CD28,"")</f>
        <v/>
      </c>
      <c r="CH28" s="233" t="str">
        <f>IF(_xlfn.XLOOKUP(CH$14,TableStormwater['#],TableStormwater[Contaminated land area (in square metres)])&lt;&gt;"",_xlfn.XLOOKUP(CH$14,TableStormwater['#],TableStormwater[Contaminated land area (in square metres)]),"")</f>
        <v/>
      </c>
      <c r="CJ28" s="168" t="str">
        <f>IFERROR(CI27*CH28,"")</f>
        <v/>
      </c>
      <c r="CL28" s="233" t="str">
        <f>IF(_xlfn.XLOOKUP(CL$14,TableStormwater['#],TableStormwater[Contaminated land area (in square metres)])&lt;&gt;"",_xlfn.XLOOKUP(CL$14,TableStormwater['#],TableStormwater[Contaminated land area (in square metres)]),"")</f>
        <v/>
      </c>
      <c r="CN28" s="168" t="str">
        <f>IFERROR(CM27*CL28,"")</f>
        <v/>
      </c>
      <c r="CP28" s="233" t="str">
        <f>IF(_xlfn.XLOOKUP(CP$14,TableStormwater['#],TableStormwater[Contaminated land area (in square metres)])&lt;&gt;"",_xlfn.XLOOKUP(CP$14,TableStormwater['#],TableStormwater[Contaminated land area (in square metres)]),"")</f>
        <v/>
      </c>
      <c r="CR28" s="168" t="str">
        <f>IFERROR(CQ27*CP28,"")</f>
        <v/>
      </c>
      <c r="CT28" s="233" t="str">
        <f>IF(_xlfn.XLOOKUP(CT$14,TableStormwater['#],TableStormwater[Contaminated land area (in square metres)])&lt;&gt;"",_xlfn.XLOOKUP(CT$14,TableStormwater['#],TableStormwater[Contaminated land area (in square metres)]),"")</f>
        <v/>
      </c>
      <c r="CV28" s="168" t="str">
        <f>IFERROR(CU27*CT28,"")</f>
        <v/>
      </c>
      <c r="CX28" s="233" t="str">
        <f>IF(_xlfn.XLOOKUP(CX$14,TableStormwater['#],TableStormwater[Contaminated land area (in square metres)])&lt;&gt;"",_xlfn.XLOOKUP(CX$14,TableStormwater['#],TableStormwater[Contaminated land area (in square metres)]),"")</f>
        <v/>
      </c>
      <c r="CZ28" s="168" t="str">
        <f>IFERROR(CY27*CX28,"")</f>
        <v/>
      </c>
      <c r="DB28" s="233" t="str">
        <f>IF(_xlfn.XLOOKUP(DB$14,TableStormwater['#],TableStormwater[Contaminated land area (in square metres)])&lt;&gt;"",_xlfn.XLOOKUP(DB$14,TableStormwater['#],TableStormwater[Contaminated land area (in square metres)]),"")</f>
        <v/>
      </c>
      <c r="DD28" s="168" t="str">
        <f>IFERROR(DC27*DB28,"")</f>
        <v/>
      </c>
      <c r="DF28" s="233" t="str">
        <f>IF(_xlfn.XLOOKUP(DF$14,TableStormwater['#],TableStormwater[Contaminated land area (in square metres)])&lt;&gt;"",_xlfn.XLOOKUP(DF$14,TableStormwater['#],TableStormwater[Contaminated land area (in square metres)]),"")</f>
        <v/>
      </c>
      <c r="DH28" s="168" t="str">
        <f>IFERROR(DG27*DF28,"")</f>
        <v/>
      </c>
      <c r="DJ28" s="233" t="str">
        <f>IF(_xlfn.XLOOKUP(DJ$14,TableStormwater['#],TableStormwater[Contaminated land area (in square metres)])&lt;&gt;"",_xlfn.XLOOKUP(DJ$14,TableStormwater['#],TableStormwater[Contaminated land area (in square metres)]),"")</f>
        <v/>
      </c>
      <c r="DL28" s="168" t="str">
        <f>IFERROR(DK27*DJ28,"")</f>
        <v/>
      </c>
      <c r="DN28" s="233" t="str">
        <f>IF(_xlfn.XLOOKUP(DN$14,TableStormwater['#],TableStormwater[Contaminated land area (in square metres)])&lt;&gt;"",_xlfn.XLOOKUP(DN$14,TableStormwater['#],TableStormwater[Contaminated land area (in square metres)]),"")</f>
        <v/>
      </c>
      <c r="DP28" s="168" t="str">
        <f>IFERROR(DO27*DN28,"")</f>
        <v/>
      </c>
      <c r="DR28" s="233" t="str">
        <f>IF(_xlfn.XLOOKUP(DR$14,TableStormwater['#],TableStormwater[Contaminated land area (in square metres)])&lt;&gt;"",_xlfn.XLOOKUP(DR$14,TableStormwater['#],TableStormwater[Contaminated land area (in square metres)]),"")</f>
        <v/>
      </c>
      <c r="DT28" s="168" t="str">
        <f>IFERROR(DS27*DR28,"")</f>
        <v/>
      </c>
      <c r="DV28" s="233" t="str">
        <f>IF(_xlfn.XLOOKUP(DV$14,TableStormwater['#],TableStormwater[Contaminated land area (in square metres)])&lt;&gt;"",_xlfn.XLOOKUP(DV$14,TableStormwater['#],TableStormwater[Contaminated land area (in square metres)]),"")</f>
        <v/>
      </c>
      <c r="DX28" s="168" t="str">
        <f>IFERROR(DW27*DV28,"")</f>
        <v/>
      </c>
      <c r="DZ28" s="233" t="str">
        <f>IF(_xlfn.XLOOKUP(DZ$14,TableStormwater['#],TableStormwater[Contaminated land area (in square metres)])&lt;&gt;"",_xlfn.XLOOKUP(DZ$14,TableStormwater['#],TableStormwater[Contaminated land area (in square metres)]),"")</f>
        <v/>
      </c>
      <c r="EB28" s="168" t="str">
        <f>IFERROR(EA27*DZ28,"")</f>
        <v/>
      </c>
      <c r="ED28" s="233" t="str">
        <f>IF(_xlfn.XLOOKUP(ED$14,TableStormwater['#],TableStormwater[Contaminated land area (in square metres)])&lt;&gt;"",_xlfn.XLOOKUP(ED$14,TableStormwater['#],TableStormwater[Contaminated land area (in square metres)]),"")</f>
        <v/>
      </c>
      <c r="EF28" s="168" t="str">
        <f>IFERROR(EE27*ED28,"")</f>
        <v/>
      </c>
      <c r="EH28" s="233" t="str">
        <f>IF(_xlfn.XLOOKUP(EH$14,TableStormwater['#],TableStormwater[Contaminated land area (in square metres)])&lt;&gt;"",_xlfn.XLOOKUP(EH$14,TableStormwater['#],TableStormwater[Contaminated land area (in square metres)]),"")</f>
        <v/>
      </c>
      <c r="EJ28" s="168" t="str">
        <f>IFERROR(EI27*EH28,"")</f>
        <v/>
      </c>
      <c r="EL28" s="233" t="str">
        <f>IF(_xlfn.XLOOKUP(EL$14,TableStormwater['#],TableStormwater[Contaminated land area (in square metres)])&lt;&gt;"",_xlfn.XLOOKUP(EL$14,TableStormwater['#],TableStormwater[Contaminated land area (in square metres)]),"")</f>
        <v/>
      </c>
      <c r="EN28" s="168" t="str">
        <f>IFERROR(EM27*EL28,"")</f>
        <v/>
      </c>
      <c r="EP28" s="233" t="str">
        <f>IF(_xlfn.XLOOKUP(EP$14,TableStormwater['#],TableStormwater[Contaminated land area (in square metres)])&lt;&gt;"",_xlfn.XLOOKUP(EP$14,TableStormwater['#],TableStormwater[Contaminated land area (in square metres)]),"")</f>
        <v/>
      </c>
      <c r="ER28" s="168" t="str">
        <f>IFERROR(EQ27*EP28,"")</f>
        <v/>
      </c>
      <c r="ET28" s="233" t="str">
        <f>IF(_xlfn.XLOOKUP(ET$14,TableStormwater['#],TableStormwater[Contaminated land area (in square metres)])&lt;&gt;"",_xlfn.XLOOKUP(ET$14,TableStormwater['#],TableStormwater[Contaminated land area (in square metres)]),"")</f>
        <v/>
      </c>
      <c r="EV28" s="168" t="str">
        <f>IFERROR(EU27*ET28,"")</f>
        <v/>
      </c>
      <c r="EX28" s="233" t="str">
        <f>IF(_xlfn.XLOOKUP(EX$14,TableStormwater['#],TableStormwater[Contaminated land area (in square metres)])&lt;&gt;"",_xlfn.XLOOKUP(EX$14,TableStormwater['#],TableStormwater[Contaminated land area (in square metres)]),"")</f>
        <v/>
      </c>
      <c r="EZ28" s="168" t="str">
        <f>IFERROR(EY27*EX28,"")</f>
        <v/>
      </c>
      <c r="FB28" s="233" t="str">
        <f>IF(_xlfn.XLOOKUP(FB$14,TableStormwater['#],TableStormwater[Contaminated land area (in square metres)])&lt;&gt;"",_xlfn.XLOOKUP(FB$14,TableStormwater['#],TableStormwater[Contaminated land area (in square metres)]),"")</f>
        <v/>
      </c>
      <c r="FD28" s="168" t="str">
        <f>IFERROR(FC27*FB28,"")</f>
        <v/>
      </c>
      <c r="FF28" s="233" t="str">
        <f>IF(_xlfn.XLOOKUP(FF$14,TableStormwater['#],TableStormwater[Contaminated land area (in square metres)])&lt;&gt;"",_xlfn.XLOOKUP(FF$14,TableStormwater['#],TableStormwater[Contaminated land area (in square metres)]),"")</f>
        <v/>
      </c>
      <c r="FH28" s="168" t="str">
        <f>IFERROR(FG27*FF28,"")</f>
        <v/>
      </c>
      <c r="FJ28" s="233" t="str">
        <f>IF(_xlfn.XLOOKUP(FJ$14,TableStormwater['#],TableStormwater[Contaminated land area (in square metres)])&lt;&gt;"",_xlfn.XLOOKUP(FJ$14,TableStormwater['#],TableStormwater[Contaminated land area (in square metres)]),"")</f>
        <v/>
      </c>
      <c r="FL28" s="168" t="str">
        <f>IFERROR(FK27*FJ28,"")</f>
        <v/>
      </c>
      <c r="FN28" s="233" t="str">
        <f>IF(_xlfn.XLOOKUP(FN$14,TableStormwater['#],TableStormwater[Contaminated land area (in square metres)])&lt;&gt;"",_xlfn.XLOOKUP(FN$14,TableStormwater['#],TableStormwater[Contaminated land area (in square metres)]),"")</f>
        <v/>
      </c>
      <c r="FP28" s="168" t="str">
        <f>IFERROR(FO27*FN28,"")</f>
        <v/>
      </c>
      <c r="FR28" s="233" t="str">
        <f>IF(_xlfn.XLOOKUP(FR$14,TableStormwater['#],TableStormwater[Contaminated land area (in square metres)])&lt;&gt;"",_xlfn.XLOOKUP(FR$14,TableStormwater['#],TableStormwater[Contaminated land area (in square metres)]),"")</f>
        <v/>
      </c>
      <c r="FT28" s="168" t="str">
        <f>IFERROR(FS27*FR28,"")</f>
        <v/>
      </c>
      <c r="FV28" s="233" t="str">
        <f>IF(_xlfn.XLOOKUP(FV$14,TableStormwater['#],TableStormwater[Contaminated land area (in square metres)])&lt;&gt;"",_xlfn.XLOOKUP(FV$14,TableStormwater['#],TableStormwater[Contaminated land area (in square metres)]),"")</f>
        <v/>
      </c>
      <c r="FX28" s="168" t="str">
        <f>IFERROR(FW27*FV28,"")</f>
        <v/>
      </c>
      <c r="FZ28" s="233" t="str">
        <f>IF(_xlfn.XLOOKUP(FZ$14,TableStormwater['#],TableStormwater[Contaminated land area (in square metres)])&lt;&gt;"",_xlfn.XLOOKUP(FZ$14,TableStormwater['#],TableStormwater[Contaminated land area (in square metres)]),"")</f>
        <v/>
      </c>
      <c r="GB28" s="168" t="str">
        <f>IFERROR(GA27*FZ28,"")</f>
        <v/>
      </c>
      <c r="GD28" s="233" t="str">
        <f>IF(_xlfn.XLOOKUP(GD$14,TableStormwater['#],TableStormwater[Contaminated land area (in square metres)])&lt;&gt;"",_xlfn.XLOOKUP(GD$14,TableStormwater['#],TableStormwater[Contaminated land area (in square metres)]),"")</f>
        <v/>
      </c>
      <c r="GF28" s="168" t="str">
        <f>IFERROR(GE27*GD28,"")</f>
        <v/>
      </c>
      <c r="GH28" s="233" t="str">
        <f>IF(_xlfn.XLOOKUP(GH$14,TableStormwater['#],TableStormwater[Contaminated land area (in square metres)])&lt;&gt;"",_xlfn.XLOOKUP(GH$14,TableStormwater['#],TableStormwater[Contaminated land area (in square metres)]),"")</f>
        <v/>
      </c>
      <c r="GJ28" s="168" t="str">
        <f>IFERROR(GI27*GH28,"")</f>
        <v/>
      </c>
      <c r="GL28" s="233" t="str">
        <f>IF(_xlfn.XLOOKUP(GL$14,TableStormwater['#],TableStormwater[Contaminated land area (in square metres)])&lt;&gt;"",_xlfn.XLOOKUP(GL$14,TableStormwater['#],TableStormwater[Contaminated land area (in square metres)]),"")</f>
        <v/>
      </c>
      <c r="GN28" s="168" t="str">
        <f>IFERROR(GM27*GL28,"")</f>
        <v/>
      </c>
      <c r="GP28" s="233" t="str">
        <f>IF(_xlfn.XLOOKUP(GP$14,TableStormwater['#],TableStormwater[Contaminated land area (in square metres)])&lt;&gt;"",_xlfn.XLOOKUP(GP$14,TableStormwater['#],TableStormwater[Contaminated land area (in square metres)]),"")</f>
        <v/>
      </c>
      <c r="GR28" s="168" t="str">
        <f>IFERROR(GQ27*GP28,"")</f>
        <v/>
      </c>
      <c r="GT28" s="233" t="str">
        <f>IF(_xlfn.XLOOKUP(GT$14,TableStormwater['#],TableStormwater[Contaminated land area (in square metres)])&lt;&gt;"",_xlfn.XLOOKUP(GT$14,TableStormwater['#],TableStormwater[Contaminated land area (in square metres)]),"")</f>
        <v/>
      </c>
      <c r="GV28" s="168" t="str">
        <f>IFERROR(GU27*GT28,"")</f>
        <v/>
      </c>
    </row>
    <row r="29" spans="4:204" x14ac:dyDescent="0.2">
      <c r="D29" t="s">
        <v>157</v>
      </c>
      <c r="F29" s="192"/>
      <c r="G29" s="169" t="str" cm="1">
        <f t="array" ref="G29">IF(H21&lt;&gt;"",_xlfn.IFS(AND(H21&gt;='Variable index'!$K$35,H21&lt;'Variable index'!$K$36),'Variable index'!$L$35,AND(H21&gt;='Variable index'!$K$36,H21&lt;'Variable index'!$K$37),'Variable index'!$L$36,AND(H21&gt;='Variable index'!$K$37,H21&lt;'Variable index'!$K$38),'Variable index'!$L$37,H21&gt;='Variable index'!$K$38,'Variable index'!$L$38),"")</f>
        <v/>
      </c>
      <c r="H29" s="168" t="str">
        <f>IFERROR(H$21*G29,"")</f>
        <v/>
      </c>
      <c r="J29" s="192"/>
      <c r="K29" s="169" t="str" cm="1">
        <f t="array" ref="K29">IF(L21&lt;&gt;"",_xlfn.IFS(AND(L21&gt;='Variable index'!$K$35,L21&lt;'Variable index'!$K$36),'Variable index'!$L$35,AND(L21&gt;='Variable index'!$K$36,L21&lt;'Variable index'!$K$37),'Variable index'!$L$36,AND(L21&gt;='Variable index'!$K$37,L21&lt;'Variable index'!$K$38),'Variable index'!$L$37,L21&gt;='Variable index'!$K$38,'Variable index'!$L$38),"")</f>
        <v/>
      </c>
      <c r="L29" s="168" t="str">
        <f>IFERROR(L$21*K29,"")</f>
        <v/>
      </c>
      <c r="N29" s="192"/>
      <c r="O29" s="169" t="str" cm="1">
        <f t="array" ref="O29">IF(P21&lt;&gt;"",_xlfn.IFS(AND(P21&gt;='Variable index'!$K$35,P21&lt;'Variable index'!$K$36),'Variable index'!$L$35,AND(P21&gt;='Variable index'!$K$36,P21&lt;'Variable index'!$K$37),'Variable index'!$L$36,AND(P21&gt;='Variable index'!$K$37,P21&lt;'Variable index'!$K$38),'Variable index'!$L$37,P21&gt;='Variable index'!$K$38,'Variable index'!$L$38),"")</f>
        <v/>
      </c>
      <c r="P29" s="168" t="str">
        <f>IFERROR(P$21*O29,"")</f>
        <v/>
      </c>
      <c r="R29" s="192"/>
      <c r="S29" s="169" t="str" cm="1">
        <f t="array" ref="S29">IF(T21&lt;&gt;"",_xlfn.IFS(AND(T21&gt;='Variable index'!$K$35,T21&lt;'Variable index'!$K$36),'Variable index'!$L$35,AND(T21&gt;='Variable index'!$K$36,T21&lt;'Variable index'!$K$37),'Variable index'!$L$36,AND(T21&gt;='Variable index'!$K$37,T21&lt;'Variable index'!$K$38),'Variable index'!$L$37,T21&gt;='Variable index'!$K$38,'Variable index'!$L$38),"")</f>
        <v/>
      </c>
      <c r="T29" s="168" t="str">
        <f>IFERROR(T$21*S29,"")</f>
        <v/>
      </c>
      <c r="V29" s="192"/>
      <c r="W29" s="169" t="str" cm="1">
        <f t="array" ref="W29">IF(X21&lt;&gt;"",_xlfn.IFS(AND(X21&gt;='Variable index'!$K$35,X21&lt;'Variable index'!$K$36),'Variable index'!$L$35,AND(X21&gt;='Variable index'!$K$36,X21&lt;'Variable index'!$K$37),'Variable index'!$L$36,AND(X21&gt;='Variable index'!$K$37,X21&lt;'Variable index'!$K$38),'Variable index'!$L$37,X21&gt;='Variable index'!$K$38,'Variable index'!$L$38),"")</f>
        <v/>
      </c>
      <c r="X29" s="168" t="str">
        <f>IFERROR(X$21*W29,"")</f>
        <v/>
      </c>
      <c r="Z29" s="192"/>
      <c r="AA29" s="169" t="str" cm="1">
        <f t="array" ref="AA29">IF(AB21&lt;&gt;"",_xlfn.IFS(AND(AB21&gt;='Variable index'!$K$35,AB21&lt;'Variable index'!$K$36),'Variable index'!$L$35,AND(AB21&gt;='Variable index'!$K$36,AB21&lt;'Variable index'!$K$37),'Variable index'!$L$36,AND(AB21&gt;='Variable index'!$K$37,AB21&lt;'Variable index'!$K$38),'Variable index'!$L$37,AB21&gt;='Variable index'!$K$38,'Variable index'!$L$38),"")</f>
        <v/>
      </c>
      <c r="AB29" s="168" t="str">
        <f>IFERROR(AB$21*AA29,"")</f>
        <v/>
      </c>
      <c r="AD29" s="192"/>
      <c r="AE29" s="169" t="str" cm="1">
        <f t="array" ref="AE29">IF(AF21&lt;&gt;"",_xlfn.IFS(AND(AF21&gt;='Variable index'!$K$35,AF21&lt;'Variable index'!$K$36),'Variable index'!$L$35,AND(AF21&gt;='Variable index'!$K$36,AF21&lt;'Variable index'!$K$37),'Variable index'!$L$36,AND(AF21&gt;='Variable index'!$K$37,AF21&lt;'Variable index'!$K$38),'Variable index'!$L$37,AF21&gt;='Variable index'!$K$38,'Variable index'!$L$38),"")</f>
        <v/>
      </c>
      <c r="AF29" s="168" t="str">
        <f>IFERROR(AF$21*AE29,"")</f>
        <v/>
      </c>
      <c r="AH29" s="192"/>
      <c r="AI29" s="169" t="str" cm="1">
        <f t="array" ref="AI29">IF(AJ21&lt;&gt;"",_xlfn.IFS(AND(AJ21&gt;='Variable index'!$K$35,AJ21&lt;'Variable index'!$K$36),'Variable index'!$L$35,AND(AJ21&gt;='Variable index'!$K$36,AJ21&lt;'Variable index'!$K$37),'Variable index'!$L$36,AND(AJ21&gt;='Variable index'!$K$37,AJ21&lt;'Variable index'!$K$38),'Variable index'!$L$37,AJ21&gt;='Variable index'!$K$38,'Variable index'!$L$38),"")</f>
        <v/>
      </c>
      <c r="AJ29" s="168" t="str">
        <f>IFERROR(AJ$21*AI29,"")</f>
        <v/>
      </c>
      <c r="AL29" s="192"/>
      <c r="AM29" s="169" t="str" cm="1">
        <f t="array" ref="AM29">IF(AN21&lt;&gt;"",_xlfn.IFS(AND(AN21&gt;='Variable index'!$K$35,AN21&lt;'Variable index'!$K$36),'Variable index'!$L$35,AND(AN21&gt;='Variable index'!$K$36,AN21&lt;'Variable index'!$K$37),'Variable index'!$L$36,AND(AN21&gt;='Variable index'!$K$37,AN21&lt;'Variable index'!$K$38),'Variable index'!$L$37,AN21&gt;='Variable index'!$K$38,'Variable index'!$L$38),"")</f>
        <v/>
      </c>
      <c r="AN29" s="168" t="str">
        <f>IFERROR(AN$21*AM29,"")</f>
        <v/>
      </c>
      <c r="AP29" s="192"/>
      <c r="AQ29" s="169" t="str" cm="1">
        <f t="array" ref="AQ29">IF(AR21&lt;&gt;"",_xlfn.IFS(AND(AR21&gt;='Variable index'!$K$35,AR21&lt;'Variable index'!$K$36),'Variable index'!$L$35,AND(AR21&gt;='Variable index'!$K$36,AR21&lt;'Variable index'!$K$37),'Variable index'!$L$36,AND(AR21&gt;='Variable index'!$K$37,AR21&lt;'Variable index'!$K$38),'Variable index'!$L$37,AR21&gt;='Variable index'!$K$38,'Variable index'!$L$38),"")</f>
        <v/>
      </c>
      <c r="AR29" s="168" t="str">
        <f>IFERROR(AR$21*AQ29,"")</f>
        <v/>
      </c>
      <c r="AT29" s="192"/>
      <c r="AU29" s="169" t="str" cm="1">
        <f t="array" ref="AU29">IF(AV21&lt;&gt;"",_xlfn.IFS(AND(AV21&gt;='Variable index'!$K$35,AV21&lt;'Variable index'!$K$36),'Variable index'!$L$35,AND(AV21&gt;='Variable index'!$K$36,AV21&lt;'Variable index'!$K$37),'Variable index'!$L$36,AND(AV21&gt;='Variable index'!$K$37,AV21&lt;'Variable index'!$K$38),'Variable index'!$L$37,AV21&gt;='Variable index'!$K$38,'Variable index'!$L$38),"")</f>
        <v/>
      </c>
      <c r="AV29" s="168" t="str">
        <f>IFERROR(AV$21*AU29,"")</f>
        <v/>
      </c>
      <c r="AX29" s="192"/>
      <c r="AY29" s="169" t="str" cm="1">
        <f t="array" ref="AY29">IF(AZ21&lt;&gt;"",_xlfn.IFS(AND(AZ21&gt;='Variable index'!$K$35,AZ21&lt;'Variable index'!$K$36),'Variable index'!$L$35,AND(AZ21&gt;='Variable index'!$K$36,AZ21&lt;'Variable index'!$K$37),'Variable index'!$L$36,AND(AZ21&gt;='Variable index'!$K$37,AZ21&lt;'Variable index'!$K$38),'Variable index'!$L$37,AZ21&gt;='Variable index'!$K$38,'Variable index'!$L$38),"")</f>
        <v/>
      </c>
      <c r="AZ29" s="168" t="str">
        <f>IFERROR(AZ$21*AY29,"")</f>
        <v/>
      </c>
      <c r="BB29" s="192"/>
      <c r="BC29" s="169" t="str" cm="1">
        <f t="array" ref="BC29">IF(BD21&lt;&gt;"",_xlfn.IFS(AND(BD21&gt;='Variable index'!$K$35,BD21&lt;'Variable index'!$K$36),'Variable index'!$L$35,AND(BD21&gt;='Variable index'!$K$36,BD21&lt;'Variable index'!$K$37),'Variable index'!$L$36,AND(BD21&gt;='Variable index'!$K$37,BD21&lt;'Variable index'!$K$38),'Variable index'!$L$37,BD21&gt;='Variable index'!$K$38,'Variable index'!$L$38),"")</f>
        <v/>
      </c>
      <c r="BD29" s="168" t="str">
        <f>IFERROR(BD$21*BC29,"")</f>
        <v/>
      </c>
      <c r="BF29" s="192"/>
      <c r="BG29" s="169" t="str" cm="1">
        <f t="array" ref="BG29">IF(BH21&lt;&gt;"",_xlfn.IFS(AND(BH21&gt;='Variable index'!$K$35,BH21&lt;'Variable index'!$K$36),'Variable index'!$L$35,AND(BH21&gt;='Variable index'!$K$36,BH21&lt;'Variable index'!$K$37),'Variable index'!$L$36,AND(BH21&gt;='Variable index'!$K$37,BH21&lt;'Variable index'!$K$38),'Variable index'!$L$37,BH21&gt;='Variable index'!$K$38,'Variable index'!$L$38),"")</f>
        <v/>
      </c>
      <c r="BH29" s="168" t="str">
        <f>IFERROR(BH$21*BG29,"")</f>
        <v/>
      </c>
      <c r="BJ29" s="192"/>
      <c r="BK29" s="169" t="str" cm="1">
        <f t="array" ref="BK29">IF(BL21&lt;&gt;"",_xlfn.IFS(AND(BL21&gt;='Variable index'!$K$35,BL21&lt;'Variable index'!$K$36),'Variable index'!$L$35,AND(BL21&gt;='Variable index'!$K$36,BL21&lt;'Variable index'!$K$37),'Variable index'!$L$36,AND(BL21&gt;='Variable index'!$K$37,BL21&lt;'Variable index'!$K$38),'Variable index'!$L$37,BL21&gt;='Variable index'!$K$38,'Variable index'!$L$38),"")</f>
        <v/>
      </c>
      <c r="BL29" s="168" t="str">
        <f>IFERROR(BL$21*BK29,"")</f>
        <v/>
      </c>
      <c r="BN29" s="192"/>
      <c r="BO29" s="169" t="str" cm="1">
        <f t="array" ref="BO29">IF(BP21&lt;&gt;"",_xlfn.IFS(AND(BP21&gt;='Variable index'!$K$35,BP21&lt;'Variable index'!$K$36),'Variable index'!$L$35,AND(BP21&gt;='Variable index'!$K$36,BP21&lt;'Variable index'!$K$37),'Variable index'!$L$36,AND(BP21&gt;='Variable index'!$K$37,BP21&lt;'Variable index'!$K$38),'Variable index'!$L$37,BP21&gt;='Variable index'!$K$38,'Variable index'!$L$38),"")</f>
        <v/>
      </c>
      <c r="BP29" s="168" t="str">
        <f>IFERROR(BP$21*BO29,"")</f>
        <v/>
      </c>
      <c r="BR29" s="192"/>
      <c r="BS29" s="169" t="str" cm="1">
        <f t="array" ref="BS29">IF(BT21&lt;&gt;"",_xlfn.IFS(AND(BT21&gt;='Variable index'!$K$35,BT21&lt;'Variable index'!$K$36),'Variable index'!$L$35,AND(BT21&gt;='Variable index'!$K$36,BT21&lt;'Variable index'!$K$37),'Variable index'!$L$36,AND(BT21&gt;='Variable index'!$K$37,BT21&lt;'Variable index'!$K$38),'Variable index'!$L$37,BT21&gt;='Variable index'!$K$38,'Variable index'!$L$38),"")</f>
        <v/>
      </c>
      <c r="BT29" s="168" t="str">
        <f>IFERROR(BT$21*BS29,"")</f>
        <v/>
      </c>
      <c r="BV29" s="192"/>
      <c r="BW29" s="169" t="str" cm="1">
        <f t="array" ref="BW29">IF(BX21&lt;&gt;"",_xlfn.IFS(AND(BX21&gt;='Variable index'!$K$35,BX21&lt;'Variable index'!$K$36),'Variable index'!$L$35,AND(BX21&gt;='Variable index'!$K$36,BX21&lt;'Variable index'!$K$37),'Variable index'!$L$36,AND(BX21&gt;='Variable index'!$K$37,BX21&lt;'Variable index'!$K$38),'Variable index'!$L$37,BX21&gt;='Variable index'!$K$38,'Variable index'!$L$38),"")</f>
        <v/>
      </c>
      <c r="BX29" s="168" t="str">
        <f>IFERROR(BX$21*BW29,"")</f>
        <v/>
      </c>
      <c r="BZ29" s="192"/>
      <c r="CA29" s="169" t="str" cm="1">
        <f t="array" ref="CA29">IF(CB21&lt;&gt;"",_xlfn.IFS(AND(CB21&gt;='Variable index'!$K$35,CB21&lt;'Variable index'!$K$36),'Variable index'!$L$35,AND(CB21&gt;='Variable index'!$K$36,CB21&lt;'Variable index'!$K$37),'Variable index'!$L$36,AND(CB21&gt;='Variable index'!$K$37,CB21&lt;'Variable index'!$K$38),'Variable index'!$L$37,CB21&gt;='Variable index'!$K$38,'Variable index'!$L$38),"")</f>
        <v/>
      </c>
      <c r="CB29" s="168" t="str">
        <f>IFERROR(CB$21*CA29,"")</f>
        <v/>
      </c>
      <c r="CD29" s="192"/>
      <c r="CE29" s="169" t="str" cm="1">
        <f t="array" ref="CE29">IF(CF21&lt;&gt;"",_xlfn.IFS(AND(CF21&gt;='Variable index'!$K$35,CF21&lt;'Variable index'!$K$36),'Variable index'!$L$35,AND(CF21&gt;='Variable index'!$K$36,CF21&lt;'Variable index'!$K$37),'Variable index'!$L$36,AND(CF21&gt;='Variable index'!$K$37,CF21&lt;'Variable index'!$K$38),'Variable index'!$L$37,CF21&gt;='Variable index'!$K$38,'Variable index'!$L$38),"")</f>
        <v/>
      </c>
      <c r="CF29" s="168" t="str">
        <f>IFERROR(CF$21*CE29,"")</f>
        <v/>
      </c>
      <c r="CH29" s="192"/>
      <c r="CI29" s="169" t="str" cm="1">
        <f t="array" ref="CI29">IF(CJ21&lt;&gt;"",_xlfn.IFS(AND(CJ21&gt;='Variable index'!$K$35,CJ21&lt;'Variable index'!$K$36),'Variable index'!$L$35,AND(CJ21&gt;='Variable index'!$K$36,CJ21&lt;'Variable index'!$K$37),'Variable index'!$L$36,AND(CJ21&gt;='Variable index'!$K$37,CJ21&lt;'Variable index'!$K$38),'Variable index'!$L$37,CJ21&gt;='Variable index'!$K$38,'Variable index'!$L$38),"")</f>
        <v/>
      </c>
      <c r="CJ29" s="168" t="str">
        <f>IFERROR(CJ$21*CI29,"")</f>
        <v/>
      </c>
      <c r="CL29" s="192"/>
      <c r="CM29" s="169" t="str" cm="1">
        <f t="array" ref="CM29">IF(CN21&lt;&gt;"",_xlfn.IFS(AND(CN21&gt;='Variable index'!$K$35,CN21&lt;'Variable index'!$K$36),'Variable index'!$L$35,AND(CN21&gt;='Variable index'!$K$36,CN21&lt;'Variable index'!$K$37),'Variable index'!$L$36,AND(CN21&gt;='Variable index'!$K$37,CN21&lt;'Variable index'!$K$38),'Variable index'!$L$37,CN21&gt;='Variable index'!$K$38,'Variable index'!$L$38),"")</f>
        <v/>
      </c>
      <c r="CN29" s="168" t="str">
        <f>IFERROR(CN$21*CM29,"")</f>
        <v/>
      </c>
      <c r="CP29" s="192"/>
      <c r="CQ29" s="169" t="str" cm="1">
        <f t="array" ref="CQ29">IF(CR21&lt;&gt;"",_xlfn.IFS(AND(CR21&gt;='Variable index'!$K$35,CR21&lt;'Variable index'!$K$36),'Variable index'!$L$35,AND(CR21&gt;='Variable index'!$K$36,CR21&lt;'Variable index'!$K$37),'Variable index'!$L$36,AND(CR21&gt;='Variable index'!$K$37,CR21&lt;'Variable index'!$K$38),'Variable index'!$L$37,CR21&gt;='Variable index'!$K$38,'Variable index'!$L$38),"")</f>
        <v/>
      </c>
      <c r="CR29" s="168" t="str">
        <f>IFERROR(CR$21*CQ29,"")</f>
        <v/>
      </c>
      <c r="CT29" s="192"/>
      <c r="CU29" s="169" t="str" cm="1">
        <f t="array" ref="CU29">IF(CV21&lt;&gt;"",_xlfn.IFS(AND(CV21&gt;='Variable index'!$K$35,CV21&lt;'Variable index'!$K$36),'Variable index'!$L$35,AND(CV21&gt;='Variable index'!$K$36,CV21&lt;'Variable index'!$K$37),'Variable index'!$L$36,AND(CV21&gt;='Variable index'!$K$37,CV21&lt;'Variable index'!$K$38),'Variable index'!$L$37,CV21&gt;='Variable index'!$K$38,'Variable index'!$L$38),"")</f>
        <v/>
      </c>
      <c r="CV29" s="168" t="str">
        <f>IFERROR(CV$21*CU29,"")</f>
        <v/>
      </c>
      <c r="CX29" s="192"/>
      <c r="CY29" s="169" t="str" cm="1">
        <f t="array" ref="CY29">IF(CZ21&lt;&gt;"",_xlfn.IFS(AND(CZ21&gt;='Variable index'!$K$35,CZ21&lt;'Variable index'!$K$36),'Variable index'!$L$35,AND(CZ21&gt;='Variable index'!$K$36,CZ21&lt;'Variable index'!$K$37),'Variable index'!$L$36,AND(CZ21&gt;='Variable index'!$K$37,CZ21&lt;'Variable index'!$K$38),'Variable index'!$L$37,CZ21&gt;='Variable index'!$K$38,'Variable index'!$L$38),"")</f>
        <v/>
      </c>
      <c r="CZ29" s="168" t="str">
        <f>IFERROR(CZ$21*CY29,"")</f>
        <v/>
      </c>
      <c r="DB29" s="192"/>
      <c r="DC29" s="169" t="str" cm="1">
        <f t="array" ref="DC29">IF(DD21&lt;&gt;"",_xlfn.IFS(AND(DD21&gt;='Variable index'!$K$35,DD21&lt;'Variable index'!$K$36),'Variable index'!$L$35,AND(DD21&gt;='Variable index'!$K$36,DD21&lt;'Variable index'!$K$37),'Variable index'!$L$36,AND(DD21&gt;='Variable index'!$K$37,DD21&lt;'Variable index'!$K$38),'Variable index'!$L$37,DD21&gt;='Variable index'!$K$38,'Variable index'!$L$38),"")</f>
        <v/>
      </c>
      <c r="DD29" s="168" t="str">
        <f>IFERROR(DD$21*DC29,"")</f>
        <v/>
      </c>
      <c r="DF29" s="192"/>
      <c r="DG29" s="169" t="str" cm="1">
        <f t="array" ref="DG29">IF(DH21&lt;&gt;"",_xlfn.IFS(AND(DH21&gt;='Variable index'!$K$35,DH21&lt;'Variable index'!$K$36),'Variable index'!$L$35,AND(DH21&gt;='Variable index'!$K$36,DH21&lt;'Variable index'!$K$37),'Variable index'!$L$36,AND(DH21&gt;='Variable index'!$K$37,DH21&lt;'Variable index'!$K$38),'Variable index'!$L$37,DH21&gt;='Variable index'!$K$38,'Variable index'!$L$38),"")</f>
        <v/>
      </c>
      <c r="DH29" s="168" t="str">
        <f>IFERROR(DH$21*DG29,"")</f>
        <v/>
      </c>
      <c r="DJ29" s="192"/>
      <c r="DK29" s="169" t="str" cm="1">
        <f t="array" ref="DK29">IF(DL21&lt;&gt;"",_xlfn.IFS(AND(DL21&gt;='Variable index'!$K$35,DL21&lt;'Variable index'!$K$36),'Variable index'!$L$35,AND(DL21&gt;='Variable index'!$K$36,DL21&lt;'Variable index'!$K$37),'Variable index'!$L$36,AND(DL21&gt;='Variable index'!$K$37,DL21&lt;'Variable index'!$K$38),'Variable index'!$L$37,DL21&gt;='Variable index'!$K$38,'Variable index'!$L$38),"")</f>
        <v/>
      </c>
      <c r="DL29" s="168" t="str">
        <f>IFERROR(DL$21*DK29,"")</f>
        <v/>
      </c>
      <c r="DN29" s="192"/>
      <c r="DO29" s="169" t="str" cm="1">
        <f t="array" ref="DO29">IF(DP21&lt;&gt;"",_xlfn.IFS(AND(DP21&gt;='Variable index'!$K$35,DP21&lt;'Variable index'!$K$36),'Variable index'!$L$35,AND(DP21&gt;='Variable index'!$K$36,DP21&lt;'Variable index'!$K$37),'Variable index'!$L$36,AND(DP21&gt;='Variable index'!$K$37,DP21&lt;'Variable index'!$K$38),'Variable index'!$L$37,DP21&gt;='Variable index'!$K$38,'Variable index'!$L$38),"")</f>
        <v/>
      </c>
      <c r="DP29" s="168" t="str">
        <f>IFERROR(DP$21*DO29,"")</f>
        <v/>
      </c>
      <c r="DR29" s="192"/>
      <c r="DS29" s="169" t="str" cm="1">
        <f t="array" ref="DS29">IF(DT21&lt;&gt;"",_xlfn.IFS(AND(DT21&gt;='Variable index'!$K$35,DT21&lt;'Variable index'!$K$36),'Variable index'!$L$35,AND(DT21&gt;='Variable index'!$K$36,DT21&lt;'Variable index'!$K$37),'Variable index'!$L$36,AND(DT21&gt;='Variable index'!$K$37,DT21&lt;'Variable index'!$K$38),'Variable index'!$L$37,DT21&gt;='Variable index'!$K$38,'Variable index'!$L$38),"")</f>
        <v/>
      </c>
      <c r="DT29" s="168" t="str">
        <f>IFERROR(DT$21*DS29,"")</f>
        <v/>
      </c>
      <c r="DV29" s="192"/>
      <c r="DW29" s="169" t="str" cm="1">
        <f t="array" ref="DW29">IF(DX21&lt;&gt;"",_xlfn.IFS(AND(DX21&gt;='Variable index'!$K$35,DX21&lt;'Variable index'!$K$36),'Variable index'!$L$35,AND(DX21&gt;='Variable index'!$K$36,DX21&lt;'Variable index'!$K$37),'Variable index'!$L$36,AND(DX21&gt;='Variable index'!$K$37,DX21&lt;'Variable index'!$K$38),'Variable index'!$L$37,DX21&gt;='Variable index'!$K$38,'Variable index'!$L$38),"")</f>
        <v/>
      </c>
      <c r="DX29" s="168" t="str">
        <f>IFERROR(DX$21*DW29,"")</f>
        <v/>
      </c>
      <c r="DZ29" s="192"/>
      <c r="EA29" s="169" t="str" cm="1">
        <f t="array" ref="EA29">IF(EB21&lt;&gt;"",_xlfn.IFS(AND(EB21&gt;='Variable index'!$K$35,EB21&lt;'Variable index'!$K$36),'Variable index'!$L$35,AND(EB21&gt;='Variable index'!$K$36,EB21&lt;'Variable index'!$K$37),'Variable index'!$L$36,AND(EB21&gt;='Variable index'!$K$37,EB21&lt;'Variable index'!$K$38),'Variable index'!$L$37,EB21&gt;='Variable index'!$K$38,'Variable index'!$L$38),"")</f>
        <v/>
      </c>
      <c r="EB29" s="168" t="str">
        <f>IFERROR(EB$21*EA29,"")</f>
        <v/>
      </c>
      <c r="ED29" s="192"/>
      <c r="EE29" s="169" t="str" cm="1">
        <f t="array" ref="EE29">IF(EF21&lt;&gt;"",_xlfn.IFS(AND(EF21&gt;='Variable index'!$K$35,EF21&lt;'Variable index'!$K$36),'Variable index'!$L$35,AND(EF21&gt;='Variable index'!$K$36,EF21&lt;'Variable index'!$K$37),'Variable index'!$L$36,AND(EF21&gt;='Variable index'!$K$37,EF21&lt;'Variable index'!$K$38),'Variable index'!$L$37,EF21&gt;='Variable index'!$K$38,'Variable index'!$L$38),"")</f>
        <v/>
      </c>
      <c r="EF29" s="168" t="str">
        <f>IFERROR(EF$21*EE29,"")</f>
        <v/>
      </c>
      <c r="EH29" s="192"/>
      <c r="EI29" s="169" t="str" cm="1">
        <f t="array" ref="EI29">IF(EJ21&lt;&gt;"",_xlfn.IFS(AND(EJ21&gt;='Variable index'!$K$35,EJ21&lt;'Variable index'!$K$36),'Variable index'!$L$35,AND(EJ21&gt;='Variable index'!$K$36,EJ21&lt;'Variable index'!$K$37),'Variable index'!$L$36,AND(EJ21&gt;='Variable index'!$K$37,EJ21&lt;'Variable index'!$K$38),'Variable index'!$L$37,EJ21&gt;='Variable index'!$K$38,'Variable index'!$L$38),"")</f>
        <v/>
      </c>
      <c r="EJ29" s="168" t="str">
        <f>IFERROR(EJ$21*EI29,"")</f>
        <v/>
      </c>
      <c r="EL29" s="192"/>
      <c r="EM29" s="169" t="str" cm="1">
        <f t="array" ref="EM29">IF(EN21&lt;&gt;"",_xlfn.IFS(AND(EN21&gt;='Variable index'!$K$35,EN21&lt;'Variable index'!$K$36),'Variable index'!$L$35,AND(EN21&gt;='Variable index'!$K$36,EN21&lt;'Variable index'!$K$37),'Variable index'!$L$36,AND(EN21&gt;='Variable index'!$K$37,EN21&lt;'Variable index'!$K$38),'Variable index'!$L$37,EN21&gt;='Variable index'!$K$38,'Variable index'!$L$38),"")</f>
        <v/>
      </c>
      <c r="EN29" s="168" t="str">
        <f>IFERROR(EN$21*EM29,"")</f>
        <v/>
      </c>
      <c r="EP29" s="192"/>
      <c r="EQ29" s="169" t="str" cm="1">
        <f t="array" ref="EQ29">IF(ER21&lt;&gt;"",_xlfn.IFS(AND(ER21&gt;='Variable index'!$K$35,ER21&lt;'Variable index'!$K$36),'Variable index'!$L$35,AND(ER21&gt;='Variable index'!$K$36,ER21&lt;'Variable index'!$K$37),'Variable index'!$L$36,AND(ER21&gt;='Variable index'!$K$37,ER21&lt;'Variable index'!$K$38),'Variable index'!$L$37,ER21&gt;='Variable index'!$K$38,'Variable index'!$L$38),"")</f>
        <v/>
      </c>
      <c r="ER29" s="168" t="str">
        <f>IFERROR(ER$21*EQ29,"")</f>
        <v/>
      </c>
      <c r="ET29" s="192"/>
      <c r="EU29" s="169" t="str" cm="1">
        <f t="array" ref="EU29">IF(EV21&lt;&gt;"",_xlfn.IFS(AND(EV21&gt;='Variable index'!$K$35,EV21&lt;'Variable index'!$K$36),'Variable index'!$L$35,AND(EV21&gt;='Variable index'!$K$36,EV21&lt;'Variable index'!$K$37),'Variable index'!$L$36,AND(EV21&gt;='Variable index'!$K$37,EV21&lt;'Variable index'!$K$38),'Variable index'!$L$37,EV21&gt;='Variable index'!$K$38,'Variable index'!$L$38),"")</f>
        <v/>
      </c>
      <c r="EV29" s="168" t="str">
        <f>IFERROR(EV$21*EU29,"")</f>
        <v/>
      </c>
      <c r="EX29" s="192"/>
      <c r="EY29" s="169" t="str" cm="1">
        <f t="array" ref="EY29">IF(EZ21&lt;&gt;"",_xlfn.IFS(AND(EZ21&gt;='Variable index'!$K$35,EZ21&lt;'Variable index'!$K$36),'Variable index'!$L$35,AND(EZ21&gt;='Variable index'!$K$36,EZ21&lt;'Variable index'!$K$37),'Variable index'!$L$36,AND(EZ21&gt;='Variable index'!$K$37,EZ21&lt;'Variable index'!$K$38),'Variable index'!$L$37,EZ21&gt;='Variable index'!$K$38,'Variable index'!$L$38),"")</f>
        <v/>
      </c>
      <c r="EZ29" s="168" t="str">
        <f>IFERROR(EZ$21*EY29,"")</f>
        <v/>
      </c>
      <c r="FB29" s="192"/>
      <c r="FC29" s="169" t="str" cm="1">
        <f t="array" ref="FC29">IF(FD21&lt;&gt;"",_xlfn.IFS(AND(FD21&gt;='Variable index'!$K$35,FD21&lt;'Variable index'!$K$36),'Variable index'!$L$35,AND(FD21&gt;='Variable index'!$K$36,FD21&lt;'Variable index'!$K$37),'Variable index'!$L$36,AND(FD21&gt;='Variable index'!$K$37,FD21&lt;'Variable index'!$K$38),'Variable index'!$L$37,FD21&gt;='Variable index'!$K$38,'Variable index'!$L$38),"")</f>
        <v/>
      </c>
      <c r="FD29" s="168" t="str">
        <f>IFERROR(FD$21*FC29,"")</f>
        <v/>
      </c>
      <c r="FF29" s="192"/>
      <c r="FG29" s="169" t="str" cm="1">
        <f t="array" ref="FG29">IF(FH21&lt;&gt;"",_xlfn.IFS(AND(FH21&gt;='Variable index'!$K$35,FH21&lt;'Variable index'!$K$36),'Variable index'!$L$35,AND(FH21&gt;='Variable index'!$K$36,FH21&lt;'Variable index'!$K$37),'Variable index'!$L$36,AND(FH21&gt;='Variable index'!$K$37,FH21&lt;'Variable index'!$K$38),'Variable index'!$L$37,FH21&gt;='Variable index'!$K$38,'Variable index'!$L$38),"")</f>
        <v/>
      </c>
      <c r="FH29" s="168" t="str">
        <f>IFERROR(FH$21*FG29,"")</f>
        <v/>
      </c>
      <c r="FJ29" s="192"/>
      <c r="FK29" s="169" t="str" cm="1">
        <f t="array" ref="FK29">IF(FL21&lt;&gt;"",_xlfn.IFS(AND(FL21&gt;='Variable index'!$K$35,FL21&lt;'Variable index'!$K$36),'Variable index'!$L$35,AND(FL21&gt;='Variable index'!$K$36,FL21&lt;'Variable index'!$K$37),'Variable index'!$L$36,AND(FL21&gt;='Variable index'!$K$37,FL21&lt;'Variable index'!$K$38),'Variable index'!$L$37,FL21&gt;='Variable index'!$K$38,'Variable index'!$L$38),"")</f>
        <v/>
      </c>
      <c r="FL29" s="168" t="str">
        <f>IFERROR(FL$21*FK29,"")</f>
        <v/>
      </c>
      <c r="FN29" s="192"/>
      <c r="FO29" s="169" t="str" cm="1">
        <f t="array" ref="FO29">IF(FP21&lt;&gt;"",_xlfn.IFS(AND(FP21&gt;='Variable index'!$K$35,FP21&lt;'Variable index'!$K$36),'Variable index'!$L$35,AND(FP21&gt;='Variable index'!$K$36,FP21&lt;'Variable index'!$K$37),'Variable index'!$L$36,AND(FP21&gt;='Variable index'!$K$37,FP21&lt;'Variable index'!$K$38),'Variable index'!$L$37,FP21&gt;='Variable index'!$K$38,'Variable index'!$L$38),"")</f>
        <v/>
      </c>
      <c r="FP29" s="168" t="str">
        <f>IFERROR(FP$21*FO29,"")</f>
        <v/>
      </c>
      <c r="FR29" s="192"/>
      <c r="FS29" s="169" t="str" cm="1">
        <f t="array" ref="FS29">IF(FT21&lt;&gt;"",_xlfn.IFS(AND(FT21&gt;='Variable index'!$K$35,FT21&lt;'Variable index'!$K$36),'Variable index'!$L$35,AND(FT21&gt;='Variable index'!$K$36,FT21&lt;'Variable index'!$K$37),'Variable index'!$L$36,AND(FT21&gt;='Variable index'!$K$37,FT21&lt;'Variable index'!$K$38),'Variable index'!$L$37,FT21&gt;='Variable index'!$K$38,'Variable index'!$L$38),"")</f>
        <v/>
      </c>
      <c r="FT29" s="168" t="str">
        <f>IFERROR(FT$21*FS29,"")</f>
        <v/>
      </c>
      <c r="FV29" s="192"/>
      <c r="FW29" s="169" t="str" cm="1">
        <f t="array" ref="FW29">IF(FX21&lt;&gt;"",_xlfn.IFS(AND(FX21&gt;='Variable index'!$K$35,FX21&lt;'Variable index'!$K$36),'Variable index'!$L$35,AND(FX21&gt;='Variable index'!$K$36,FX21&lt;'Variable index'!$K$37),'Variable index'!$L$36,AND(FX21&gt;='Variable index'!$K$37,FX21&lt;'Variable index'!$K$38),'Variable index'!$L$37,FX21&gt;='Variable index'!$K$38,'Variable index'!$L$38),"")</f>
        <v/>
      </c>
      <c r="FX29" s="168" t="str">
        <f>IFERROR(FX$21*FW29,"")</f>
        <v/>
      </c>
      <c r="FZ29" s="192"/>
      <c r="GA29" s="169" t="str" cm="1">
        <f t="array" ref="GA29">IF(GB21&lt;&gt;"",_xlfn.IFS(AND(GB21&gt;='Variable index'!$K$35,GB21&lt;'Variable index'!$K$36),'Variable index'!$L$35,AND(GB21&gt;='Variable index'!$K$36,GB21&lt;'Variable index'!$K$37),'Variable index'!$L$36,AND(GB21&gt;='Variable index'!$K$37,GB21&lt;'Variable index'!$K$38),'Variable index'!$L$37,GB21&gt;='Variable index'!$K$38,'Variable index'!$L$38),"")</f>
        <v/>
      </c>
      <c r="GB29" s="168" t="str">
        <f>IFERROR(GB$21*GA29,"")</f>
        <v/>
      </c>
      <c r="GD29" s="192"/>
      <c r="GE29" s="169" t="str" cm="1">
        <f t="array" ref="GE29">IF(GF21&lt;&gt;"",_xlfn.IFS(AND(GF21&gt;='Variable index'!$K$35,GF21&lt;'Variable index'!$K$36),'Variable index'!$L$35,AND(GF21&gt;='Variable index'!$K$36,GF21&lt;'Variable index'!$K$37),'Variable index'!$L$36,AND(GF21&gt;='Variable index'!$K$37,GF21&lt;'Variable index'!$K$38),'Variable index'!$L$37,GF21&gt;='Variable index'!$K$38,'Variable index'!$L$38),"")</f>
        <v/>
      </c>
      <c r="GF29" s="168" t="str">
        <f>IFERROR(GF$21*GE29,"")</f>
        <v/>
      </c>
      <c r="GH29" s="192"/>
      <c r="GI29" s="169" t="str" cm="1">
        <f t="array" ref="GI29">IF(GJ21&lt;&gt;"",_xlfn.IFS(AND(GJ21&gt;='Variable index'!$K$35,GJ21&lt;'Variable index'!$K$36),'Variable index'!$L$35,AND(GJ21&gt;='Variable index'!$K$36,GJ21&lt;'Variable index'!$K$37),'Variable index'!$L$36,AND(GJ21&gt;='Variable index'!$K$37,GJ21&lt;'Variable index'!$K$38),'Variable index'!$L$37,GJ21&gt;='Variable index'!$K$38,'Variable index'!$L$38),"")</f>
        <v/>
      </c>
      <c r="GJ29" s="168" t="str">
        <f>IFERROR(GJ$21*GI29,"")</f>
        <v/>
      </c>
      <c r="GL29" s="192"/>
      <c r="GM29" s="169" t="str" cm="1">
        <f t="array" ref="GM29">IF(GN21&lt;&gt;"",_xlfn.IFS(AND(GN21&gt;='Variable index'!$K$35,GN21&lt;'Variable index'!$K$36),'Variable index'!$L$35,AND(GN21&gt;='Variable index'!$K$36,GN21&lt;'Variable index'!$K$37),'Variable index'!$L$36,AND(GN21&gt;='Variable index'!$K$37,GN21&lt;'Variable index'!$K$38),'Variable index'!$L$37,GN21&gt;='Variable index'!$K$38,'Variable index'!$L$38),"")</f>
        <v/>
      </c>
      <c r="GN29" s="168" t="str">
        <f>IFERROR(GN$21*GM29,"")</f>
        <v/>
      </c>
      <c r="GP29" s="192"/>
      <c r="GQ29" s="169" t="str" cm="1">
        <f t="array" ref="GQ29">IF(GR21&lt;&gt;"",_xlfn.IFS(AND(GR21&gt;='Variable index'!$K$35,GR21&lt;'Variable index'!$K$36),'Variable index'!$L$35,AND(GR21&gt;='Variable index'!$K$36,GR21&lt;'Variable index'!$K$37),'Variable index'!$L$36,AND(GR21&gt;='Variable index'!$K$37,GR21&lt;'Variable index'!$K$38),'Variable index'!$L$37,GR21&gt;='Variable index'!$K$38,'Variable index'!$L$38),"")</f>
        <v/>
      </c>
      <c r="GR29" s="168" t="str">
        <f>IFERROR(GR$21*GQ29,"")</f>
        <v/>
      </c>
      <c r="GT29" s="192"/>
      <c r="GU29" s="169" t="str" cm="1">
        <f t="array" ref="GU29">IF(GV21&lt;&gt;"",_xlfn.IFS(AND(GV21&gt;='Variable index'!$K$35,GV21&lt;'Variable index'!$K$36),'Variable index'!$L$35,AND(GV21&gt;='Variable index'!$K$36,GV21&lt;'Variable index'!$K$37),'Variable index'!$L$36,AND(GV21&gt;='Variable index'!$K$37,GV21&lt;'Variable index'!$K$38),'Variable index'!$L$37,GV21&gt;='Variable index'!$K$38,'Variable index'!$L$38),"")</f>
        <v/>
      </c>
      <c r="GV29" s="168" t="str">
        <f>IFERROR(GV$21*GU29,"")</f>
        <v/>
      </c>
    </row>
    <row r="30" spans="4:204" x14ac:dyDescent="0.2">
      <c r="D30" t="s">
        <v>158</v>
      </c>
      <c r="F30" s="232" t="str">
        <f>IF(_xlfn.XLOOKUP(F$14,TableStormwater['#],TableStormwater[Is there a cultural heritage impact?])&lt;&gt;"",_xlfn.XLOOKUP(F$14,TableStormwater['#],TableStormwater[Is there a cultural heritage impact?]),"")</f>
        <v/>
      </c>
      <c r="G30" s="160" t="str" cm="1">
        <f t="array" ref="G30">IF(F30&lt;&gt;"",_xlfn.IFS(F30="Yes",_xlfn.IFS(AND(H21&gt;='Variable index'!$K$35,H21&lt;'Variable index'!$K$36),'Variable index'!$M$35,AND(H21&gt;='Variable index'!$K$36,H21&lt;'Variable index'!$K$37),'Variable index'!$M$36,AND(H21&gt;='Variable index'!$K$37,H21&lt;'Variable index'!$K$38),'Variable index'!$M$37,H21&gt;='Variable index'!$K$38,'Variable index'!$M$38),F30="No",0),"")</f>
        <v/>
      </c>
      <c r="H30" s="168" t="str">
        <f>IFERROR(H$21*G30,"")</f>
        <v/>
      </c>
      <c r="J30" s="232" t="str">
        <f>IF(_xlfn.XLOOKUP(J$14,TableStormwater['#],TableStormwater[Is there a cultural heritage impact?])&lt;&gt;"",_xlfn.XLOOKUP(J$14,TableStormwater['#],TableStormwater[Is there a cultural heritage impact?]),"")</f>
        <v/>
      </c>
      <c r="K30" s="160" t="str" cm="1">
        <f t="array" ref="K30">IF(J30&lt;&gt;"",_xlfn.IFS(J30="Yes",_xlfn.IFS(AND(L21&gt;='Variable index'!$K$35,L21&lt;'Variable index'!$K$36),'Variable index'!$M$35,AND(L21&gt;='Variable index'!$K$36,L21&lt;'Variable index'!$K$37),'Variable index'!$M$36,AND(L21&gt;='Variable index'!$K$37,L21&lt;'Variable index'!$K$38),'Variable index'!$M$37,L21&gt;='Variable index'!$K$38,'Variable index'!$M$38),J30="No",0),"")</f>
        <v/>
      </c>
      <c r="L30" s="168" t="str">
        <f>IFERROR(L$21*K30,"")</f>
        <v/>
      </c>
      <c r="N30" s="232" t="str">
        <f>IF(_xlfn.XLOOKUP(N$14,TableStormwater['#],TableStormwater[Is there a cultural heritage impact?])&lt;&gt;"",_xlfn.XLOOKUP(N$14,TableStormwater['#],TableStormwater[Is there a cultural heritage impact?]),"")</f>
        <v/>
      </c>
      <c r="O30" s="160" t="str" cm="1">
        <f t="array" ref="O30">IF(N30&lt;&gt;"",_xlfn.IFS(N30="Yes",_xlfn.IFS(AND(P21&gt;='Variable index'!$K$35,P21&lt;'Variable index'!$K$36),'Variable index'!$M$35,AND(P21&gt;='Variable index'!$K$36,P21&lt;'Variable index'!$K$37),'Variable index'!$M$36,AND(P21&gt;='Variable index'!$K$37,P21&lt;'Variable index'!$K$38),'Variable index'!$M$37,P21&gt;='Variable index'!$K$38,'Variable index'!$M$38),N30="No",0),"")</f>
        <v/>
      </c>
      <c r="P30" s="168" t="str">
        <f>IFERROR(P$21*O30,"")</f>
        <v/>
      </c>
      <c r="R30" s="232" t="str">
        <f>IF(_xlfn.XLOOKUP(R$14,TableStormwater['#],TableStormwater[Is there a cultural heritage impact?])&lt;&gt;"",_xlfn.XLOOKUP(R$14,TableStormwater['#],TableStormwater[Is there a cultural heritage impact?]),"")</f>
        <v/>
      </c>
      <c r="S30" s="160" t="str" cm="1">
        <f t="array" ref="S30">IF(R30&lt;&gt;"",_xlfn.IFS(R30="Yes",_xlfn.IFS(AND(T21&gt;='Variable index'!$K$35,T21&lt;'Variable index'!$K$36),'Variable index'!$M$35,AND(T21&gt;='Variable index'!$K$36,T21&lt;'Variable index'!$K$37),'Variable index'!$M$36,AND(T21&gt;='Variable index'!$K$37,T21&lt;'Variable index'!$K$38),'Variable index'!$M$37,T21&gt;='Variable index'!$K$38,'Variable index'!$M$38),R30="No",0),"")</f>
        <v/>
      </c>
      <c r="T30" s="168" t="str">
        <f>IFERROR(T$21*S30,"")</f>
        <v/>
      </c>
      <c r="V30" s="232" t="str">
        <f>IF(_xlfn.XLOOKUP(V$14,TableStormwater['#],TableStormwater[Is there a cultural heritage impact?])&lt;&gt;"",_xlfn.XLOOKUP(V$14,TableStormwater['#],TableStormwater[Is there a cultural heritage impact?]),"")</f>
        <v/>
      </c>
      <c r="W30" s="160" t="str" cm="1">
        <f t="array" ref="W30">IF(V30&lt;&gt;"",_xlfn.IFS(V30="Yes",_xlfn.IFS(AND(X21&gt;='Variable index'!$K$35,X21&lt;'Variable index'!$K$36),'Variable index'!$M$35,AND(X21&gt;='Variable index'!$K$36,X21&lt;'Variable index'!$K$37),'Variable index'!$M$36,AND(X21&gt;='Variable index'!$K$37,X21&lt;'Variable index'!$K$38),'Variable index'!$M$37,X21&gt;='Variable index'!$K$38,'Variable index'!$M$38),V30="No",0),"")</f>
        <v/>
      </c>
      <c r="X30" s="168" t="str">
        <f>IFERROR(X$21*W30,"")</f>
        <v/>
      </c>
      <c r="Z30" s="232" t="str">
        <f>IF(_xlfn.XLOOKUP(Z$14,TableStormwater['#],TableStormwater[Is there a cultural heritage impact?])&lt;&gt;"",_xlfn.XLOOKUP(Z$14,TableStormwater['#],TableStormwater[Is there a cultural heritage impact?]),"")</f>
        <v/>
      </c>
      <c r="AA30" s="160" t="str" cm="1">
        <f t="array" ref="AA30">IF(Z30&lt;&gt;"",_xlfn.IFS(Z30="Yes",_xlfn.IFS(AND(AB21&gt;='Variable index'!$K$35,AB21&lt;'Variable index'!$K$36),'Variable index'!$M$35,AND(AB21&gt;='Variable index'!$K$36,AB21&lt;'Variable index'!$K$37),'Variable index'!$M$36,AND(AB21&gt;='Variable index'!$K$37,AB21&lt;'Variable index'!$K$38),'Variable index'!$M$37,AB21&gt;='Variable index'!$K$38,'Variable index'!$M$38),Z30="No",0),"")</f>
        <v/>
      </c>
      <c r="AB30" s="168" t="str">
        <f>IFERROR(AB$21*AA30,"")</f>
        <v/>
      </c>
      <c r="AD30" s="232" t="str">
        <f>IF(_xlfn.XLOOKUP(AD$14,TableStormwater['#],TableStormwater[Is there a cultural heritage impact?])&lt;&gt;"",_xlfn.XLOOKUP(AD$14,TableStormwater['#],TableStormwater[Is there a cultural heritage impact?]),"")</f>
        <v/>
      </c>
      <c r="AE30" s="160" t="str" cm="1">
        <f t="array" ref="AE30">IF(AD30&lt;&gt;"",_xlfn.IFS(AD30="Yes",_xlfn.IFS(AND(AF21&gt;='Variable index'!$K$35,AF21&lt;'Variable index'!$K$36),'Variable index'!$M$35,AND(AF21&gt;='Variable index'!$K$36,AF21&lt;'Variable index'!$K$37),'Variable index'!$M$36,AND(AF21&gt;='Variable index'!$K$37,AF21&lt;'Variable index'!$K$38),'Variable index'!$M$37,AF21&gt;='Variable index'!$K$38,'Variable index'!$M$38),AD30="No",0),"")</f>
        <v/>
      </c>
      <c r="AF30" s="168" t="str">
        <f>IFERROR(AF$21*AE30,"")</f>
        <v/>
      </c>
      <c r="AH30" s="232" t="str">
        <f>IF(_xlfn.XLOOKUP(AH$14,TableStormwater['#],TableStormwater[Is there a cultural heritage impact?])&lt;&gt;"",_xlfn.XLOOKUP(AH$14,TableStormwater['#],TableStormwater[Is there a cultural heritage impact?]),"")</f>
        <v/>
      </c>
      <c r="AI30" s="160" t="str" cm="1">
        <f t="array" ref="AI30">IF(AH30&lt;&gt;"",_xlfn.IFS(AH30="Yes",_xlfn.IFS(AND(AJ21&gt;='Variable index'!$K$35,AJ21&lt;'Variable index'!$K$36),'Variable index'!$M$35,AND(AJ21&gt;='Variable index'!$K$36,AJ21&lt;'Variable index'!$K$37),'Variable index'!$M$36,AND(AJ21&gt;='Variable index'!$K$37,AJ21&lt;'Variable index'!$K$38),'Variable index'!$M$37,AJ21&gt;='Variable index'!$K$38,'Variable index'!$M$38),AH30="No",0),"")</f>
        <v/>
      </c>
      <c r="AJ30" s="168" t="str">
        <f>IFERROR(AJ$21*AI30,"")</f>
        <v/>
      </c>
      <c r="AL30" s="232" t="str">
        <f>IF(_xlfn.XLOOKUP(AL$14,TableStormwater['#],TableStormwater[Is there a cultural heritage impact?])&lt;&gt;"",_xlfn.XLOOKUP(AL$14,TableStormwater['#],TableStormwater[Is there a cultural heritage impact?]),"")</f>
        <v/>
      </c>
      <c r="AM30" s="160" t="str" cm="1">
        <f t="array" ref="AM30">IF(AL30&lt;&gt;"",_xlfn.IFS(AL30="Yes",_xlfn.IFS(AND(AN21&gt;='Variable index'!$K$35,AN21&lt;'Variable index'!$K$36),'Variable index'!$M$35,AND(AN21&gt;='Variable index'!$K$36,AN21&lt;'Variable index'!$K$37),'Variable index'!$M$36,AND(AN21&gt;='Variable index'!$K$37,AN21&lt;'Variable index'!$K$38),'Variable index'!$M$37,AN21&gt;='Variable index'!$K$38,'Variable index'!$M$38),AL30="No",0),"")</f>
        <v/>
      </c>
      <c r="AN30" s="168" t="str">
        <f>IFERROR(AN$21*AM30,"")</f>
        <v/>
      </c>
      <c r="AP30" s="232" t="str">
        <f>IF(_xlfn.XLOOKUP(AP$14,TableStormwater['#],TableStormwater[Is there a cultural heritage impact?])&lt;&gt;"",_xlfn.XLOOKUP(AP$14,TableStormwater['#],TableStormwater[Is there a cultural heritage impact?]),"")</f>
        <v/>
      </c>
      <c r="AQ30" s="160" t="str" cm="1">
        <f t="array" ref="AQ30">IF(AP30&lt;&gt;"",_xlfn.IFS(AP30="Yes",_xlfn.IFS(AND(AR21&gt;='Variable index'!$K$35,AR21&lt;'Variable index'!$K$36),'Variable index'!$M$35,AND(AR21&gt;='Variable index'!$K$36,AR21&lt;'Variable index'!$K$37),'Variable index'!$M$36,AND(AR21&gt;='Variable index'!$K$37,AR21&lt;'Variable index'!$K$38),'Variable index'!$M$37,AR21&gt;='Variable index'!$K$38,'Variable index'!$M$38),AP30="No",0),"")</f>
        <v/>
      </c>
      <c r="AR30" s="168" t="str">
        <f>IFERROR(AR$21*AQ30,"")</f>
        <v/>
      </c>
      <c r="AT30" s="232" t="str">
        <f>IF(_xlfn.XLOOKUP(AT$14,TableStormwater['#],TableStormwater[Is there a cultural heritage impact?])&lt;&gt;"",_xlfn.XLOOKUP(AT$14,TableStormwater['#],TableStormwater[Is there a cultural heritage impact?]),"")</f>
        <v/>
      </c>
      <c r="AU30" s="160" t="str" cm="1">
        <f t="array" ref="AU30">IF(AT30&lt;&gt;"",_xlfn.IFS(AT30="Yes",_xlfn.IFS(AND(AV21&gt;='Variable index'!$K$35,AV21&lt;'Variable index'!$K$36),'Variable index'!$M$35,AND(AV21&gt;='Variable index'!$K$36,AV21&lt;'Variable index'!$K$37),'Variable index'!$M$36,AND(AV21&gt;='Variable index'!$K$37,AV21&lt;'Variable index'!$K$38),'Variable index'!$M$37,AV21&gt;='Variable index'!$K$38,'Variable index'!$M$38),AT30="No",0),"")</f>
        <v/>
      </c>
      <c r="AV30" s="168" t="str">
        <f>IFERROR(AV$21*AU30,"")</f>
        <v/>
      </c>
      <c r="AX30" s="232" t="str">
        <f>IF(_xlfn.XLOOKUP(AX$14,TableStormwater['#],TableStormwater[Is there a cultural heritage impact?])&lt;&gt;"",_xlfn.XLOOKUP(AX$14,TableStormwater['#],TableStormwater[Is there a cultural heritage impact?]),"")</f>
        <v/>
      </c>
      <c r="AY30" s="160" t="str" cm="1">
        <f t="array" ref="AY30">IF(AX30&lt;&gt;"",_xlfn.IFS(AX30="Yes",_xlfn.IFS(AND(AZ21&gt;='Variable index'!$K$35,AZ21&lt;'Variable index'!$K$36),'Variable index'!$M$35,AND(AZ21&gt;='Variable index'!$K$36,AZ21&lt;'Variable index'!$K$37),'Variable index'!$M$36,AND(AZ21&gt;='Variable index'!$K$37,AZ21&lt;'Variable index'!$K$38),'Variable index'!$M$37,AZ21&gt;='Variable index'!$K$38,'Variable index'!$M$38),AX30="No",0),"")</f>
        <v/>
      </c>
      <c r="AZ30" s="168" t="str">
        <f>IFERROR(AZ$21*AY30,"")</f>
        <v/>
      </c>
      <c r="BB30" s="232" t="str">
        <f>IF(_xlfn.XLOOKUP(BB$14,TableStormwater['#],TableStormwater[Is there a cultural heritage impact?])&lt;&gt;"",_xlfn.XLOOKUP(BB$14,TableStormwater['#],TableStormwater[Is there a cultural heritage impact?]),"")</f>
        <v/>
      </c>
      <c r="BC30" s="160" t="str" cm="1">
        <f t="array" ref="BC30">IF(BB30&lt;&gt;"",_xlfn.IFS(BB30="Yes",_xlfn.IFS(AND(BD21&gt;='Variable index'!$K$35,BD21&lt;'Variable index'!$K$36),'Variable index'!$M$35,AND(BD21&gt;='Variable index'!$K$36,BD21&lt;'Variable index'!$K$37),'Variable index'!$M$36,AND(BD21&gt;='Variable index'!$K$37,BD21&lt;'Variable index'!$K$38),'Variable index'!$M$37,BD21&gt;='Variable index'!$K$38,'Variable index'!$M$38),BB30="No",0),"")</f>
        <v/>
      </c>
      <c r="BD30" s="168" t="str">
        <f>IFERROR(BD$21*BC30,"")</f>
        <v/>
      </c>
      <c r="BF30" s="232" t="str">
        <f>IF(_xlfn.XLOOKUP(BF$14,TableStormwater['#],TableStormwater[Is there a cultural heritage impact?])&lt;&gt;"",_xlfn.XLOOKUP(BF$14,TableStormwater['#],TableStormwater[Is there a cultural heritage impact?]),"")</f>
        <v/>
      </c>
      <c r="BG30" s="160" t="str" cm="1">
        <f t="array" ref="BG30">IF(BF30&lt;&gt;"",_xlfn.IFS(BF30="Yes",_xlfn.IFS(AND(BH21&gt;='Variable index'!$K$35,BH21&lt;'Variable index'!$K$36),'Variable index'!$M$35,AND(BH21&gt;='Variable index'!$K$36,BH21&lt;'Variable index'!$K$37),'Variable index'!$M$36,AND(BH21&gt;='Variable index'!$K$37,BH21&lt;'Variable index'!$K$38),'Variable index'!$M$37,BH21&gt;='Variable index'!$K$38,'Variable index'!$M$38),BF30="No",0),"")</f>
        <v/>
      </c>
      <c r="BH30" s="168" t="str">
        <f>IFERROR(BH$21*BG30,"")</f>
        <v/>
      </c>
      <c r="BJ30" s="232" t="str">
        <f>IF(_xlfn.XLOOKUP(BJ$14,TableStormwater['#],TableStormwater[Is there a cultural heritage impact?])&lt;&gt;"",_xlfn.XLOOKUP(BJ$14,TableStormwater['#],TableStormwater[Is there a cultural heritage impact?]),"")</f>
        <v/>
      </c>
      <c r="BK30" s="160" t="str" cm="1">
        <f t="array" ref="BK30">IF(BJ30&lt;&gt;"",_xlfn.IFS(BJ30="Yes",_xlfn.IFS(AND(BL21&gt;='Variable index'!$K$35,BL21&lt;'Variable index'!$K$36),'Variable index'!$M$35,AND(BL21&gt;='Variable index'!$K$36,BL21&lt;'Variable index'!$K$37),'Variable index'!$M$36,AND(BL21&gt;='Variable index'!$K$37,BL21&lt;'Variable index'!$K$38),'Variable index'!$M$37,BL21&gt;='Variable index'!$K$38,'Variable index'!$M$38),BJ30="No",0),"")</f>
        <v/>
      </c>
      <c r="BL30" s="168" t="str">
        <f>IFERROR(BL$21*BK30,"")</f>
        <v/>
      </c>
      <c r="BN30" s="232" t="str">
        <f>IF(_xlfn.XLOOKUP(BN$14,TableStormwater['#],TableStormwater[Is there a cultural heritage impact?])&lt;&gt;"",_xlfn.XLOOKUP(BN$14,TableStormwater['#],TableStormwater[Is there a cultural heritage impact?]),"")</f>
        <v/>
      </c>
      <c r="BO30" s="160" t="str" cm="1">
        <f t="array" ref="BO30">IF(BN30&lt;&gt;"",_xlfn.IFS(BN30="Yes",_xlfn.IFS(AND(BP21&gt;='Variable index'!$K$35,BP21&lt;'Variable index'!$K$36),'Variable index'!$M$35,AND(BP21&gt;='Variable index'!$K$36,BP21&lt;'Variable index'!$K$37),'Variable index'!$M$36,AND(BP21&gt;='Variable index'!$K$37,BP21&lt;'Variable index'!$K$38),'Variable index'!$M$37,BP21&gt;='Variable index'!$K$38,'Variable index'!$M$38),BN30="No",0),"")</f>
        <v/>
      </c>
      <c r="BP30" s="168" t="str">
        <f>IFERROR(BP$21*BO30,"")</f>
        <v/>
      </c>
      <c r="BR30" s="232" t="str">
        <f>IF(_xlfn.XLOOKUP(BR$14,TableStormwater['#],TableStormwater[Is there a cultural heritage impact?])&lt;&gt;"",_xlfn.XLOOKUP(BR$14,TableStormwater['#],TableStormwater[Is there a cultural heritage impact?]),"")</f>
        <v/>
      </c>
      <c r="BS30" s="160" t="str" cm="1">
        <f t="array" ref="BS30">IF(BR30&lt;&gt;"",_xlfn.IFS(BR30="Yes",_xlfn.IFS(AND(BT21&gt;='Variable index'!$K$35,BT21&lt;'Variable index'!$K$36),'Variable index'!$M$35,AND(BT21&gt;='Variable index'!$K$36,BT21&lt;'Variable index'!$K$37),'Variable index'!$M$36,AND(BT21&gt;='Variable index'!$K$37,BT21&lt;'Variable index'!$K$38),'Variable index'!$M$37,BT21&gt;='Variable index'!$K$38,'Variable index'!$M$38),BR30="No",0),"")</f>
        <v/>
      </c>
      <c r="BT30" s="168" t="str">
        <f>IFERROR(BT$21*BS30,"")</f>
        <v/>
      </c>
      <c r="BV30" s="232" t="str">
        <f>IF(_xlfn.XLOOKUP(BV$14,TableStormwater['#],TableStormwater[Is there a cultural heritage impact?])&lt;&gt;"",_xlfn.XLOOKUP(BV$14,TableStormwater['#],TableStormwater[Is there a cultural heritage impact?]),"")</f>
        <v/>
      </c>
      <c r="BW30" s="160" t="str" cm="1">
        <f t="array" ref="BW30">IF(BV30&lt;&gt;"",_xlfn.IFS(BV30="Yes",_xlfn.IFS(AND(BX21&gt;='Variable index'!$K$35,BX21&lt;'Variable index'!$K$36),'Variable index'!$M$35,AND(BX21&gt;='Variable index'!$K$36,BX21&lt;'Variable index'!$K$37),'Variable index'!$M$36,AND(BX21&gt;='Variable index'!$K$37,BX21&lt;'Variable index'!$K$38),'Variable index'!$M$37,BX21&gt;='Variable index'!$K$38,'Variable index'!$M$38),BV30="No",0),"")</f>
        <v/>
      </c>
      <c r="BX30" s="168" t="str">
        <f>IFERROR(BX$21*BW30,"")</f>
        <v/>
      </c>
      <c r="BZ30" s="232" t="str">
        <f>IF(_xlfn.XLOOKUP(BZ$14,TableStormwater['#],TableStormwater[Is there a cultural heritage impact?])&lt;&gt;"",_xlfn.XLOOKUP(BZ$14,TableStormwater['#],TableStormwater[Is there a cultural heritage impact?]),"")</f>
        <v/>
      </c>
      <c r="CA30" s="160" t="str" cm="1">
        <f t="array" ref="CA30">IF(BZ30&lt;&gt;"",_xlfn.IFS(BZ30="Yes",_xlfn.IFS(AND(CB21&gt;='Variable index'!$K$35,CB21&lt;'Variable index'!$K$36),'Variable index'!$M$35,AND(CB21&gt;='Variable index'!$K$36,CB21&lt;'Variable index'!$K$37),'Variable index'!$M$36,AND(CB21&gt;='Variable index'!$K$37,CB21&lt;'Variable index'!$K$38),'Variable index'!$M$37,CB21&gt;='Variable index'!$K$38,'Variable index'!$M$38),BZ30="No",0),"")</f>
        <v/>
      </c>
      <c r="CB30" s="168" t="str">
        <f>IFERROR(CB$21*CA30,"")</f>
        <v/>
      </c>
      <c r="CD30" s="232" t="str">
        <f>IF(_xlfn.XLOOKUP(CD$14,TableStormwater['#],TableStormwater[Is there a cultural heritage impact?])&lt;&gt;"",_xlfn.XLOOKUP(CD$14,TableStormwater['#],TableStormwater[Is there a cultural heritage impact?]),"")</f>
        <v/>
      </c>
      <c r="CE30" s="160" t="str" cm="1">
        <f t="array" ref="CE30">IF(CD30&lt;&gt;"",_xlfn.IFS(CD30="Yes",_xlfn.IFS(AND(CF21&gt;='Variable index'!$K$35,CF21&lt;'Variable index'!$K$36),'Variable index'!$M$35,AND(CF21&gt;='Variable index'!$K$36,CF21&lt;'Variable index'!$K$37),'Variable index'!$M$36,AND(CF21&gt;='Variable index'!$K$37,CF21&lt;'Variable index'!$K$38),'Variable index'!$M$37,CF21&gt;='Variable index'!$K$38,'Variable index'!$M$38),CD30="No",0),"")</f>
        <v/>
      </c>
      <c r="CF30" s="168" t="str">
        <f>IFERROR(CF$21*CE30,"")</f>
        <v/>
      </c>
      <c r="CH30" s="232" t="str">
        <f>IF(_xlfn.XLOOKUP(CH$14,TableStormwater['#],TableStormwater[Is there a cultural heritage impact?])&lt;&gt;"",_xlfn.XLOOKUP(CH$14,TableStormwater['#],TableStormwater[Is there a cultural heritage impact?]),"")</f>
        <v/>
      </c>
      <c r="CI30" s="160" t="str" cm="1">
        <f t="array" ref="CI30">IF(CH30&lt;&gt;"",_xlfn.IFS(CH30="Yes",_xlfn.IFS(AND(CJ21&gt;='Variable index'!$K$35,CJ21&lt;'Variable index'!$K$36),'Variable index'!$M$35,AND(CJ21&gt;='Variable index'!$K$36,CJ21&lt;'Variable index'!$K$37),'Variable index'!$M$36,AND(CJ21&gt;='Variable index'!$K$37,CJ21&lt;'Variable index'!$K$38),'Variable index'!$M$37,CJ21&gt;='Variable index'!$K$38,'Variable index'!$M$38),CH30="No",0),"")</f>
        <v/>
      </c>
      <c r="CJ30" s="168" t="str">
        <f>IFERROR(CJ$21*CI30,"")</f>
        <v/>
      </c>
      <c r="CL30" s="232" t="str">
        <f>IF(_xlfn.XLOOKUP(CL$14,TableStormwater['#],TableStormwater[Is there a cultural heritage impact?])&lt;&gt;"",_xlfn.XLOOKUP(CL$14,TableStormwater['#],TableStormwater[Is there a cultural heritage impact?]),"")</f>
        <v/>
      </c>
      <c r="CM30" s="160" t="str" cm="1">
        <f t="array" ref="CM30">IF(CL30&lt;&gt;"",_xlfn.IFS(CL30="Yes",_xlfn.IFS(AND(CN21&gt;='Variable index'!$K$35,CN21&lt;'Variable index'!$K$36),'Variable index'!$M$35,AND(CN21&gt;='Variable index'!$K$36,CN21&lt;'Variable index'!$K$37),'Variable index'!$M$36,AND(CN21&gt;='Variable index'!$K$37,CN21&lt;'Variable index'!$K$38),'Variable index'!$M$37,CN21&gt;='Variable index'!$K$38,'Variable index'!$M$38),CL30="No",0),"")</f>
        <v/>
      </c>
      <c r="CN30" s="168" t="str">
        <f>IFERROR(CN$21*CM30,"")</f>
        <v/>
      </c>
      <c r="CP30" s="232" t="str">
        <f>IF(_xlfn.XLOOKUP(CP$14,TableStormwater['#],TableStormwater[Is there a cultural heritage impact?])&lt;&gt;"",_xlfn.XLOOKUP(CP$14,TableStormwater['#],TableStormwater[Is there a cultural heritage impact?]),"")</f>
        <v/>
      </c>
      <c r="CQ30" s="160" t="str" cm="1">
        <f t="array" ref="CQ30">IF(CP30&lt;&gt;"",_xlfn.IFS(CP30="Yes",_xlfn.IFS(AND(CR21&gt;='Variable index'!$K$35,CR21&lt;'Variable index'!$K$36),'Variable index'!$M$35,AND(CR21&gt;='Variable index'!$K$36,CR21&lt;'Variable index'!$K$37),'Variable index'!$M$36,AND(CR21&gt;='Variable index'!$K$37,CR21&lt;'Variable index'!$K$38),'Variable index'!$M$37,CR21&gt;='Variable index'!$K$38,'Variable index'!$M$38),CP30="No",0),"")</f>
        <v/>
      </c>
      <c r="CR30" s="168" t="str">
        <f>IFERROR(CR$21*CQ30,"")</f>
        <v/>
      </c>
      <c r="CT30" s="232" t="str">
        <f>IF(_xlfn.XLOOKUP(CT$14,TableStormwater['#],TableStormwater[Is there a cultural heritage impact?])&lt;&gt;"",_xlfn.XLOOKUP(CT$14,TableStormwater['#],TableStormwater[Is there a cultural heritage impact?]),"")</f>
        <v/>
      </c>
      <c r="CU30" s="160" t="str" cm="1">
        <f t="array" ref="CU30">IF(CT30&lt;&gt;"",_xlfn.IFS(CT30="Yes",_xlfn.IFS(AND(CV21&gt;='Variable index'!$K$35,CV21&lt;'Variable index'!$K$36),'Variable index'!$M$35,AND(CV21&gt;='Variable index'!$K$36,CV21&lt;'Variable index'!$K$37),'Variable index'!$M$36,AND(CV21&gt;='Variable index'!$K$37,CV21&lt;'Variable index'!$K$38),'Variable index'!$M$37,CV21&gt;='Variable index'!$K$38,'Variable index'!$M$38),CT30="No",0),"")</f>
        <v/>
      </c>
      <c r="CV30" s="168" t="str">
        <f>IFERROR(CV$21*CU30,"")</f>
        <v/>
      </c>
      <c r="CX30" s="232" t="str">
        <f>IF(_xlfn.XLOOKUP(CX$14,TableStormwater['#],TableStormwater[Is there a cultural heritage impact?])&lt;&gt;"",_xlfn.XLOOKUP(CX$14,TableStormwater['#],TableStormwater[Is there a cultural heritage impact?]),"")</f>
        <v/>
      </c>
      <c r="CY30" s="160" t="str" cm="1">
        <f t="array" ref="CY30">IF(CX30&lt;&gt;"",_xlfn.IFS(CX30="Yes",_xlfn.IFS(AND(CZ21&gt;='Variable index'!$K$35,CZ21&lt;'Variable index'!$K$36),'Variable index'!$M$35,AND(CZ21&gt;='Variable index'!$K$36,CZ21&lt;'Variable index'!$K$37),'Variable index'!$M$36,AND(CZ21&gt;='Variable index'!$K$37,CZ21&lt;'Variable index'!$K$38),'Variable index'!$M$37,CZ21&gt;='Variable index'!$K$38,'Variable index'!$M$38),CX30="No",0),"")</f>
        <v/>
      </c>
      <c r="CZ30" s="168" t="str">
        <f>IFERROR(CZ$21*CY30,"")</f>
        <v/>
      </c>
      <c r="DB30" s="232" t="str">
        <f>IF(_xlfn.XLOOKUP(DB$14,TableStormwater['#],TableStormwater[Is there a cultural heritage impact?])&lt;&gt;"",_xlfn.XLOOKUP(DB$14,TableStormwater['#],TableStormwater[Is there a cultural heritage impact?]),"")</f>
        <v/>
      </c>
      <c r="DC30" s="160" t="str" cm="1">
        <f t="array" ref="DC30">IF(DB30&lt;&gt;"",_xlfn.IFS(DB30="Yes",_xlfn.IFS(AND(DD21&gt;='Variable index'!$K$35,DD21&lt;'Variable index'!$K$36),'Variable index'!$M$35,AND(DD21&gt;='Variable index'!$K$36,DD21&lt;'Variable index'!$K$37),'Variable index'!$M$36,AND(DD21&gt;='Variable index'!$K$37,DD21&lt;'Variable index'!$K$38),'Variable index'!$M$37,DD21&gt;='Variable index'!$K$38,'Variable index'!$M$38),DB30="No",0),"")</f>
        <v/>
      </c>
      <c r="DD30" s="168" t="str">
        <f>IFERROR(DD$21*DC30,"")</f>
        <v/>
      </c>
      <c r="DF30" s="232" t="str">
        <f>IF(_xlfn.XLOOKUP(DF$14,TableStormwater['#],TableStormwater[Is there a cultural heritage impact?])&lt;&gt;"",_xlfn.XLOOKUP(DF$14,TableStormwater['#],TableStormwater[Is there a cultural heritage impact?]),"")</f>
        <v/>
      </c>
      <c r="DG30" s="160" t="str" cm="1">
        <f t="array" ref="DG30">IF(DF30&lt;&gt;"",_xlfn.IFS(DF30="Yes",_xlfn.IFS(AND(DH21&gt;='Variable index'!$K$35,DH21&lt;'Variable index'!$K$36),'Variable index'!$M$35,AND(DH21&gt;='Variable index'!$K$36,DH21&lt;'Variable index'!$K$37),'Variable index'!$M$36,AND(DH21&gt;='Variable index'!$K$37,DH21&lt;'Variable index'!$K$38),'Variable index'!$M$37,DH21&gt;='Variable index'!$K$38,'Variable index'!$M$38),DF30="No",0),"")</f>
        <v/>
      </c>
      <c r="DH30" s="168" t="str">
        <f>IFERROR(DH$21*DG30,"")</f>
        <v/>
      </c>
      <c r="DJ30" s="232" t="str">
        <f>IF(_xlfn.XLOOKUP(DJ$14,TableStormwater['#],TableStormwater[Is there a cultural heritage impact?])&lt;&gt;"",_xlfn.XLOOKUP(DJ$14,TableStormwater['#],TableStormwater[Is there a cultural heritage impact?]),"")</f>
        <v/>
      </c>
      <c r="DK30" s="160" t="str" cm="1">
        <f t="array" ref="DK30">IF(DJ30&lt;&gt;"",_xlfn.IFS(DJ30="Yes",_xlfn.IFS(AND(DL21&gt;='Variable index'!$K$35,DL21&lt;'Variable index'!$K$36),'Variable index'!$M$35,AND(DL21&gt;='Variable index'!$K$36,DL21&lt;'Variable index'!$K$37),'Variable index'!$M$36,AND(DL21&gt;='Variable index'!$K$37,DL21&lt;'Variable index'!$K$38),'Variable index'!$M$37,DL21&gt;='Variable index'!$K$38,'Variable index'!$M$38),DJ30="No",0),"")</f>
        <v/>
      </c>
      <c r="DL30" s="168" t="str">
        <f>IFERROR(DL$21*DK30,"")</f>
        <v/>
      </c>
      <c r="DN30" s="232" t="str">
        <f>IF(_xlfn.XLOOKUP(DN$14,TableStormwater['#],TableStormwater[Is there a cultural heritage impact?])&lt;&gt;"",_xlfn.XLOOKUP(DN$14,TableStormwater['#],TableStormwater[Is there a cultural heritage impact?]),"")</f>
        <v/>
      </c>
      <c r="DO30" s="160" t="str" cm="1">
        <f t="array" ref="DO30">IF(DN30&lt;&gt;"",_xlfn.IFS(DN30="Yes",_xlfn.IFS(AND(DP21&gt;='Variable index'!$K$35,DP21&lt;'Variable index'!$K$36),'Variable index'!$M$35,AND(DP21&gt;='Variable index'!$K$36,DP21&lt;'Variable index'!$K$37),'Variable index'!$M$36,AND(DP21&gt;='Variable index'!$K$37,DP21&lt;'Variable index'!$K$38),'Variable index'!$M$37,DP21&gt;='Variable index'!$K$38,'Variable index'!$M$38),DN30="No",0),"")</f>
        <v/>
      </c>
      <c r="DP30" s="168" t="str">
        <f>IFERROR(DP$21*DO30,"")</f>
        <v/>
      </c>
      <c r="DR30" s="232" t="str">
        <f>IF(_xlfn.XLOOKUP(DR$14,TableStormwater['#],TableStormwater[Is there a cultural heritage impact?])&lt;&gt;"",_xlfn.XLOOKUP(DR$14,TableStormwater['#],TableStormwater[Is there a cultural heritage impact?]),"")</f>
        <v/>
      </c>
      <c r="DS30" s="160" t="str" cm="1">
        <f t="array" ref="DS30">IF(DR30&lt;&gt;"",_xlfn.IFS(DR30="Yes",_xlfn.IFS(AND(DT21&gt;='Variable index'!$K$35,DT21&lt;'Variable index'!$K$36),'Variable index'!$M$35,AND(DT21&gt;='Variable index'!$K$36,DT21&lt;'Variable index'!$K$37),'Variable index'!$M$36,AND(DT21&gt;='Variable index'!$K$37,DT21&lt;'Variable index'!$K$38),'Variable index'!$M$37,DT21&gt;='Variable index'!$K$38,'Variable index'!$M$38),DR30="No",0),"")</f>
        <v/>
      </c>
      <c r="DT30" s="168" t="str">
        <f>IFERROR(DT$21*DS30,"")</f>
        <v/>
      </c>
      <c r="DV30" s="232" t="str">
        <f>IF(_xlfn.XLOOKUP(DV$14,TableStormwater['#],TableStormwater[Is there a cultural heritage impact?])&lt;&gt;"",_xlfn.XLOOKUP(DV$14,TableStormwater['#],TableStormwater[Is there a cultural heritage impact?]),"")</f>
        <v/>
      </c>
      <c r="DW30" s="160" t="str" cm="1">
        <f t="array" ref="DW30">IF(DV30&lt;&gt;"",_xlfn.IFS(DV30="Yes",_xlfn.IFS(AND(DX21&gt;='Variable index'!$K$35,DX21&lt;'Variable index'!$K$36),'Variable index'!$M$35,AND(DX21&gt;='Variable index'!$K$36,DX21&lt;'Variable index'!$K$37),'Variable index'!$M$36,AND(DX21&gt;='Variable index'!$K$37,DX21&lt;'Variable index'!$K$38),'Variable index'!$M$37,DX21&gt;='Variable index'!$K$38,'Variable index'!$M$38),DV30="No",0),"")</f>
        <v/>
      </c>
      <c r="DX30" s="168" t="str">
        <f>IFERROR(DX$21*DW30,"")</f>
        <v/>
      </c>
      <c r="DZ30" s="232" t="str">
        <f>IF(_xlfn.XLOOKUP(DZ$14,TableStormwater['#],TableStormwater[Is there a cultural heritage impact?])&lt;&gt;"",_xlfn.XLOOKUP(DZ$14,TableStormwater['#],TableStormwater[Is there a cultural heritage impact?]),"")</f>
        <v/>
      </c>
      <c r="EA30" s="160" t="str" cm="1">
        <f t="array" ref="EA30">IF(DZ30&lt;&gt;"",_xlfn.IFS(DZ30="Yes",_xlfn.IFS(AND(EB21&gt;='Variable index'!$K$35,EB21&lt;'Variable index'!$K$36),'Variable index'!$M$35,AND(EB21&gt;='Variable index'!$K$36,EB21&lt;'Variable index'!$K$37),'Variable index'!$M$36,AND(EB21&gt;='Variable index'!$K$37,EB21&lt;'Variable index'!$K$38),'Variable index'!$M$37,EB21&gt;='Variable index'!$K$38,'Variable index'!$M$38),DZ30="No",0),"")</f>
        <v/>
      </c>
      <c r="EB30" s="168" t="str">
        <f>IFERROR(EB$21*EA30,"")</f>
        <v/>
      </c>
      <c r="ED30" s="232" t="str">
        <f>IF(_xlfn.XLOOKUP(ED$14,TableStormwater['#],TableStormwater[Is there a cultural heritage impact?])&lt;&gt;"",_xlfn.XLOOKUP(ED$14,TableStormwater['#],TableStormwater[Is there a cultural heritage impact?]),"")</f>
        <v/>
      </c>
      <c r="EE30" s="160" t="str" cm="1">
        <f t="array" ref="EE30">IF(ED30&lt;&gt;"",_xlfn.IFS(ED30="Yes",_xlfn.IFS(AND(EF21&gt;='Variable index'!$K$35,EF21&lt;'Variable index'!$K$36),'Variable index'!$M$35,AND(EF21&gt;='Variable index'!$K$36,EF21&lt;'Variable index'!$K$37),'Variable index'!$M$36,AND(EF21&gt;='Variable index'!$K$37,EF21&lt;'Variable index'!$K$38),'Variable index'!$M$37,EF21&gt;='Variable index'!$K$38,'Variable index'!$M$38),ED30="No",0),"")</f>
        <v/>
      </c>
      <c r="EF30" s="168" t="str">
        <f>IFERROR(EF$21*EE30,"")</f>
        <v/>
      </c>
      <c r="EH30" s="232" t="str">
        <f>IF(_xlfn.XLOOKUP(EH$14,TableStormwater['#],TableStormwater[Is there a cultural heritage impact?])&lt;&gt;"",_xlfn.XLOOKUP(EH$14,TableStormwater['#],TableStormwater[Is there a cultural heritage impact?]),"")</f>
        <v/>
      </c>
      <c r="EI30" s="160" t="str" cm="1">
        <f t="array" ref="EI30">IF(EH30&lt;&gt;"",_xlfn.IFS(EH30="Yes",_xlfn.IFS(AND(EJ21&gt;='Variable index'!$K$35,EJ21&lt;'Variable index'!$K$36),'Variable index'!$M$35,AND(EJ21&gt;='Variable index'!$K$36,EJ21&lt;'Variable index'!$K$37),'Variable index'!$M$36,AND(EJ21&gt;='Variable index'!$K$37,EJ21&lt;'Variable index'!$K$38),'Variable index'!$M$37,EJ21&gt;='Variable index'!$K$38,'Variable index'!$M$38),EH30="No",0),"")</f>
        <v/>
      </c>
      <c r="EJ30" s="168" t="str">
        <f>IFERROR(EJ$21*EI30,"")</f>
        <v/>
      </c>
      <c r="EL30" s="232" t="str">
        <f>IF(_xlfn.XLOOKUP(EL$14,TableStormwater['#],TableStormwater[Is there a cultural heritage impact?])&lt;&gt;"",_xlfn.XLOOKUP(EL$14,TableStormwater['#],TableStormwater[Is there a cultural heritage impact?]),"")</f>
        <v/>
      </c>
      <c r="EM30" s="160" t="str" cm="1">
        <f t="array" ref="EM30">IF(EL30&lt;&gt;"",_xlfn.IFS(EL30="Yes",_xlfn.IFS(AND(EN21&gt;='Variable index'!$K$35,EN21&lt;'Variable index'!$K$36),'Variable index'!$M$35,AND(EN21&gt;='Variable index'!$K$36,EN21&lt;'Variable index'!$K$37),'Variable index'!$M$36,AND(EN21&gt;='Variable index'!$K$37,EN21&lt;'Variable index'!$K$38),'Variable index'!$M$37,EN21&gt;='Variable index'!$K$38,'Variable index'!$M$38),EL30="No",0),"")</f>
        <v/>
      </c>
      <c r="EN30" s="168" t="str">
        <f>IFERROR(EN$21*EM30,"")</f>
        <v/>
      </c>
      <c r="EP30" s="232" t="str">
        <f>IF(_xlfn.XLOOKUP(EP$14,TableStormwater['#],TableStormwater[Is there a cultural heritage impact?])&lt;&gt;"",_xlfn.XLOOKUP(EP$14,TableStormwater['#],TableStormwater[Is there a cultural heritage impact?]),"")</f>
        <v/>
      </c>
      <c r="EQ30" s="160" t="str" cm="1">
        <f t="array" ref="EQ30">IF(EP30&lt;&gt;"",_xlfn.IFS(EP30="Yes",_xlfn.IFS(AND(ER21&gt;='Variable index'!$K$35,ER21&lt;'Variable index'!$K$36),'Variable index'!$M$35,AND(ER21&gt;='Variable index'!$K$36,ER21&lt;'Variable index'!$K$37),'Variable index'!$M$36,AND(ER21&gt;='Variable index'!$K$37,ER21&lt;'Variable index'!$K$38),'Variable index'!$M$37,ER21&gt;='Variable index'!$K$38,'Variable index'!$M$38),EP30="No",0),"")</f>
        <v/>
      </c>
      <c r="ER30" s="168" t="str">
        <f>IFERROR(ER$21*EQ30,"")</f>
        <v/>
      </c>
      <c r="ET30" s="232" t="str">
        <f>IF(_xlfn.XLOOKUP(ET$14,TableStormwater['#],TableStormwater[Is there a cultural heritage impact?])&lt;&gt;"",_xlfn.XLOOKUP(ET$14,TableStormwater['#],TableStormwater[Is there a cultural heritage impact?]),"")</f>
        <v/>
      </c>
      <c r="EU30" s="160" t="str" cm="1">
        <f t="array" ref="EU30">IF(ET30&lt;&gt;"",_xlfn.IFS(ET30="Yes",_xlfn.IFS(AND(EV21&gt;='Variable index'!$K$35,EV21&lt;'Variable index'!$K$36),'Variable index'!$M$35,AND(EV21&gt;='Variable index'!$K$36,EV21&lt;'Variable index'!$K$37),'Variable index'!$M$36,AND(EV21&gt;='Variable index'!$K$37,EV21&lt;'Variable index'!$K$38),'Variable index'!$M$37,EV21&gt;='Variable index'!$K$38,'Variable index'!$M$38),ET30="No",0),"")</f>
        <v/>
      </c>
      <c r="EV30" s="168" t="str">
        <f>IFERROR(EV$21*EU30,"")</f>
        <v/>
      </c>
      <c r="EX30" s="232" t="str">
        <f>IF(_xlfn.XLOOKUP(EX$14,TableStormwater['#],TableStormwater[Is there a cultural heritage impact?])&lt;&gt;"",_xlfn.XLOOKUP(EX$14,TableStormwater['#],TableStormwater[Is there a cultural heritage impact?]),"")</f>
        <v/>
      </c>
      <c r="EY30" s="160" t="str" cm="1">
        <f t="array" ref="EY30">IF(EX30&lt;&gt;"",_xlfn.IFS(EX30="Yes",_xlfn.IFS(AND(EZ21&gt;='Variable index'!$K$35,EZ21&lt;'Variable index'!$K$36),'Variable index'!$M$35,AND(EZ21&gt;='Variable index'!$K$36,EZ21&lt;'Variable index'!$K$37),'Variable index'!$M$36,AND(EZ21&gt;='Variable index'!$K$37,EZ21&lt;'Variable index'!$K$38),'Variable index'!$M$37,EZ21&gt;='Variable index'!$K$38,'Variable index'!$M$38),EX30="No",0),"")</f>
        <v/>
      </c>
      <c r="EZ30" s="168" t="str">
        <f>IFERROR(EZ$21*EY30,"")</f>
        <v/>
      </c>
      <c r="FB30" s="232" t="str">
        <f>IF(_xlfn.XLOOKUP(FB$14,TableStormwater['#],TableStormwater[Is there a cultural heritage impact?])&lt;&gt;"",_xlfn.XLOOKUP(FB$14,TableStormwater['#],TableStormwater[Is there a cultural heritage impact?]),"")</f>
        <v/>
      </c>
      <c r="FC30" s="160" t="str" cm="1">
        <f t="array" ref="FC30">IF(FB30&lt;&gt;"",_xlfn.IFS(FB30="Yes",_xlfn.IFS(AND(FD21&gt;='Variable index'!$K$35,FD21&lt;'Variable index'!$K$36),'Variable index'!$M$35,AND(FD21&gt;='Variable index'!$K$36,FD21&lt;'Variable index'!$K$37),'Variable index'!$M$36,AND(FD21&gt;='Variable index'!$K$37,FD21&lt;'Variable index'!$K$38),'Variable index'!$M$37,FD21&gt;='Variable index'!$K$38,'Variable index'!$M$38),FB30="No",0),"")</f>
        <v/>
      </c>
      <c r="FD30" s="168" t="str">
        <f>IFERROR(FD$21*FC30,"")</f>
        <v/>
      </c>
      <c r="FF30" s="232" t="str">
        <f>IF(_xlfn.XLOOKUP(FF$14,TableStormwater['#],TableStormwater[Is there a cultural heritage impact?])&lt;&gt;"",_xlfn.XLOOKUP(FF$14,TableStormwater['#],TableStormwater[Is there a cultural heritage impact?]),"")</f>
        <v/>
      </c>
      <c r="FG30" s="160" t="str" cm="1">
        <f t="array" ref="FG30">IF(FF30&lt;&gt;"",_xlfn.IFS(FF30="Yes",_xlfn.IFS(AND(FH21&gt;='Variable index'!$K$35,FH21&lt;'Variable index'!$K$36),'Variable index'!$M$35,AND(FH21&gt;='Variable index'!$K$36,FH21&lt;'Variable index'!$K$37),'Variable index'!$M$36,AND(FH21&gt;='Variable index'!$K$37,FH21&lt;'Variable index'!$K$38),'Variable index'!$M$37,FH21&gt;='Variable index'!$K$38,'Variable index'!$M$38),FF30="No",0),"")</f>
        <v/>
      </c>
      <c r="FH30" s="168" t="str">
        <f>IFERROR(FH$21*FG30,"")</f>
        <v/>
      </c>
      <c r="FJ30" s="232" t="str">
        <f>IF(_xlfn.XLOOKUP(FJ$14,TableStormwater['#],TableStormwater[Is there a cultural heritage impact?])&lt;&gt;"",_xlfn.XLOOKUP(FJ$14,TableStormwater['#],TableStormwater[Is there a cultural heritage impact?]),"")</f>
        <v/>
      </c>
      <c r="FK30" s="160" t="str" cm="1">
        <f t="array" ref="FK30">IF(FJ30&lt;&gt;"",_xlfn.IFS(FJ30="Yes",_xlfn.IFS(AND(FL21&gt;='Variable index'!$K$35,FL21&lt;'Variable index'!$K$36),'Variable index'!$M$35,AND(FL21&gt;='Variable index'!$K$36,FL21&lt;'Variable index'!$K$37),'Variable index'!$M$36,AND(FL21&gt;='Variable index'!$K$37,FL21&lt;'Variable index'!$K$38),'Variable index'!$M$37,FL21&gt;='Variable index'!$K$38,'Variable index'!$M$38),FJ30="No",0),"")</f>
        <v/>
      </c>
      <c r="FL30" s="168" t="str">
        <f>IFERROR(FL$21*FK30,"")</f>
        <v/>
      </c>
      <c r="FN30" s="232" t="str">
        <f>IF(_xlfn.XLOOKUP(FN$14,TableStormwater['#],TableStormwater[Is there a cultural heritage impact?])&lt;&gt;"",_xlfn.XLOOKUP(FN$14,TableStormwater['#],TableStormwater[Is there a cultural heritage impact?]),"")</f>
        <v/>
      </c>
      <c r="FO30" s="160" t="str" cm="1">
        <f t="array" ref="FO30">IF(FN30&lt;&gt;"",_xlfn.IFS(FN30="Yes",_xlfn.IFS(AND(FP21&gt;='Variable index'!$K$35,FP21&lt;'Variable index'!$K$36),'Variable index'!$M$35,AND(FP21&gt;='Variable index'!$K$36,FP21&lt;'Variable index'!$K$37),'Variable index'!$M$36,AND(FP21&gt;='Variable index'!$K$37,FP21&lt;'Variable index'!$K$38),'Variable index'!$M$37,FP21&gt;='Variable index'!$K$38,'Variable index'!$M$38),FN30="No",0),"")</f>
        <v/>
      </c>
      <c r="FP30" s="168" t="str">
        <f>IFERROR(FP$21*FO30,"")</f>
        <v/>
      </c>
      <c r="FR30" s="232" t="str">
        <f>IF(_xlfn.XLOOKUP(FR$14,TableStormwater['#],TableStormwater[Is there a cultural heritage impact?])&lt;&gt;"",_xlfn.XLOOKUP(FR$14,TableStormwater['#],TableStormwater[Is there a cultural heritage impact?]),"")</f>
        <v/>
      </c>
      <c r="FS30" s="160" t="str" cm="1">
        <f t="array" ref="FS30">IF(FR30&lt;&gt;"",_xlfn.IFS(FR30="Yes",_xlfn.IFS(AND(FT21&gt;='Variable index'!$K$35,FT21&lt;'Variable index'!$K$36),'Variable index'!$M$35,AND(FT21&gt;='Variable index'!$K$36,FT21&lt;'Variable index'!$K$37),'Variable index'!$M$36,AND(FT21&gt;='Variable index'!$K$37,FT21&lt;'Variable index'!$K$38),'Variable index'!$M$37,FT21&gt;='Variable index'!$K$38,'Variable index'!$M$38),FR30="No",0),"")</f>
        <v/>
      </c>
      <c r="FT30" s="168" t="str">
        <f>IFERROR(FT$21*FS30,"")</f>
        <v/>
      </c>
      <c r="FV30" s="232" t="str">
        <f>IF(_xlfn.XLOOKUP(FV$14,TableStormwater['#],TableStormwater[Is there a cultural heritage impact?])&lt;&gt;"",_xlfn.XLOOKUP(FV$14,TableStormwater['#],TableStormwater[Is there a cultural heritage impact?]),"")</f>
        <v/>
      </c>
      <c r="FW30" s="160" t="str" cm="1">
        <f t="array" ref="FW30">IF(FV30&lt;&gt;"",_xlfn.IFS(FV30="Yes",_xlfn.IFS(AND(FX21&gt;='Variable index'!$K$35,FX21&lt;'Variable index'!$K$36),'Variable index'!$M$35,AND(FX21&gt;='Variable index'!$K$36,FX21&lt;'Variable index'!$K$37),'Variable index'!$M$36,AND(FX21&gt;='Variable index'!$K$37,FX21&lt;'Variable index'!$K$38),'Variable index'!$M$37,FX21&gt;='Variable index'!$K$38,'Variable index'!$M$38),FV30="No",0),"")</f>
        <v/>
      </c>
      <c r="FX30" s="168" t="str">
        <f>IFERROR(FX$21*FW30,"")</f>
        <v/>
      </c>
      <c r="FZ30" s="232" t="str">
        <f>IF(_xlfn.XLOOKUP(FZ$14,TableStormwater['#],TableStormwater[Is there a cultural heritage impact?])&lt;&gt;"",_xlfn.XLOOKUP(FZ$14,TableStormwater['#],TableStormwater[Is there a cultural heritage impact?]),"")</f>
        <v/>
      </c>
      <c r="GA30" s="160" t="str" cm="1">
        <f t="array" ref="GA30">IF(FZ30&lt;&gt;"",_xlfn.IFS(FZ30="Yes",_xlfn.IFS(AND(GB21&gt;='Variable index'!$K$35,GB21&lt;'Variable index'!$K$36),'Variable index'!$M$35,AND(GB21&gt;='Variable index'!$K$36,GB21&lt;'Variable index'!$K$37),'Variable index'!$M$36,AND(GB21&gt;='Variable index'!$K$37,GB21&lt;'Variable index'!$K$38),'Variable index'!$M$37,GB21&gt;='Variable index'!$K$38,'Variable index'!$M$38),FZ30="No",0),"")</f>
        <v/>
      </c>
      <c r="GB30" s="168" t="str">
        <f>IFERROR(GB$21*GA30,"")</f>
        <v/>
      </c>
      <c r="GD30" s="232" t="str">
        <f>IF(_xlfn.XLOOKUP(GD$14,TableStormwater['#],TableStormwater[Is there a cultural heritage impact?])&lt;&gt;"",_xlfn.XLOOKUP(GD$14,TableStormwater['#],TableStormwater[Is there a cultural heritage impact?]),"")</f>
        <v/>
      </c>
      <c r="GE30" s="160" t="str" cm="1">
        <f t="array" ref="GE30">IF(GD30&lt;&gt;"",_xlfn.IFS(GD30="Yes",_xlfn.IFS(AND(GF21&gt;='Variable index'!$K$35,GF21&lt;'Variable index'!$K$36),'Variable index'!$M$35,AND(GF21&gt;='Variable index'!$K$36,GF21&lt;'Variable index'!$K$37),'Variable index'!$M$36,AND(GF21&gt;='Variable index'!$K$37,GF21&lt;'Variable index'!$K$38),'Variable index'!$M$37,GF21&gt;='Variable index'!$K$38,'Variable index'!$M$38),GD30="No",0),"")</f>
        <v/>
      </c>
      <c r="GF30" s="168" t="str">
        <f>IFERROR(GF$21*GE30,"")</f>
        <v/>
      </c>
      <c r="GH30" s="232" t="str">
        <f>IF(_xlfn.XLOOKUP(GH$14,TableStormwater['#],TableStormwater[Is there a cultural heritage impact?])&lt;&gt;"",_xlfn.XLOOKUP(GH$14,TableStormwater['#],TableStormwater[Is there a cultural heritage impact?]),"")</f>
        <v/>
      </c>
      <c r="GI30" s="160" t="str" cm="1">
        <f t="array" ref="GI30">IF(GH30&lt;&gt;"",_xlfn.IFS(GH30="Yes",_xlfn.IFS(AND(GJ21&gt;='Variable index'!$K$35,GJ21&lt;'Variable index'!$K$36),'Variable index'!$M$35,AND(GJ21&gt;='Variable index'!$K$36,GJ21&lt;'Variable index'!$K$37),'Variable index'!$M$36,AND(GJ21&gt;='Variable index'!$K$37,GJ21&lt;'Variable index'!$K$38),'Variable index'!$M$37,GJ21&gt;='Variable index'!$K$38,'Variable index'!$M$38),GH30="No",0),"")</f>
        <v/>
      </c>
      <c r="GJ30" s="168" t="str">
        <f>IFERROR(GJ$21*GI30,"")</f>
        <v/>
      </c>
      <c r="GL30" s="232" t="str">
        <f>IF(_xlfn.XLOOKUP(GL$14,TableStormwater['#],TableStormwater[Is there a cultural heritage impact?])&lt;&gt;"",_xlfn.XLOOKUP(GL$14,TableStormwater['#],TableStormwater[Is there a cultural heritage impact?]),"")</f>
        <v/>
      </c>
      <c r="GM30" s="160" t="str" cm="1">
        <f t="array" ref="GM30">IF(GL30&lt;&gt;"",_xlfn.IFS(GL30="Yes",_xlfn.IFS(AND(GN21&gt;='Variable index'!$K$35,GN21&lt;'Variable index'!$K$36),'Variable index'!$M$35,AND(GN21&gt;='Variable index'!$K$36,GN21&lt;'Variable index'!$K$37),'Variable index'!$M$36,AND(GN21&gt;='Variable index'!$K$37,GN21&lt;'Variable index'!$K$38),'Variable index'!$M$37,GN21&gt;='Variable index'!$K$38,'Variable index'!$M$38),GL30="No",0),"")</f>
        <v/>
      </c>
      <c r="GN30" s="168" t="str">
        <f>IFERROR(GN$21*GM30,"")</f>
        <v/>
      </c>
      <c r="GP30" s="232" t="str">
        <f>IF(_xlfn.XLOOKUP(GP$14,TableStormwater['#],TableStormwater[Is there a cultural heritage impact?])&lt;&gt;"",_xlfn.XLOOKUP(GP$14,TableStormwater['#],TableStormwater[Is there a cultural heritage impact?]),"")</f>
        <v/>
      </c>
      <c r="GQ30" s="160" t="str" cm="1">
        <f t="array" ref="GQ30">IF(GP30&lt;&gt;"",_xlfn.IFS(GP30="Yes",_xlfn.IFS(AND(GR21&gt;='Variable index'!$K$35,GR21&lt;'Variable index'!$K$36),'Variable index'!$M$35,AND(GR21&gt;='Variable index'!$K$36,GR21&lt;'Variable index'!$K$37),'Variable index'!$M$36,AND(GR21&gt;='Variable index'!$K$37,GR21&lt;'Variable index'!$K$38),'Variable index'!$M$37,GR21&gt;='Variable index'!$K$38,'Variable index'!$M$38),GP30="No",0),"")</f>
        <v/>
      </c>
      <c r="GR30" s="168" t="str">
        <f>IFERROR(GR$21*GQ30,"")</f>
        <v/>
      </c>
      <c r="GT30" s="232" t="str">
        <f>IF(_xlfn.XLOOKUP(GT$14,TableStormwater['#],TableStormwater[Is there a cultural heritage impact?])&lt;&gt;"",_xlfn.XLOOKUP(GT$14,TableStormwater['#],TableStormwater[Is there a cultural heritage impact?]),"")</f>
        <v/>
      </c>
      <c r="GU30" s="160" t="str" cm="1">
        <f t="array" ref="GU30">IF(GT30&lt;&gt;"",_xlfn.IFS(GT30="Yes",_xlfn.IFS(AND(GV21&gt;='Variable index'!$K$35,GV21&lt;'Variable index'!$K$36),'Variable index'!$M$35,AND(GV21&gt;='Variable index'!$K$36,GV21&lt;'Variable index'!$K$37),'Variable index'!$M$36,AND(GV21&gt;='Variable index'!$K$37,GV21&lt;'Variable index'!$K$38),'Variable index'!$M$37,GV21&gt;='Variable index'!$K$38,'Variable index'!$M$38),GT30="No",0),"")</f>
        <v/>
      </c>
      <c r="GV30" s="168" t="str">
        <f>IFERROR(GV$21*GU30,"")</f>
        <v/>
      </c>
    </row>
    <row r="31" spans="4:204" x14ac:dyDescent="0.2">
      <c r="D31" t="s">
        <v>160</v>
      </c>
      <c r="F31" s="232" t="str">
        <f>IF(_xlfn.XLOOKUP(F$14,TableStormwater['#],TableStormwater[Stage of development])&lt;&gt;"",_xlfn.XLOOKUP(F$14,TableStormwater['#],TableStormwater[Stage of development]),"")</f>
        <v/>
      </c>
      <c r="J31" s="232" t="str">
        <f>IF(_xlfn.XLOOKUP(J$14,TableStormwater['#],TableStormwater[Stage of development])&lt;&gt;"",_xlfn.XLOOKUP(J$14,TableStormwater['#],TableStormwater[Stage of development]),"")</f>
        <v/>
      </c>
      <c r="N31" s="232" t="str">
        <f>IF(_xlfn.XLOOKUP(N$14,TableStormwater['#],TableStormwater[Stage of development])&lt;&gt;"",_xlfn.XLOOKUP(N$14,TableStormwater['#],TableStormwater[Stage of development]),"")</f>
        <v/>
      </c>
      <c r="R31" s="232" t="str">
        <f>IF(_xlfn.XLOOKUP(R$14,TableStormwater['#],TableStormwater[Stage of development])&lt;&gt;"",_xlfn.XLOOKUP(R$14,TableStormwater['#],TableStormwater[Stage of development]),"")</f>
        <v/>
      </c>
      <c r="V31" s="232" t="str">
        <f>IF(_xlfn.XLOOKUP(V$14,TableStormwater['#],TableStormwater[Stage of development])&lt;&gt;"",_xlfn.XLOOKUP(V$14,TableStormwater['#],TableStormwater[Stage of development]),"")</f>
        <v/>
      </c>
      <c r="Z31" s="232" t="str">
        <f>IF(_xlfn.XLOOKUP(Z$14,TableStormwater['#],TableStormwater[Stage of development])&lt;&gt;"",_xlfn.XLOOKUP(Z$14,TableStormwater['#],TableStormwater[Stage of development]),"")</f>
        <v/>
      </c>
      <c r="AD31" s="232" t="str">
        <f>IF(_xlfn.XLOOKUP(AD$14,TableStormwater['#],TableStormwater[Stage of development])&lt;&gt;"",_xlfn.XLOOKUP(AD$14,TableStormwater['#],TableStormwater[Stage of development]),"")</f>
        <v/>
      </c>
      <c r="AH31" s="232" t="str">
        <f>IF(_xlfn.XLOOKUP(AH$14,TableStormwater['#],TableStormwater[Stage of development])&lt;&gt;"",_xlfn.XLOOKUP(AH$14,TableStormwater['#],TableStormwater[Stage of development]),"")</f>
        <v/>
      </c>
      <c r="AL31" s="232" t="str">
        <f>IF(_xlfn.XLOOKUP(AL$14,TableStormwater['#],TableStormwater[Stage of development])&lt;&gt;"",_xlfn.XLOOKUP(AL$14,TableStormwater['#],TableStormwater[Stage of development]),"")</f>
        <v/>
      </c>
      <c r="AP31" s="232" t="str">
        <f>IF(_xlfn.XLOOKUP(AP$14,TableStormwater['#],TableStormwater[Stage of development])&lt;&gt;"",_xlfn.XLOOKUP(AP$14,TableStormwater['#],TableStormwater[Stage of development]),"")</f>
        <v/>
      </c>
      <c r="AT31" s="232" t="str">
        <f>IF(_xlfn.XLOOKUP(AT$14,TableStormwater['#],TableStormwater[Stage of development])&lt;&gt;"",_xlfn.XLOOKUP(AT$14,TableStormwater['#],TableStormwater[Stage of development]),"")</f>
        <v/>
      </c>
      <c r="AX31" s="232" t="str">
        <f>IF(_xlfn.XLOOKUP(AX$14,TableStormwater['#],TableStormwater[Stage of development])&lt;&gt;"",_xlfn.XLOOKUP(AX$14,TableStormwater['#],TableStormwater[Stage of development]),"")</f>
        <v/>
      </c>
      <c r="BB31" s="232" t="str">
        <f>IF(_xlfn.XLOOKUP(BB$14,TableStormwater['#],TableStormwater[Stage of development])&lt;&gt;"",_xlfn.XLOOKUP(BB$14,TableStormwater['#],TableStormwater[Stage of development]),"")</f>
        <v/>
      </c>
      <c r="BF31" s="232" t="str">
        <f>IF(_xlfn.XLOOKUP(BF$14,TableStormwater['#],TableStormwater[Stage of development])&lt;&gt;"",_xlfn.XLOOKUP(BF$14,TableStormwater['#],TableStormwater[Stage of development]),"")</f>
        <v/>
      </c>
      <c r="BJ31" s="232" t="str">
        <f>IF(_xlfn.XLOOKUP(BJ$14,TableStormwater['#],TableStormwater[Stage of development])&lt;&gt;"",_xlfn.XLOOKUP(BJ$14,TableStormwater['#],TableStormwater[Stage of development]),"")</f>
        <v/>
      </c>
      <c r="BN31" s="232" t="str">
        <f>IF(_xlfn.XLOOKUP(BN$14,TableStormwater['#],TableStormwater[Stage of development])&lt;&gt;"",_xlfn.XLOOKUP(BN$14,TableStormwater['#],TableStormwater[Stage of development]),"")</f>
        <v/>
      </c>
      <c r="BR31" s="232" t="str">
        <f>IF(_xlfn.XLOOKUP(BR$14,TableStormwater['#],TableStormwater[Stage of development])&lt;&gt;"",_xlfn.XLOOKUP(BR$14,TableStormwater['#],TableStormwater[Stage of development]),"")</f>
        <v/>
      </c>
      <c r="BV31" s="232" t="str">
        <f>IF(_xlfn.XLOOKUP(BV$14,TableStormwater['#],TableStormwater[Stage of development])&lt;&gt;"",_xlfn.XLOOKUP(BV$14,TableStormwater['#],TableStormwater[Stage of development]),"")</f>
        <v/>
      </c>
      <c r="BZ31" s="232" t="str">
        <f>IF(_xlfn.XLOOKUP(BZ$14,TableStormwater['#],TableStormwater[Stage of development])&lt;&gt;"",_xlfn.XLOOKUP(BZ$14,TableStormwater['#],TableStormwater[Stage of development]),"")</f>
        <v/>
      </c>
      <c r="CD31" s="232" t="str">
        <f>IF(_xlfn.XLOOKUP(CD$14,TableStormwater['#],TableStormwater[Stage of development])&lt;&gt;"",_xlfn.XLOOKUP(CD$14,TableStormwater['#],TableStormwater[Stage of development]),"")</f>
        <v/>
      </c>
      <c r="CH31" s="232" t="str">
        <f>IF(_xlfn.XLOOKUP(CH$14,TableStormwater['#],TableStormwater[Stage of development])&lt;&gt;"",_xlfn.XLOOKUP(CH$14,TableStormwater['#],TableStormwater[Stage of development]),"")</f>
        <v/>
      </c>
      <c r="CL31" s="232" t="str">
        <f>IF(_xlfn.XLOOKUP(CL$14,TableStormwater['#],TableStormwater[Stage of development])&lt;&gt;"",_xlfn.XLOOKUP(CL$14,TableStormwater['#],TableStormwater[Stage of development]),"")</f>
        <v/>
      </c>
      <c r="CP31" s="232" t="str">
        <f>IF(_xlfn.XLOOKUP(CP$14,TableStormwater['#],TableStormwater[Stage of development])&lt;&gt;"",_xlfn.XLOOKUP(CP$14,TableStormwater['#],TableStormwater[Stage of development]),"")</f>
        <v/>
      </c>
      <c r="CT31" s="232" t="str">
        <f>IF(_xlfn.XLOOKUP(CT$14,TableStormwater['#],TableStormwater[Stage of development])&lt;&gt;"",_xlfn.XLOOKUP(CT$14,TableStormwater['#],TableStormwater[Stage of development]),"")</f>
        <v/>
      </c>
      <c r="CX31" s="232" t="str">
        <f>IF(_xlfn.XLOOKUP(CX$14,TableStormwater['#],TableStormwater[Stage of development])&lt;&gt;"",_xlfn.XLOOKUP(CX$14,TableStormwater['#],TableStormwater[Stage of development]),"")</f>
        <v/>
      </c>
      <c r="DB31" s="232" t="str">
        <f>IF(_xlfn.XLOOKUP(DB$14,TableStormwater['#],TableStormwater[Stage of development])&lt;&gt;"",_xlfn.XLOOKUP(DB$14,TableStormwater['#],TableStormwater[Stage of development]),"")</f>
        <v/>
      </c>
      <c r="DF31" s="232" t="str">
        <f>IF(_xlfn.XLOOKUP(DF$14,TableStormwater['#],TableStormwater[Stage of development])&lt;&gt;"",_xlfn.XLOOKUP(DF$14,TableStormwater['#],TableStormwater[Stage of development]),"")</f>
        <v/>
      </c>
      <c r="DJ31" s="232" t="str">
        <f>IF(_xlfn.XLOOKUP(DJ$14,TableStormwater['#],TableStormwater[Stage of development])&lt;&gt;"",_xlfn.XLOOKUP(DJ$14,TableStormwater['#],TableStormwater[Stage of development]),"")</f>
        <v/>
      </c>
      <c r="DN31" s="232" t="str">
        <f>IF(_xlfn.XLOOKUP(DN$14,TableStormwater['#],TableStormwater[Stage of development])&lt;&gt;"",_xlfn.XLOOKUP(DN$14,TableStormwater['#],TableStormwater[Stage of development]),"")</f>
        <v/>
      </c>
      <c r="DR31" s="232" t="str">
        <f>IF(_xlfn.XLOOKUP(DR$14,TableStormwater['#],TableStormwater[Stage of development])&lt;&gt;"",_xlfn.XLOOKUP(DR$14,TableStormwater['#],TableStormwater[Stage of development]),"")</f>
        <v/>
      </c>
      <c r="DV31" s="232" t="str">
        <f>IF(_xlfn.XLOOKUP(DV$14,TableStormwater['#],TableStormwater[Stage of development])&lt;&gt;"",_xlfn.XLOOKUP(DV$14,TableStormwater['#],TableStormwater[Stage of development]),"")</f>
        <v/>
      </c>
      <c r="DZ31" s="232" t="str">
        <f>IF(_xlfn.XLOOKUP(DZ$14,TableStormwater['#],TableStormwater[Stage of development])&lt;&gt;"",_xlfn.XLOOKUP(DZ$14,TableStormwater['#],TableStormwater[Stage of development]),"")</f>
        <v/>
      </c>
      <c r="ED31" s="232" t="str">
        <f>IF(_xlfn.XLOOKUP(ED$14,TableStormwater['#],TableStormwater[Stage of development])&lt;&gt;"",_xlfn.XLOOKUP(ED$14,TableStormwater['#],TableStormwater[Stage of development]),"")</f>
        <v/>
      </c>
      <c r="EH31" s="232" t="str">
        <f>IF(_xlfn.XLOOKUP(EH$14,TableStormwater['#],TableStormwater[Stage of development])&lt;&gt;"",_xlfn.XLOOKUP(EH$14,TableStormwater['#],TableStormwater[Stage of development]),"")</f>
        <v/>
      </c>
      <c r="EL31" s="232" t="str">
        <f>IF(_xlfn.XLOOKUP(EL$14,TableStormwater['#],TableStormwater[Stage of development])&lt;&gt;"",_xlfn.XLOOKUP(EL$14,TableStormwater['#],TableStormwater[Stage of development]),"")</f>
        <v/>
      </c>
      <c r="EP31" s="232" t="str">
        <f>IF(_xlfn.XLOOKUP(EP$14,TableStormwater['#],TableStormwater[Stage of development])&lt;&gt;"",_xlfn.XLOOKUP(EP$14,TableStormwater['#],TableStormwater[Stage of development]),"")</f>
        <v/>
      </c>
      <c r="ET31" s="232" t="str">
        <f>IF(_xlfn.XLOOKUP(ET$14,TableStormwater['#],TableStormwater[Stage of development])&lt;&gt;"",_xlfn.XLOOKUP(ET$14,TableStormwater['#],TableStormwater[Stage of development]),"")</f>
        <v/>
      </c>
      <c r="EX31" s="232" t="str">
        <f>IF(_xlfn.XLOOKUP(EX$14,TableStormwater['#],TableStormwater[Stage of development])&lt;&gt;"",_xlfn.XLOOKUP(EX$14,TableStormwater['#],TableStormwater[Stage of development]),"")</f>
        <v/>
      </c>
      <c r="FB31" s="232" t="str">
        <f>IF(_xlfn.XLOOKUP(FB$14,TableStormwater['#],TableStormwater[Stage of development])&lt;&gt;"",_xlfn.XLOOKUP(FB$14,TableStormwater['#],TableStormwater[Stage of development]),"")</f>
        <v/>
      </c>
      <c r="FF31" s="232" t="str">
        <f>IF(_xlfn.XLOOKUP(FF$14,TableStormwater['#],TableStormwater[Stage of development])&lt;&gt;"",_xlfn.XLOOKUP(FF$14,TableStormwater['#],TableStormwater[Stage of development]),"")</f>
        <v/>
      </c>
      <c r="FJ31" s="232" t="str">
        <f>IF(_xlfn.XLOOKUP(FJ$14,TableStormwater['#],TableStormwater[Stage of development])&lt;&gt;"",_xlfn.XLOOKUP(FJ$14,TableStormwater['#],TableStormwater[Stage of development]),"")</f>
        <v/>
      </c>
      <c r="FN31" s="232" t="str">
        <f>IF(_xlfn.XLOOKUP(FN$14,TableStormwater['#],TableStormwater[Stage of development])&lt;&gt;"",_xlfn.XLOOKUP(FN$14,TableStormwater['#],TableStormwater[Stage of development]),"")</f>
        <v/>
      </c>
      <c r="FR31" s="232" t="str">
        <f>IF(_xlfn.XLOOKUP(FR$14,TableStormwater['#],TableStormwater[Stage of development])&lt;&gt;"",_xlfn.XLOOKUP(FR$14,TableStormwater['#],TableStormwater[Stage of development]),"")</f>
        <v/>
      </c>
      <c r="FV31" s="232" t="str">
        <f>IF(_xlfn.XLOOKUP(FV$14,TableStormwater['#],TableStormwater[Stage of development])&lt;&gt;"",_xlfn.XLOOKUP(FV$14,TableStormwater['#],TableStormwater[Stage of development]),"")</f>
        <v/>
      </c>
      <c r="FZ31" s="232" t="str">
        <f>IF(_xlfn.XLOOKUP(FZ$14,TableStormwater['#],TableStormwater[Stage of development])&lt;&gt;"",_xlfn.XLOOKUP(FZ$14,TableStormwater['#],TableStormwater[Stage of development]),"")</f>
        <v/>
      </c>
      <c r="GD31" s="232" t="str">
        <f>IF(_xlfn.XLOOKUP(GD$14,TableStormwater['#],TableStormwater[Stage of development])&lt;&gt;"",_xlfn.XLOOKUP(GD$14,TableStormwater['#],TableStormwater[Stage of development]),"")</f>
        <v/>
      </c>
      <c r="GH31" s="232" t="str">
        <f>IF(_xlfn.XLOOKUP(GH$14,TableStormwater['#],TableStormwater[Stage of development])&lt;&gt;"",_xlfn.XLOOKUP(GH$14,TableStormwater['#],TableStormwater[Stage of development]),"")</f>
        <v/>
      </c>
      <c r="GL31" s="232" t="str">
        <f>IF(_xlfn.XLOOKUP(GL$14,TableStormwater['#],TableStormwater[Stage of development])&lt;&gt;"",_xlfn.XLOOKUP(GL$14,TableStormwater['#],TableStormwater[Stage of development]),"")</f>
        <v/>
      </c>
      <c r="GP31" s="232" t="str">
        <f>IF(_xlfn.XLOOKUP(GP$14,TableStormwater['#],TableStormwater[Stage of development])&lt;&gt;"",_xlfn.XLOOKUP(GP$14,TableStormwater['#],TableStormwater[Stage of development]),"")</f>
        <v/>
      </c>
      <c r="GT31" s="232" t="str">
        <f>IF(_xlfn.XLOOKUP(GT$14,TableStormwater['#],TableStormwater[Stage of development])&lt;&gt;"",_xlfn.XLOOKUP(GT$14,TableStormwater['#],TableStormwater[Stage of development]),"")</f>
        <v/>
      </c>
    </row>
    <row r="32" spans="4:204" x14ac:dyDescent="0.2">
      <c r="D32" t="s">
        <v>161</v>
      </c>
      <c r="G32" s="160" t="str" cm="1">
        <f t="array" ref="G32">IF(F31&lt;&gt;"",_xlfn.IFS(F31='Variable index'!$J$53,SUM('Variable index'!$K$49:$M$49),F31='Variable index'!$J$54,SUM('Variable index'!$L$49:$M$49),F31='Variable index'!$J$55,SUM('Variable index'!$M$49)),"")</f>
        <v/>
      </c>
      <c r="H32" s="168" t="str">
        <f>IFERROR(H$21*G32,"")</f>
        <v/>
      </c>
      <c r="K32" s="160" t="str" cm="1">
        <f t="array" ref="K32">IF(J31&lt;&gt;"",_xlfn.IFS(J31='Variable index'!$J$53,SUM('Variable index'!$K$49:$M$49),J31='Variable index'!$J$54,SUM('Variable index'!$L$49:$M$49),J31='Variable index'!$J$55,SUM('Variable index'!$M$49)),"")</f>
        <v/>
      </c>
      <c r="L32" s="168" t="str">
        <f>IFERROR(L$21*K32,"")</f>
        <v/>
      </c>
      <c r="O32" s="160" t="str" cm="1">
        <f t="array" ref="O32">IF(N31&lt;&gt;"",_xlfn.IFS(N31='Variable index'!$J$53,SUM('Variable index'!$K$49:$M$49),N31='Variable index'!$J$54,SUM('Variable index'!$L$49:$M$49),N31='Variable index'!$J$55,SUM('Variable index'!$M$49)),"")</f>
        <v/>
      </c>
      <c r="P32" s="168" t="str">
        <f>IFERROR(P$21*O32,"")</f>
        <v/>
      </c>
      <c r="S32" s="160" t="str" cm="1">
        <f t="array" ref="S32">IF(R31&lt;&gt;"",_xlfn.IFS(R31='Variable index'!$J$53,SUM('Variable index'!$K$49:$M$49),R31='Variable index'!$J$54,SUM('Variable index'!$L$49:$M$49),R31='Variable index'!$J$55,SUM('Variable index'!$M$49)),"")</f>
        <v/>
      </c>
      <c r="T32" s="168" t="str">
        <f>IFERROR(T$21*S32,"")</f>
        <v/>
      </c>
      <c r="W32" s="160" t="str" cm="1">
        <f t="array" ref="W32">IF(V31&lt;&gt;"",_xlfn.IFS(V31='Variable index'!$J$53,SUM('Variable index'!$K$49:$M$49),V31='Variable index'!$J$54,SUM('Variable index'!$L$49:$M$49),V31='Variable index'!$J$55,SUM('Variable index'!$M$49)),"")</f>
        <v/>
      </c>
      <c r="X32" s="168" t="str">
        <f>IFERROR(X$21*W32,"")</f>
        <v/>
      </c>
      <c r="AA32" s="160" t="str" cm="1">
        <f t="array" ref="AA32">IF(Z31&lt;&gt;"",_xlfn.IFS(Z31='Variable index'!$J$53,SUM('Variable index'!$K$49:$M$49),Z31='Variable index'!$J$54,SUM('Variable index'!$L$49:$M$49),Z31='Variable index'!$J$55,SUM('Variable index'!$M$49)),"")</f>
        <v/>
      </c>
      <c r="AB32" s="168" t="str">
        <f>IFERROR(AB$21*AA32,"")</f>
        <v/>
      </c>
      <c r="AE32" s="160" t="str" cm="1">
        <f t="array" ref="AE32">IF(AD31&lt;&gt;"",_xlfn.IFS(AD31='Variable index'!$J$53,SUM('Variable index'!$K$49:$M$49),AD31='Variable index'!$J$54,SUM('Variable index'!$L$49:$M$49),AD31='Variable index'!$J$55,SUM('Variable index'!$M$49)),"")</f>
        <v/>
      </c>
      <c r="AF32" s="168" t="str">
        <f>IFERROR(AF$21*AE32,"")</f>
        <v/>
      </c>
      <c r="AI32" s="160" t="str" cm="1">
        <f t="array" ref="AI32">IF(AH31&lt;&gt;"",_xlfn.IFS(AH31='Variable index'!$J$53,SUM('Variable index'!$K$49:$M$49),AH31='Variable index'!$J$54,SUM('Variable index'!$L$49:$M$49),AH31='Variable index'!$J$55,SUM('Variable index'!$M$49)),"")</f>
        <v/>
      </c>
      <c r="AJ32" s="168" t="str">
        <f>IFERROR(AJ$21*AI32,"")</f>
        <v/>
      </c>
      <c r="AM32" s="160" t="str" cm="1">
        <f t="array" ref="AM32">IF(AL31&lt;&gt;"",_xlfn.IFS(AL31='Variable index'!$J$53,SUM('Variable index'!$K$49:$M$49),AL31='Variable index'!$J$54,SUM('Variable index'!$L$49:$M$49),AL31='Variable index'!$J$55,SUM('Variable index'!$M$49)),"")</f>
        <v/>
      </c>
      <c r="AN32" s="168" t="str">
        <f>IFERROR(AN$21*AM32,"")</f>
        <v/>
      </c>
      <c r="AQ32" s="160" t="str" cm="1">
        <f t="array" ref="AQ32">IF(AP31&lt;&gt;"",_xlfn.IFS(AP31='Variable index'!$J$53,SUM('Variable index'!$K$49:$M$49),AP31='Variable index'!$J$54,SUM('Variable index'!$L$49:$M$49),AP31='Variable index'!$J$55,SUM('Variable index'!$M$49)),"")</f>
        <v/>
      </c>
      <c r="AR32" s="168" t="str">
        <f>IFERROR(AR$21*AQ32,"")</f>
        <v/>
      </c>
      <c r="AU32" s="160" t="str" cm="1">
        <f t="array" ref="AU32">IF(AT31&lt;&gt;"",_xlfn.IFS(AT31='Variable index'!$J$53,SUM('Variable index'!$K$49:$M$49),AT31='Variable index'!$J$54,SUM('Variable index'!$L$49:$M$49),AT31='Variable index'!$J$55,SUM('Variable index'!$M$49)),"")</f>
        <v/>
      </c>
      <c r="AV32" s="168" t="str">
        <f>IFERROR(AV$21*AU32,"")</f>
        <v/>
      </c>
      <c r="AY32" s="160" t="str" cm="1">
        <f t="array" ref="AY32">IF(AX31&lt;&gt;"",_xlfn.IFS(AX31='Variable index'!$J$53,SUM('Variable index'!$K$49:$M$49),AX31='Variable index'!$J$54,SUM('Variable index'!$L$49:$M$49),AX31='Variable index'!$J$55,SUM('Variable index'!$M$49)),"")</f>
        <v/>
      </c>
      <c r="AZ32" s="168" t="str">
        <f>IFERROR(AZ$21*AY32,"")</f>
        <v/>
      </c>
      <c r="BC32" s="160" t="str" cm="1">
        <f t="array" ref="BC32">IF(BB31&lt;&gt;"",_xlfn.IFS(BB31='Variable index'!$J$53,SUM('Variable index'!$K$49:$M$49),BB31='Variable index'!$J$54,SUM('Variable index'!$L$49:$M$49),BB31='Variable index'!$J$55,SUM('Variable index'!$M$49)),"")</f>
        <v/>
      </c>
      <c r="BD32" s="168" t="str">
        <f>IFERROR(BD$21*BC32,"")</f>
        <v/>
      </c>
      <c r="BG32" s="160" t="str" cm="1">
        <f t="array" ref="BG32">IF(BF31&lt;&gt;"",_xlfn.IFS(BF31='Variable index'!$J$53,SUM('Variable index'!$K$49:$M$49),BF31='Variable index'!$J$54,SUM('Variable index'!$L$49:$M$49),BF31='Variable index'!$J$55,SUM('Variable index'!$M$49)),"")</f>
        <v/>
      </c>
      <c r="BH32" s="168" t="str">
        <f>IFERROR(BH$21*BG32,"")</f>
        <v/>
      </c>
      <c r="BK32" s="160" t="str" cm="1">
        <f t="array" ref="BK32">IF(BJ31&lt;&gt;"",_xlfn.IFS(BJ31='Variable index'!$J$53,SUM('Variable index'!$K$49:$M$49),BJ31='Variable index'!$J$54,SUM('Variable index'!$L$49:$M$49),BJ31='Variable index'!$J$55,SUM('Variable index'!$M$49)),"")</f>
        <v/>
      </c>
      <c r="BL32" s="168" t="str">
        <f>IFERROR(BL$21*BK32,"")</f>
        <v/>
      </c>
      <c r="BO32" s="160" t="str" cm="1">
        <f t="array" ref="BO32">IF(BN31&lt;&gt;"",_xlfn.IFS(BN31='Variable index'!$J$53,SUM('Variable index'!$K$49:$M$49),BN31='Variable index'!$J$54,SUM('Variable index'!$L$49:$M$49),BN31='Variable index'!$J$55,SUM('Variable index'!$M$49)),"")</f>
        <v/>
      </c>
      <c r="BP32" s="168" t="str">
        <f>IFERROR(BP$21*BO32,"")</f>
        <v/>
      </c>
      <c r="BS32" s="160" t="str" cm="1">
        <f t="array" ref="BS32">IF(BR31&lt;&gt;"",_xlfn.IFS(BR31='Variable index'!$J$53,SUM('Variable index'!$K$49:$M$49),BR31='Variable index'!$J$54,SUM('Variable index'!$L$49:$M$49),BR31='Variable index'!$J$55,SUM('Variable index'!$M$49)),"")</f>
        <v/>
      </c>
      <c r="BT32" s="168" t="str">
        <f>IFERROR(BT$21*BS32,"")</f>
        <v/>
      </c>
      <c r="BW32" s="160" t="str" cm="1">
        <f t="array" ref="BW32">IF(BV31&lt;&gt;"",_xlfn.IFS(BV31='Variable index'!$J$53,SUM('Variable index'!$K$49:$M$49),BV31='Variable index'!$J$54,SUM('Variable index'!$L$49:$M$49),BV31='Variable index'!$J$55,SUM('Variable index'!$M$49)),"")</f>
        <v/>
      </c>
      <c r="BX32" s="168" t="str">
        <f>IFERROR(BX$21*BW32,"")</f>
        <v/>
      </c>
      <c r="CA32" s="160" t="str" cm="1">
        <f t="array" ref="CA32">IF(BZ31&lt;&gt;"",_xlfn.IFS(BZ31='Variable index'!$J$53,SUM('Variable index'!$K$49:$M$49),BZ31='Variable index'!$J$54,SUM('Variable index'!$L$49:$M$49),BZ31='Variable index'!$J$55,SUM('Variable index'!$M$49)),"")</f>
        <v/>
      </c>
      <c r="CB32" s="168" t="str">
        <f>IFERROR(CB$21*CA32,"")</f>
        <v/>
      </c>
      <c r="CE32" s="160" t="str" cm="1">
        <f t="array" ref="CE32">IF(CD31&lt;&gt;"",_xlfn.IFS(CD31='Variable index'!$J$53,SUM('Variable index'!$K$49:$M$49),CD31='Variable index'!$J$54,SUM('Variable index'!$L$49:$M$49),CD31='Variable index'!$J$55,SUM('Variable index'!$M$49)),"")</f>
        <v/>
      </c>
      <c r="CF32" s="168" t="str">
        <f>IFERROR(CF$21*CE32,"")</f>
        <v/>
      </c>
      <c r="CI32" s="160" t="str" cm="1">
        <f t="array" ref="CI32">IF(CH31&lt;&gt;"",_xlfn.IFS(CH31='Variable index'!$J$53,SUM('Variable index'!$K$49:$M$49),CH31='Variable index'!$J$54,SUM('Variable index'!$L$49:$M$49),CH31='Variable index'!$J$55,SUM('Variable index'!$M$49)),"")</f>
        <v/>
      </c>
      <c r="CJ32" s="168" t="str">
        <f>IFERROR(CJ$21*CI32,"")</f>
        <v/>
      </c>
      <c r="CM32" s="160" t="str" cm="1">
        <f t="array" ref="CM32">IF(CL31&lt;&gt;"",_xlfn.IFS(CL31='Variable index'!$J$53,SUM('Variable index'!$K$49:$M$49),CL31='Variable index'!$J$54,SUM('Variable index'!$L$49:$M$49),CL31='Variable index'!$J$55,SUM('Variable index'!$M$49)),"")</f>
        <v/>
      </c>
      <c r="CN32" s="168" t="str">
        <f>IFERROR(CN$21*CM32,"")</f>
        <v/>
      </c>
      <c r="CQ32" s="160" t="str" cm="1">
        <f t="array" ref="CQ32">IF(CP31&lt;&gt;"",_xlfn.IFS(CP31='Variable index'!$J$53,SUM('Variable index'!$K$49:$M$49),CP31='Variable index'!$J$54,SUM('Variable index'!$L$49:$M$49),CP31='Variable index'!$J$55,SUM('Variable index'!$M$49)),"")</f>
        <v/>
      </c>
      <c r="CR32" s="168" t="str">
        <f>IFERROR(CR$21*CQ32,"")</f>
        <v/>
      </c>
      <c r="CU32" s="160" t="str" cm="1">
        <f t="array" ref="CU32">IF(CT31&lt;&gt;"",_xlfn.IFS(CT31='Variable index'!$J$53,SUM('Variable index'!$K$49:$M$49),CT31='Variable index'!$J$54,SUM('Variable index'!$L$49:$M$49),CT31='Variable index'!$J$55,SUM('Variable index'!$M$49)),"")</f>
        <v/>
      </c>
      <c r="CV32" s="168" t="str">
        <f>IFERROR(CV$21*CU32,"")</f>
        <v/>
      </c>
      <c r="CY32" s="160" t="str" cm="1">
        <f t="array" ref="CY32">IF(CX31&lt;&gt;"",_xlfn.IFS(CX31='Variable index'!$J$53,SUM('Variable index'!$K$49:$M$49),CX31='Variable index'!$J$54,SUM('Variable index'!$L$49:$M$49),CX31='Variable index'!$J$55,SUM('Variable index'!$M$49)),"")</f>
        <v/>
      </c>
      <c r="CZ32" s="168" t="str">
        <f>IFERROR(CZ$21*CY32,"")</f>
        <v/>
      </c>
      <c r="DC32" s="160" t="str" cm="1">
        <f t="array" ref="DC32">IF(DB31&lt;&gt;"",_xlfn.IFS(DB31='Variable index'!$J$53,SUM('Variable index'!$K$49:$M$49),DB31='Variable index'!$J$54,SUM('Variable index'!$L$49:$M$49),DB31='Variable index'!$J$55,SUM('Variable index'!$M$49)),"")</f>
        <v/>
      </c>
      <c r="DD32" s="168" t="str">
        <f>IFERROR(DD$21*DC32,"")</f>
        <v/>
      </c>
      <c r="DG32" s="160" t="str" cm="1">
        <f t="array" ref="DG32">IF(DF31&lt;&gt;"",_xlfn.IFS(DF31='Variable index'!$J$53,SUM('Variable index'!$K$49:$M$49),DF31='Variable index'!$J$54,SUM('Variable index'!$L$49:$M$49),DF31='Variable index'!$J$55,SUM('Variable index'!$M$49)),"")</f>
        <v/>
      </c>
      <c r="DH32" s="168" t="str">
        <f>IFERROR(DH$21*DG32,"")</f>
        <v/>
      </c>
      <c r="DK32" s="160" t="str" cm="1">
        <f t="array" ref="DK32">IF(DJ31&lt;&gt;"",_xlfn.IFS(DJ31='Variable index'!$J$53,SUM('Variable index'!$K$49:$M$49),DJ31='Variable index'!$J$54,SUM('Variable index'!$L$49:$M$49),DJ31='Variable index'!$J$55,SUM('Variable index'!$M$49)),"")</f>
        <v/>
      </c>
      <c r="DL32" s="168" t="str">
        <f>IFERROR(DL$21*DK32,"")</f>
        <v/>
      </c>
      <c r="DO32" s="160" t="str" cm="1">
        <f t="array" ref="DO32">IF(DN31&lt;&gt;"",_xlfn.IFS(DN31='Variable index'!$J$53,SUM('Variable index'!$K$49:$M$49),DN31='Variable index'!$J$54,SUM('Variable index'!$L$49:$M$49),DN31='Variable index'!$J$55,SUM('Variable index'!$M$49)),"")</f>
        <v/>
      </c>
      <c r="DP32" s="168" t="str">
        <f>IFERROR(DP$21*DO32,"")</f>
        <v/>
      </c>
      <c r="DS32" s="160" t="str" cm="1">
        <f t="array" ref="DS32">IF(DR31&lt;&gt;"",_xlfn.IFS(DR31='Variable index'!$J$53,SUM('Variable index'!$K$49:$M$49),DR31='Variable index'!$J$54,SUM('Variable index'!$L$49:$M$49),DR31='Variable index'!$J$55,SUM('Variable index'!$M$49)),"")</f>
        <v/>
      </c>
      <c r="DT32" s="168" t="str">
        <f>IFERROR(DT$21*DS32,"")</f>
        <v/>
      </c>
      <c r="DW32" s="160" t="str" cm="1">
        <f t="array" ref="DW32">IF(DV31&lt;&gt;"",_xlfn.IFS(DV31='Variable index'!$J$53,SUM('Variable index'!$K$49:$M$49),DV31='Variable index'!$J$54,SUM('Variable index'!$L$49:$M$49),DV31='Variable index'!$J$55,SUM('Variable index'!$M$49)),"")</f>
        <v/>
      </c>
      <c r="DX32" s="168" t="str">
        <f>IFERROR(DX$21*DW32,"")</f>
        <v/>
      </c>
      <c r="EA32" s="160" t="str" cm="1">
        <f t="array" ref="EA32">IF(DZ31&lt;&gt;"",_xlfn.IFS(DZ31='Variable index'!$J$53,SUM('Variable index'!$K$49:$M$49),DZ31='Variable index'!$J$54,SUM('Variable index'!$L$49:$M$49),DZ31='Variable index'!$J$55,SUM('Variable index'!$M$49)),"")</f>
        <v/>
      </c>
      <c r="EB32" s="168" t="str">
        <f>IFERROR(EB$21*EA32,"")</f>
        <v/>
      </c>
      <c r="EE32" s="160" t="str" cm="1">
        <f t="array" ref="EE32">IF(ED31&lt;&gt;"",_xlfn.IFS(ED31='Variable index'!$J$53,SUM('Variable index'!$K$49:$M$49),ED31='Variable index'!$J$54,SUM('Variable index'!$L$49:$M$49),ED31='Variable index'!$J$55,SUM('Variable index'!$M$49)),"")</f>
        <v/>
      </c>
      <c r="EF32" s="168" t="str">
        <f>IFERROR(EF$21*EE32,"")</f>
        <v/>
      </c>
      <c r="EI32" s="160" t="str" cm="1">
        <f t="array" ref="EI32">IF(EH31&lt;&gt;"",_xlfn.IFS(EH31='Variable index'!$J$53,SUM('Variable index'!$K$49:$M$49),EH31='Variable index'!$J$54,SUM('Variable index'!$L$49:$M$49),EH31='Variable index'!$J$55,SUM('Variable index'!$M$49)),"")</f>
        <v/>
      </c>
      <c r="EJ32" s="168" t="str">
        <f>IFERROR(EJ$21*EI32,"")</f>
        <v/>
      </c>
      <c r="EM32" s="160" t="str" cm="1">
        <f t="array" ref="EM32">IF(EL31&lt;&gt;"",_xlfn.IFS(EL31='Variable index'!$J$53,SUM('Variable index'!$K$49:$M$49),EL31='Variable index'!$J$54,SUM('Variable index'!$L$49:$M$49),EL31='Variable index'!$J$55,SUM('Variable index'!$M$49)),"")</f>
        <v/>
      </c>
      <c r="EN32" s="168" t="str">
        <f>IFERROR(EN$21*EM32,"")</f>
        <v/>
      </c>
      <c r="EQ32" s="160" t="str" cm="1">
        <f t="array" ref="EQ32">IF(EP31&lt;&gt;"",_xlfn.IFS(EP31='Variable index'!$J$53,SUM('Variable index'!$K$49:$M$49),EP31='Variable index'!$J$54,SUM('Variable index'!$L$49:$M$49),EP31='Variable index'!$J$55,SUM('Variable index'!$M$49)),"")</f>
        <v/>
      </c>
      <c r="ER32" s="168" t="str">
        <f>IFERROR(ER$21*EQ32,"")</f>
        <v/>
      </c>
      <c r="EU32" s="160" t="str" cm="1">
        <f t="array" ref="EU32">IF(ET31&lt;&gt;"",_xlfn.IFS(ET31='Variable index'!$J$53,SUM('Variable index'!$K$49:$M$49),ET31='Variable index'!$J$54,SUM('Variable index'!$L$49:$M$49),ET31='Variable index'!$J$55,SUM('Variable index'!$M$49)),"")</f>
        <v/>
      </c>
      <c r="EV32" s="168" t="str">
        <f>IFERROR(EV$21*EU32,"")</f>
        <v/>
      </c>
      <c r="EY32" s="160" t="str" cm="1">
        <f t="array" ref="EY32">IF(EX31&lt;&gt;"",_xlfn.IFS(EX31='Variable index'!$J$53,SUM('Variable index'!$K$49:$M$49),EX31='Variable index'!$J$54,SUM('Variable index'!$L$49:$M$49),EX31='Variable index'!$J$55,SUM('Variable index'!$M$49)),"")</f>
        <v/>
      </c>
      <c r="EZ32" s="168" t="str">
        <f>IFERROR(EZ$21*EY32,"")</f>
        <v/>
      </c>
      <c r="FC32" s="160" t="str" cm="1">
        <f t="array" ref="FC32">IF(FB31&lt;&gt;"",_xlfn.IFS(FB31='Variable index'!$J$53,SUM('Variable index'!$K$49:$M$49),FB31='Variable index'!$J$54,SUM('Variable index'!$L$49:$M$49),FB31='Variable index'!$J$55,SUM('Variable index'!$M$49)),"")</f>
        <v/>
      </c>
      <c r="FD32" s="168" t="str">
        <f>IFERROR(FD$21*FC32,"")</f>
        <v/>
      </c>
      <c r="FG32" s="160" t="str" cm="1">
        <f t="array" ref="FG32">IF(FF31&lt;&gt;"",_xlfn.IFS(FF31='Variable index'!$J$53,SUM('Variable index'!$K$49:$M$49),FF31='Variable index'!$J$54,SUM('Variable index'!$L$49:$M$49),FF31='Variable index'!$J$55,SUM('Variable index'!$M$49)),"")</f>
        <v/>
      </c>
      <c r="FH32" s="168" t="str">
        <f>IFERROR(FH$21*FG32,"")</f>
        <v/>
      </c>
      <c r="FK32" s="160" t="str" cm="1">
        <f t="array" ref="FK32">IF(FJ31&lt;&gt;"",_xlfn.IFS(FJ31='Variable index'!$J$53,SUM('Variable index'!$K$49:$M$49),FJ31='Variable index'!$J$54,SUM('Variable index'!$L$49:$M$49),FJ31='Variable index'!$J$55,SUM('Variable index'!$M$49)),"")</f>
        <v/>
      </c>
      <c r="FL32" s="168" t="str">
        <f>IFERROR(FL$21*FK32,"")</f>
        <v/>
      </c>
      <c r="FO32" s="160" t="str" cm="1">
        <f t="array" ref="FO32">IF(FN31&lt;&gt;"",_xlfn.IFS(FN31='Variable index'!$J$53,SUM('Variable index'!$K$49:$M$49),FN31='Variable index'!$J$54,SUM('Variable index'!$L$49:$M$49),FN31='Variable index'!$J$55,SUM('Variable index'!$M$49)),"")</f>
        <v/>
      </c>
      <c r="FP32" s="168" t="str">
        <f>IFERROR(FP$21*FO32,"")</f>
        <v/>
      </c>
      <c r="FS32" s="160" t="str" cm="1">
        <f t="array" ref="FS32">IF(FR31&lt;&gt;"",_xlfn.IFS(FR31='Variable index'!$J$53,SUM('Variable index'!$K$49:$M$49),FR31='Variable index'!$J$54,SUM('Variable index'!$L$49:$M$49),FR31='Variable index'!$J$55,SUM('Variable index'!$M$49)),"")</f>
        <v/>
      </c>
      <c r="FT32" s="168" t="str">
        <f>IFERROR(FT$21*FS32,"")</f>
        <v/>
      </c>
      <c r="FW32" s="160" t="str" cm="1">
        <f t="array" ref="FW32">IF(FV31&lt;&gt;"",_xlfn.IFS(FV31='Variable index'!$J$53,SUM('Variable index'!$K$49:$M$49),FV31='Variable index'!$J$54,SUM('Variable index'!$L$49:$M$49),FV31='Variable index'!$J$55,SUM('Variable index'!$M$49)),"")</f>
        <v/>
      </c>
      <c r="FX32" s="168" t="str">
        <f>IFERROR(FX$21*FW32,"")</f>
        <v/>
      </c>
      <c r="GA32" s="160" t="str" cm="1">
        <f t="array" ref="GA32">IF(FZ31&lt;&gt;"",_xlfn.IFS(FZ31='Variable index'!$J$53,SUM('Variable index'!$K$49:$M$49),FZ31='Variable index'!$J$54,SUM('Variable index'!$L$49:$M$49),FZ31='Variable index'!$J$55,SUM('Variable index'!$M$49)),"")</f>
        <v/>
      </c>
      <c r="GB32" s="168" t="str">
        <f>IFERROR(GB$21*GA32,"")</f>
        <v/>
      </c>
      <c r="GE32" s="160" t="str" cm="1">
        <f t="array" ref="GE32">IF(GD31&lt;&gt;"",_xlfn.IFS(GD31='Variable index'!$J$53,SUM('Variable index'!$K$49:$M$49),GD31='Variable index'!$J$54,SUM('Variable index'!$L$49:$M$49),GD31='Variable index'!$J$55,SUM('Variable index'!$M$49)),"")</f>
        <v/>
      </c>
      <c r="GF32" s="168" t="str">
        <f>IFERROR(GF$21*GE32,"")</f>
        <v/>
      </c>
      <c r="GI32" s="160" t="str" cm="1">
        <f t="array" ref="GI32">IF(GH31&lt;&gt;"",_xlfn.IFS(GH31='Variable index'!$J$53,SUM('Variable index'!$K$49:$M$49),GH31='Variable index'!$J$54,SUM('Variable index'!$L$49:$M$49),GH31='Variable index'!$J$55,SUM('Variable index'!$M$49)),"")</f>
        <v/>
      </c>
      <c r="GJ32" s="168" t="str">
        <f>IFERROR(GJ$21*GI32,"")</f>
        <v/>
      </c>
      <c r="GM32" s="160" t="str" cm="1">
        <f t="array" ref="GM32">IF(GL31&lt;&gt;"",_xlfn.IFS(GL31='Variable index'!$J$53,SUM('Variable index'!$K$49:$M$49),GL31='Variable index'!$J$54,SUM('Variable index'!$L$49:$M$49),GL31='Variable index'!$J$55,SUM('Variable index'!$M$49)),"")</f>
        <v/>
      </c>
      <c r="GN32" s="168" t="str">
        <f>IFERROR(GN$21*GM32,"")</f>
        <v/>
      </c>
      <c r="GQ32" s="160" t="str" cm="1">
        <f t="array" ref="GQ32">IF(GP31&lt;&gt;"",_xlfn.IFS(GP31='Variable index'!$J$53,SUM('Variable index'!$K$49:$M$49),GP31='Variable index'!$J$54,SUM('Variable index'!$L$49:$M$49),GP31='Variable index'!$J$55,SUM('Variable index'!$M$49)),"")</f>
        <v/>
      </c>
      <c r="GR32" s="168" t="str">
        <f>IFERROR(GR$21*GQ32,"")</f>
        <v/>
      </c>
      <c r="GU32" s="160" t="str" cm="1">
        <f t="array" ref="GU32">IF(GT31&lt;&gt;"",_xlfn.IFS(GT31='Variable index'!$J$53,SUM('Variable index'!$K$49:$M$49),GT31='Variable index'!$J$54,SUM('Variable index'!$L$49:$M$49),GT31='Variable index'!$J$55,SUM('Variable index'!$M$49)),"")</f>
        <v/>
      </c>
      <c r="GV32" s="168" t="str">
        <f>IFERROR(GV$21*GU32,"")</f>
        <v/>
      </c>
    </row>
    <row r="33" spans="4:205" hidden="1" x14ac:dyDescent="0.2">
      <c r="D33" s="234" t="s">
        <v>832</v>
      </c>
      <c r="G33" s="160"/>
      <c r="H33" s="234">
        <f>IF(_xlfn.XLOOKUP(F14,TableStormwater['#],TableStormwater[Total benchmark cost])&lt;&gt;"",1,0)</f>
        <v>0</v>
      </c>
      <c r="K33" s="160"/>
      <c r="L33" s="234">
        <f>IF(_xlfn.XLOOKUP(J14,TableStormwater['#],TableStormwater[Total benchmark cost])&lt;&gt;"",1,0)</f>
        <v>0</v>
      </c>
      <c r="O33" s="160"/>
      <c r="P33" s="234">
        <f>IF(_xlfn.XLOOKUP(N14,TableStormwater['#],TableStormwater[Total benchmark cost])&lt;&gt;"",1,0)</f>
        <v>0</v>
      </c>
      <c r="S33" s="160"/>
      <c r="T33" s="234">
        <f>IF(_xlfn.XLOOKUP(R14,TableStormwater['#],TableStormwater[Total benchmark cost])&lt;&gt;"",1,0)</f>
        <v>0</v>
      </c>
      <c r="W33" s="160"/>
      <c r="X33" s="234">
        <f>IF(_xlfn.XLOOKUP(V14,TableStormwater['#],TableStormwater[Total benchmark cost])&lt;&gt;"",1,0)</f>
        <v>0</v>
      </c>
      <c r="AA33" s="160"/>
      <c r="AB33" s="234">
        <f>IF(_xlfn.XLOOKUP(Z14,TableStormwater['#],TableStormwater[Total benchmark cost])&lt;&gt;"",1,0)</f>
        <v>0</v>
      </c>
      <c r="AE33" s="160"/>
      <c r="AF33" s="234">
        <f>IF(_xlfn.XLOOKUP(AD14,TableStormwater['#],TableStormwater[Total benchmark cost])&lt;&gt;"",1,0)</f>
        <v>0</v>
      </c>
      <c r="AI33" s="160"/>
      <c r="AJ33" s="234">
        <f>IF(_xlfn.XLOOKUP(AH14,TableStormwater['#],TableStormwater[Total benchmark cost])&lt;&gt;"",1,0)</f>
        <v>0</v>
      </c>
      <c r="AM33" s="160"/>
      <c r="AN33" s="234">
        <f>IF(_xlfn.XLOOKUP(AL14,TableStormwater['#],TableStormwater[Total benchmark cost])&lt;&gt;"",1,0)</f>
        <v>0</v>
      </c>
      <c r="AQ33" s="160"/>
      <c r="AR33" s="234">
        <f>IF(_xlfn.XLOOKUP(AP14,TableStormwater['#],TableStormwater[Total benchmark cost])&lt;&gt;"",1,0)</f>
        <v>0</v>
      </c>
      <c r="AU33" s="160"/>
      <c r="AV33" s="234">
        <f>IF(_xlfn.XLOOKUP(AT14,TableStormwater['#],TableStormwater[Total benchmark cost])&lt;&gt;"",1,0)</f>
        <v>0</v>
      </c>
      <c r="AY33" s="160"/>
      <c r="AZ33" s="234">
        <f>IF(_xlfn.XLOOKUP(AX14,TableStormwater['#],TableStormwater[Total benchmark cost])&lt;&gt;"",1,0)</f>
        <v>0</v>
      </c>
      <c r="BC33" s="160"/>
      <c r="BD33" s="234">
        <f>IF(_xlfn.XLOOKUP(BB14,TableStormwater['#],TableStormwater[Total benchmark cost])&lt;&gt;"",1,0)</f>
        <v>0</v>
      </c>
      <c r="BG33" s="160"/>
      <c r="BH33" s="234">
        <f>IF(_xlfn.XLOOKUP(BF14,TableStormwater['#],TableStormwater[Total benchmark cost])&lt;&gt;"",1,0)</f>
        <v>0</v>
      </c>
      <c r="BK33" s="160"/>
      <c r="BL33" s="234">
        <f>IF(_xlfn.XLOOKUP(BJ14,TableStormwater['#],TableStormwater[Total benchmark cost])&lt;&gt;"",1,0)</f>
        <v>0</v>
      </c>
      <c r="BO33" s="160"/>
      <c r="BP33" s="234">
        <f>IF(_xlfn.XLOOKUP(BN14,TableStormwater['#],TableStormwater[Total benchmark cost])&lt;&gt;"",1,0)</f>
        <v>0</v>
      </c>
      <c r="BS33" s="160"/>
      <c r="BT33" s="234">
        <f>IF(_xlfn.XLOOKUP(BR14,TableStormwater['#],TableStormwater[Total benchmark cost])&lt;&gt;"",1,0)</f>
        <v>0</v>
      </c>
      <c r="BW33" s="160"/>
      <c r="BX33" s="234">
        <f>IF(_xlfn.XLOOKUP(BV14,TableStormwater['#],TableStormwater[Total benchmark cost])&lt;&gt;"",1,0)</f>
        <v>0</v>
      </c>
      <c r="CA33" s="160"/>
      <c r="CB33" s="234">
        <f>IF(_xlfn.XLOOKUP(BZ14,TableStormwater['#],TableStormwater[Total benchmark cost])&lt;&gt;"",1,0)</f>
        <v>0</v>
      </c>
      <c r="CE33" s="160"/>
      <c r="CF33" s="234">
        <f>IF(_xlfn.XLOOKUP(CD14,TableStormwater['#],TableStormwater[Total benchmark cost])&lt;&gt;"",1,0)</f>
        <v>0</v>
      </c>
      <c r="CI33" s="160"/>
      <c r="CJ33" s="234">
        <f>IF(_xlfn.XLOOKUP(CH14,TableStormwater['#],TableStormwater[Total benchmark cost])&lt;&gt;"",1,0)</f>
        <v>0</v>
      </c>
      <c r="CM33" s="160"/>
      <c r="CN33" s="234">
        <f>IF(_xlfn.XLOOKUP(CL14,TableStormwater['#],TableStormwater[Total benchmark cost])&lt;&gt;"",1,0)</f>
        <v>0</v>
      </c>
      <c r="CQ33" s="160"/>
      <c r="CR33" s="234">
        <f>IF(_xlfn.XLOOKUP(CP14,TableStormwater['#],TableStormwater[Total benchmark cost])&lt;&gt;"",1,0)</f>
        <v>0</v>
      </c>
      <c r="CU33" s="160"/>
      <c r="CV33" s="234">
        <f>IF(_xlfn.XLOOKUP(CT14,TableStormwater['#],TableStormwater[Total benchmark cost])&lt;&gt;"",1,0)</f>
        <v>0</v>
      </c>
      <c r="CY33" s="160"/>
      <c r="CZ33" s="234">
        <f>IF(_xlfn.XLOOKUP(CX14,TableStormwater['#],TableStormwater[Total benchmark cost])&lt;&gt;"",1,0)</f>
        <v>0</v>
      </c>
      <c r="DC33" s="160"/>
      <c r="DD33" s="234">
        <f>IF(_xlfn.XLOOKUP(DB14,TableStormwater['#],TableStormwater[Total benchmark cost])&lt;&gt;"",1,0)</f>
        <v>0</v>
      </c>
      <c r="DG33" s="160"/>
      <c r="DH33" s="234">
        <f>IF(_xlfn.XLOOKUP(DF14,TableStormwater['#],TableStormwater[Total benchmark cost])&lt;&gt;"",1,0)</f>
        <v>0</v>
      </c>
      <c r="DK33" s="160"/>
      <c r="DL33" s="234">
        <f>IF(_xlfn.XLOOKUP(DJ14,TableStormwater['#],TableStormwater[Total benchmark cost])&lt;&gt;"",1,0)</f>
        <v>0</v>
      </c>
      <c r="DO33" s="160"/>
      <c r="DP33" s="234">
        <f>IF(_xlfn.XLOOKUP(DN14,TableStormwater['#],TableStormwater[Total benchmark cost])&lt;&gt;"",1,0)</f>
        <v>0</v>
      </c>
      <c r="DS33" s="160"/>
      <c r="DT33" s="234">
        <f>IF(_xlfn.XLOOKUP(DR14,TableStormwater['#],TableStormwater[Total benchmark cost])&lt;&gt;"",1,0)</f>
        <v>0</v>
      </c>
      <c r="DW33" s="160"/>
      <c r="DX33" s="234">
        <f>IF(_xlfn.XLOOKUP(DV14,TableStormwater['#],TableStormwater[Total benchmark cost])&lt;&gt;"",1,0)</f>
        <v>0</v>
      </c>
      <c r="EA33" s="160"/>
      <c r="EB33" s="234">
        <f>IF(_xlfn.XLOOKUP(DZ14,TableStormwater['#],TableStormwater[Total benchmark cost])&lt;&gt;"",1,0)</f>
        <v>0</v>
      </c>
      <c r="EE33" s="160"/>
      <c r="EF33" s="234">
        <f>IF(_xlfn.XLOOKUP(ED14,TableStormwater['#],TableStormwater[Total benchmark cost])&lt;&gt;"",1,0)</f>
        <v>0</v>
      </c>
      <c r="EI33" s="160"/>
      <c r="EJ33" s="234">
        <f>IF(_xlfn.XLOOKUP(EH14,TableStormwater['#],TableStormwater[Total benchmark cost])&lt;&gt;"",1,0)</f>
        <v>0</v>
      </c>
      <c r="EM33" s="160"/>
      <c r="EN33" s="234">
        <f>IF(_xlfn.XLOOKUP(EL14,TableStormwater['#],TableStormwater[Total benchmark cost])&lt;&gt;"",1,0)</f>
        <v>0</v>
      </c>
      <c r="EQ33" s="160"/>
      <c r="ER33" s="234">
        <f>IF(_xlfn.XLOOKUP(EP14,TableStormwater['#],TableStormwater[Total benchmark cost])&lt;&gt;"",1,0)</f>
        <v>0</v>
      </c>
      <c r="EU33" s="160"/>
      <c r="EV33" s="234">
        <f>IF(_xlfn.XLOOKUP(ET14,TableStormwater['#],TableStormwater[Total benchmark cost])&lt;&gt;"",1,0)</f>
        <v>0</v>
      </c>
      <c r="EY33" s="160"/>
      <c r="EZ33" s="234">
        <f>IF(_xlfn.XLOOKUP(EX14,TableStormwater['#],TableStormwater[Total benchmark cost])&lt;&gt;"",1,0)</f>
        <v>0</v>
      </c>
      <c r="FC33" s="160"/>
      <c r="FD33" s="234">
        <f>IF(_xlfn.XLOOKUP(FB14,TableStormwater['#],TableStormwater[Total benchmark cost])&lt;&gt;"",1,0)</f>
        <v>0</v>
      </c>
      <c r="FG33" s="160"/>
      <c r="FH33" s="234">
        <f>IF(_xlfn.XLOOKUP(FF14,TableStormwater['#],TableStormwater[Total benchmark cost])&lt;&gt;"",1,0)</f>
        <v>0</v>
      </c>
      <c r="FK33" s="160"/>
      <c r="FL33" s="234">
        <f>IF(_xlfn.XLOOKUP(FJ14,TableStormwater['#],TableStormwater[Total benchmark cost])&lt;&gt;"",1,0)</f>
        <v>0</v>
      </c>
      <c r="FO33" s="160"/>
      <c r="FP33" s="234">
        <f>IF(_xlfn.XLOOKUP(FN14,TableStormwater['#],TableStormwater[Total benchmark cost])&lt;&gt;"",1,0)</f>
        <v>0</v>
      </c>
      <c r="FS33" s="160"/>
      <c r="FT33" s="234">
        <f>IF(_xlfn.XLOOKUP(FR14,TableStormwater['#],TableStormwater[Total benchmark cost])&lt;&gt;"",1,0)</f>
        <v>0</v>
      </c>
      <c r="FW33" s="160"/>
      <c r="FX33" s="234">
        <f>IF(_xlfn.XLOOKUP(FV14,TableStormwater['#],TableStormwater[Total benchmark cost])&lt;&gt;"",1,0)</f>
        <v>0</v>
      </c>
      <c r="GA33" s="160"/>
      <c r="GB33" s="234">
        <f>IF(_xlfn.XLOOKUP(FZ14,TableStormwater['#],TableStormwater[Total benchmark cost])&lt;&gt;"",1,0)</f>
        <v>0</v>
      </c>
      <c r="GE33" s="160"/>
      <c r="GF33" s="234">
        <f>IF(_xlfn.XLOOKUP(GD14,TableStormwater['#],TableStormwater[Total benchmark cost])&lt;&gt;"",1,0)</f>
        <v>0</v>
      </c>
      <c r="GI33" s="160"/>
      <c r="GJ33" s="234">
        <f>IF(_xlfn.XLOOKUP(GH14,TableStormwater['#],TableStormwater[Total benchmark cost])&lt;&gt;"",1,0)</f>
        <v>0</v>
      </c>
      <c r="GM33" s="160"/>
      <c r="GN33" s="234">
        <f>IF(_xlfn.XLOOKUP(GL14,TableStormwater['#],TableStormwater[Total benchmark cost])&lt;&gt;"",1,0)</f>
        <v>0</v>
      </c>
      <c r="GQ33" s="160"/>
      <c r="GR33" s="234">
        <f>IF(_xlfn.XLOOKUP(GP14,TableStormwater['#],TableStormwater[Total benchmark cost])&lt;&gt;"",1,0)</f>
        <v>0</v>
      </c>
      <c r="GU33" s="160"/>
      <c r="GV33" s="234">
        <f>IF(_xlfn.XLOOKUP(GT14,TableStormwater['#],TableStormwater[Total benchmark cost])&lt;&gt;"",1,0)</f>
        <v>0</v>
      </c>
    </row>
    <row r="34" spans="4:205" ht="12.6" thickBot="1" x14ac:dyDescent="0.3">
      <c r="D34" s="163" t="s">
        <v>162</v>
      </c>
      <c r="F34" s="164"/>
      <c r="G34" s="165"/>
      <c r="H34" s="166" t="str">
        <f>IF(H33=1,SUM(H21:H32),"")</f>
        <v/>
      </c>
      <c r="J34" s="164"/>
      <c r="K34" s="165"/>
      <c r="L34" s="166" t="str">
        <f>IF(L33=1,SUM(L21:L32),"")</f>
        <v/>
      </c>
      <c r="N34" s="164"/>
      <c r="O34" s="165"/>
      <c r="P34" s="166" t="str">
        <f>IF(P33=1,SUM(P21:P32),"")</f>
        <v/>
      </c>
      <c r="R34" s="164"/>
      <c r="S34" s="165"/>
      <c r="T34" s="166" t="str">
        <f>IF(T33=1,SUM(T21:T32),"")</f>
        <v/>
      </c>
      <c r="V34" s="164"/>
      <c r="W34" s="165"/>
      <c r="X34" s="166" t="str">
        <f>IF(X33=1,SUM(X21:X32),"")</f>
        <v/>
      </c>
      <c r="Z34" s="164"/>
      <c r="AA34" s="165"/>
      <c r="AB34" s="166" t="str">
        <f>IF(AB33=1,SUM(AB21:AB32),"")</f>
        <v/>
      </c>
      <c r="AD34" s="164"/>
      <c r="AE34" s="165"/>
      <c r="AF34" s="166" t="str">
        <f>IF(AF33=1,SUM(AF21:AF32),"")</f>
        <v/>
      </c>
      <c r="AH34" s="164"/>
      <c r="AI34" s="165"/>
      <c r="AJ34" s="166" t="str">
        <f>IF(AJ33=1,SUM(AJ21:AJ32),"")</f>
        <v/>
      </c>
      <c r="AL34" s="164"/>
      <c r="AM34" s="165"/>
      <c r="AN34" s="166" t="str">
        <f>IF(AN33=1,SUM(AN21:AN32),"")</f>
        <v/>
      </c>
      <c r="AP34" s="164"/>
      <c r="AQ34" s="165"/>
      <c r="AR34" s="166" t="str">
        <f>IF(AR33=1,SUM(AR21:AR32),"")</f>
        <v/>
      </c>
      <c r="AT34" s="164"/>
      <c r="AU34" s="165"/>
      <c r="AV34" s="166" t="str">
        <f>IF(AV33=1,SUM(AV21:AV32),"")</f>
        <v/>
      </c>
      <c r="AX34" s="164"/>
      <c r="AY34" s="165"/>
      <c r="AZ34" s="166" t="str">
        <f>IF(AZ33=1,SUM(AZ21:AZ32),"")</f>
        <v/>
      </c>
      <c r="BB34" s="164"/>
      <c r="BC34" s="165"/>
      <c r="BD34" s="166" t="str">
        <f>IF(BD33=1,SUM(BD21:BD32),"")</f>
        <v/>
      </c>
      <c r="BF34" s="164"/>
      <c r="BG34" s="165"/>
      <c r="BH34" s="166" t="str">
        <f>IF(BH33=1,SUM(BH21:BH32),"")</f>
        <v/>
      </c>
      <c r="BJ34" s="164"/>
      <c r="BK34" s="165"/>
      <c r="BL34" s="166" t="str">
        <f>IF(BL33=1,SUM(BL21:BL32),"")</f>
        <v/>
      </c>
      <c r="BN34" s="164"/>
      <c r="BO34" s="165"/>
      <c r="BP34" s="166" t="str">
        <f>IF(BP33=1,SUM(BP21:BP32),"")</f>
        <v/>
      </c>
      <c r="BR34" s="164"/>
      <c r="BS34" s="165"/>
      <c r="BT34" s="166" t="str">
        <f>IF(BT33=1,SUM(BT21:BT32),"")</f>
        <v/>
      </c>
      <c r="BV34" s="164"/>
      <c r="BW34" s="165"/>
      <c r="BX34" s="166" t="str">
        <f>IF(BX33=1,SUM(BX21:BX32),"")</f>
        <v/>
      </c>
      <c r="BZ34" s="164"/>
      <c r="CA34" s="165"/>
      <c r="CB34" s="166" t="str">
        <f>IF(CB33=1,SUM(CB21:CB32),"")</f>
        <v/>
      </c>
      <c r="CD34" s="164"/>
      <c r="CE34" s="165"/>
      <c r="CF34" s="166" t="str">
        <f>IF(CF33=1,SUM(CF21:CF32),"")</f>
        <v/>
      </c>
      <c r="CH34" s="164"/>
      <c r="CI34" s="165"/>
      <c r="CJ34" s="166" t="str">
        <f>IF(CJ33=1,SUM(CJ21:CJ32),"")</f>
        <v/>
      </c>
      <c r="CL34" s="164"/>
      <c r="CM34" s="165"/>
      <c r="CN34" s="166" t="str">
        <f>IF(CN33=1,SUM(CN21:CN32),"")</f>
        <v/>
      </c>
      <c r="CP34" s="164"/>
      <c r="CQ34" s="165"/>
      <c r="CR34" s="166" t="str">
        <f>IF(CR33=1,SUM(CR21:CR32),"")</f>
        <v/>
      </c>
      <c r="CT34" s="164"/>
      <c r="CU34" s="165"/>
      <c r="CV34" s="166" t="str">
        <f>IF(CV33=1,SUM(CV21:CV32),"")</f>
        <v/>
      </c>
      <c r="CX34" s="164"/>
      <c r="CY34" s="165"/>
      <c r="CZ34" s="166" t="str">
        <f>IF(CZ33=1,SUM(CZ21:CZ32),"")</f>
        <v/>
      </c>
      <c r="DB34" s="164"/>
      <c r="DC34" s="165"/>
      <c r="DD34" s="166" t="str">
        <f>IF(DD33=1,SUM(DD21:DD32),"")</f>
        <v/>
      </c>
      <c r="DF34" s="164"/>
      <c r="DG34" s="165"/>
      <c r="DH34" s="166" t="str">
        <f>IF(DH33=1,SUM(DH21:DH32),"")</f>
        <v/>
      </c>
      <c r="DJ34" s="164"/>
      <c r="DK34" s="165"/>
      <c r="DL34" s="166" t="str">
        <f>IF(DL33=1,SUM(DL21:DL32),"")</f>
        <v/>
      </c>
      <c r="DN34" s="164"/>
      <c r="DO34" s="165"/>
      <c r="DP34" s="166" t="str">
        <f>IF(DP33=1,SUM(DP21:DP32),"")</f>
        <v/>
      </c>
      <c r="DR34" s="164"/>
      <c r="DS34" s="165"/>
      <c r="DT34" s="166" t="str">
        <f>IF(DT33=1,SUM(DT21:DT32),"")</f>
        <v/>
      </c>
      <c r="DV34" s="164"/>
      <c r="DW34" s="165"/>
      <c r="DX34" s="166" t="str">
        <f>IF(DX33=1,SUM(DX21:DX32),"")</f>
        <v/>
      </c>
      <c r="DZ34" s="164"/>
      <c r="EA34" s="165"/>
      <c r="EB34" s="166" t="str">
        <f>IF(EB33=1,SUM(EB21:EB32),"")</f>
        <v/>
      </c>
      <c r="ED34" s="164"/>
      <c r="EE34" s="165"/>
      <c r="EF34" s="166" t="str">
        <f>IF(EF33=1,SUM(EF21:EF32),"")</f>
        <v/>
      </c>
      <c r="EH34" s="164"/>
      <c r="EI34" s="165"/>
      <c r="EJ34" s="166" t="str">
        <f>IF(EJ33=1,SUM(EJ21:EJ32),"")</f>
        <v/>
      </c>
      <c r="EL34" s="164"/>
      <c r="EM34" s="165"/>
      <c r="EN34" s="166" t="str">
        <f>IF(EN33=1,SUM(EN21:EN32),"")</f>
        <v/>
      </c>
      <c r="EP34" s="164"/>
      <c r="EQ34" s="165"/>
      <c r="ER34" s="166" t="str">
        <f>IF(ER33=1,SUM(ER21:ER32),"")</f>
        <v/>
      </c>
      <c r="ET34" s="164"/>
      <c r="EU34" s="165"/>
      <c r="EV34" s="166" t="str">
        <f>IF(EV33=1,SUM(EV21:EV32),"")</f>
        <v/>
      </c>
      <c r="EX34" s="164"/>
      <c r="EY34" s="165"/>
      <c r="EZ34" s="166" t="str">
        <f>IF(EZ33=1,SUM(EZ21:EZ32),"")</f>
        <v/>
      </c>
      <c r="FB34" s="164"/>
      <c r="FC34" s="165"/>
      <c r="FD34" s="166" t="str">
        <f>IF(FD33=1,SUM(FD21:FD32),"")</f>
        <v/>
      </c>
      <c r="FF34" s="164"/>
      <c r="FG34" s="165"/>
      <c r="FH34" s="166" t="str">
        <f>IF(FH33=1,SUM(FH21:FH32),"")</f>
        <v/>
      </c>
      <c r="FJ34" s="164"/>
      <c r="FK34" s="165"/>
      <c r="FL34" s="166" t="str">
        <f>IF(FL33=1,SUM(FL21:FL32),"")</f>
        <v/>
      </c>
      <c r="FN34" s="164"/>
      <c r="FO34" s="165"/>
      <c r="FP34" s="166" t="str">
        <f>IF(FP33=1,SUM(FP21:FP32),"")</f>
        <v/>
      </c>
      <c r="FR34" s="164"/>
      <c r="FS34" s="165"/>
      <c r="FT34" s="166" t="str">
        <f>IF(FT33=1,SUM(FT21:FT32),"")</f>
        <v/>
      </c>
      <c r="FV34" s="164"/>
      <c r="FW34" s="165"/>
      <c r="FX34" s="166" t="str">
        <f>IF(FX33=1,SUM(FX21:FX32),"")</f>
        <v/>
      </c>
      <c r="FZ34" s="164"/>
      <c r="GA34" s="165"/>
      <c r="GB34" s="166" t="str">
        <f>IF(GB33=1,SUM(GB21:GB32),"")</f>
        <v/>
      </c>
      <c r="GD34" s="164"/>
      <c r="GE34" s="165"/>
      <c r="GF34" s="166" t="str">
        <f>IF(GF33=1,SUM(GF21:GF32),"")</f>
        <v/>
      </c>
      <c r="GH34" s="164"/>
      <c r="GI34" s="165"/>
      <c r="GJ34" s="166" t="str">
        <f>IF(GJ33=1,SUM(GJ21:GJ32),"")</f>
        <v/>
      </c>
      <c r="GL34" s="164"/>
      <c r="GM34" s="165"/>
      <c r="GN34" s="166" t="str">
        <f>IF(GN33=1,SUM(GN21:GN32),"")</f>
        <v/>
      </c>
      <c r="GP34" s="164"/>
      <c r="GQ34" s="165"/>
      <c r="GR34" s="166" t="str">
        <f>IF(GR33=1,SUM(GR21:GR32),"")</f>
        <v/>
      </c>
      <c r="GT34" s="164"/>
      <c r="GU34" s="165"/>
      <c r="GV34" s="166" t="str">
        <f>IF(GV33=1,SUM(GV21:GV32),"")</f>
        <v/>
      </c>
    </row>
    <row r="35" spans="4:205" ht="12" thickTop="1" x14ac:dyDescent="0.2"/>
    <row r="36" spans="4:205" ht="12" x14ac:dyDescent="0.25">
      <c r="D36" s="27" t="s">
        <v>750</v>
      </c>
      <c r="H36" s="184">
        <f>SUM(H34:XX34)</f>
        <v>0</v>
      </c>
    </row>
    <row r="37" spans="4:205" x14ac:dyDescent="0.2">
      <c r="D37" s="217" t="s">
        <v>852</v>
      </c>
      <c r="H37" s="317" t="str">
        <f>IFERROR(H36-Stormwater!$AA$16,"-")</f>
        <v>-</v>
      </c>
    </row>
    <row r="39" spans="4:205" ht="12" x14ac:dyDescent="0.25">
      <c r="D39" s="170" t="s">
        <v>163</v>
      </c>
      <c r="E39" s="181"/>
      <c r="F39" s="178"/>
      <c r="G39" s="171"/>
      <c r="H39" s="245" t="str">
        <f>IF(_xlfn.XLOOKUP(F$14,TableStormwater['#],TableStormwater[Your works schedule cost])&lt;&gt;"",_xlfn.XLOOKUP(F$14,TableStormwater['#],TableStormwater[Your works schedule cost]),"")</f>
        <v/>
      </c>
      <c r="I39" s="181"/>
      <c r="J39" s="178"/>
      <c r="K39" s="171"/>
      <c r="L39" s="245" t="str">
        <f>IF(_xlfn.XLOOKUP(J$14,TableStormwater['#],TableStormwater[Your works schedule cost])&lt;&gt;"",_xlfn.XLOOKUP(J$14,TableStormwater['#],TableStormwater[Your works schedule cost]),"")</f>
        <v/>
      </c>
      <c r="M39" s="181"/>
      <c r="N39" s="178"/>
      <c r="O39" s="171"/>
      <c r="P39" s="245" t="str">
        <f>IF(_xlfn.XLOOKUP(N$14,TableStormwater['#],TableStormwater[Your works schedule cost])&lt;&gt;"",_xlfn.XLOOKUP(N$14,TableStormwater['#],TableStormwater[Your works schedule cost]),"")</f>
        <v/>
      </c>
      <c r="Q39" s="181"/>
      <c r="R39" s="178"/>
      <c r="S39" s="171"/>
      <c r="T39" s="245" t="str">
        <f>IF(_xlfn.XLOOKUP(R$14,TableStormwater['#],TableStormwater[Your works schedule cost])&lt;&gt;"",_xlfn.XLOOKUP(R$14,TableStormwater['#],TableStormwater[Your works schedule cost]),"")</f>
        <v/>
      </c>
      <c r="U39" s="181"/>
      <c r="V39" s="178"/>
      <c r="W39" s="171"/>
      <c r="X39" s="245" t="str">
        <f>IF(_xlfn.XLOOKUP(V$14,TableStormwater['#],TableStormwater[Your works schedule cost])&lt;&gt;"",_xlfn.XLOOKUP(V$14,TableStormwater['#],TableStormwater[Your works schedule cost]),"")</f>
        <v/>
      </c>
      <c r="Y39" s="181"/>
      <c r="Z39" s="178"/>
      <c r="AA39" s="171"/>
      <c r="AB39" s="245" t="str">
        <f>IF(_xlfn.XLOOKUP(Z$14,TableStormwater['#],TableStormwater[Your works schedule cost])&lt;&gt;"",_xlfn.XLOOKUP(Z$14,TableStormwater['#],TableStormwater[Your works schedule cost]),"")</f>
        <v/>
      </c>
      <c r="AC39" s="181"/>
      <c r="AD39" s="178"/>
      <c r="AE39" s="171"/>
      <c r="AF39" s="245" t="str">
        <f>IF(_xlfn.XLOOKUP(AD$14,TableStormwater['#],TableStormwater[Your works schedule cost])&lt;&gt;"",_xlfn.XLOOKUP(AD$14,TableStormwater['#],TableStormwater[Your works schedule cost]),"")</f>
        <v/>
      </c>
      <c r="AG39" s="181"/>
      <c r="AH39" s="178"/>
      <c r="AI39" s="171"/>
      <c r="AJ39" s="245" t="str">
        <f>IF(_xlfn.XLOOKUP(AH$14,TableStormwater['#],TableStormwater[Your works schedule cost])&lt;&gt;"",_xlfn.XLOOKUP(AH$14,TableStormwater['#],TableStormwater[Your works schedule cost]),"")</f>
        <v/>
      </c>
      <c r="AK39" s="181"/>
      <c r="AL39" s="178"/>
      <c r="AM39" s="171"/>
      <c r="AN39" s="245" t="str">
        <f>IF(_xlfn.XLOOKUP(AL$14,TableStormwater['#],TableStormwater[Your works schedule cost])&lt;&gt;"",_xlfn.XLOOKUP(AL$14,TableStormwater['#],TableStormwater[Your works schedule cost]),"")</f>
        <v/>
      </c>
      <c r="AO39" s="181"/>
      <c r="AP39" s="178"/>
      <c r="AQ39" s="171"/>
      <c r="AR39" s="245" t="str">
        <f>IF(_xlfn.XLOOKUP(AP$14,TableStormwater['#],TableStormwater[Your works schedule cost])&lt;&gt;"",_xlfn.XLOOKUP(AP$14,TableStormwater['#],TableStormwater[Your works schedule cost]),"")</f>
        <v/>
      </c>
      <c r="AS39" s="181"/>
      <c r="AT39" s="178"/>
      <c r="AU39" s="171"/>
      <c r="AV39" s="245" t="str">
        <f>IF(_xlfn.XLOOKUP(AT$14,TableStormwater['#],TableStormwater[Your works schedule cost])&lt;&gt;"",_xlfn.XLOOKUP(AT$14,TableStormwater['#],TableStormwater[Your works schedule cost]),"")</f>
        <v/>
      </c>
      <c r="AW39" s="181"/>
      <c r="AX39" s="178"/>
      <c r="AY39" s="171"/>
      <c r="AZ39" s="245" t="str">
        <f>IF(_xlfn.XLOOKUP(AX$14,TableStormwater['#],TableStormwater[Your works schedule cost])&lt;&gt;"",_xlfn.XLOOKUP(AX$14,TableStormwater['#],TableStormwater[Your works schedule cost]),"")</f>
        <v/>
      </c>
      <c r="BA39" s="181"/>
      <c r="BB39" s="178"/>
      <c r="BC39" s="171"/>
      <c r="BD39" s="245" t="str">
        <f>IF(_xlfn.XLOOKUP(BB$14,TableStormwater['#],TableStormwater[Your works schedule cost])&lt;&gt;"",_xlfn.XLOOKUP(BB$14,TableStormwater['#],TableStormwater[Your works schedule cost]),"")</f>
        <v/>
      </c>
      <c r="BE39" s="181"/>
      <c r="BF39" s="178"/>
      <c r="BG39" s="171"/>
      <c r="BH39" s="245" t="str">
        <f>IF(_xlfn.XLOOKUP(BF$14,TableStormwater['#],TableStormwater[Your works schedule cost])&lt;&gt;"",_xlfn.XLOOKUP(BF$14,TableStormwater['#],TableStormwater[Your works schedule cost]),"")</f>
        <v/>
      </c>
      <c r="BI39" s="181"/>
      <c r="BJ39" s="178"/>
      <c r="BK39" s="171"/>
      <c r="BL39" s="245" t="str">
        <f>IF(_xlfn.XLOOKUP(BJ$14,TableStormwater['#],TableStormwater[Your works schedule cost])&lt;&gt;"",_xlfn.XLOOKUP(BJ$14,TableStormwater['#],TableStormwater[Your works schedule cost]),"")</f>
        <v/>
      </c>
      <c r="BM39" s="181"/>
      <c r="BN39" s="178"/>
      <c r="BO39" s="171"/>
      <c r="BP39" s="245" t="str">
        <f>IF(_xlfn.XLOOKUP(BN$14,TableStormwater['#],TableStormwater[Your works schedule cost])&lt;&gt;"",_xlfn.XLOOKUP(BN$14,TableStormwater['#],TableStormwater[Your works schedule cost]),"")</f>
        <v/>
      </c>
      <c r="BQ39" s="181"/>
      <c r="BR39" s="178"/>
      <c r="BS39" s="171"/>
      <c r="BT39" s="245" t="str">
        <f>IF(_xlfn.XLOOKUP(BR$14,TableStormwater['#],TableStormwater[Your works schedule cost])&lt;&gt;"",_xlfn.XLOOKUP(BR$14,TableStormwater['#],TableStormwater[Your works schedule cost]),"")</f>
        <v/>
      </c>
      <c r="BU39" s="181"/>
      <c r="BV39" s="178"/>
      <c r="BW39" s="171"/>
      <c r="BX39" s="245" t="str">
        <f>IF(_xlfn.XLOOKUP(BV$14,TableStormwater['#],TableStormwater[Your works schedule cost])&lt;&gt;"",_xlfn.XLOOKUP(BV$14,TableStormwater['#],TableStormwater[Your works schedule cost]),"")</f>
        <v/>
      </c>
      <c r="BY39" s="181"/>
      <c r="BZ39" s="178"/>
      <c r="CA39" s="171"/>
      <c r="CB39" s="245" t="str">
        <f>IF(_xlfn.XLOOKUP(BZ$14,TableStormwater['#],TableStormwater[Your works schedule cost])&lt;&gt;"",_xlfn.XLOOKUP(BZ$14,TableStormwater['#],TableStormwater[Your works schedule cost]),"")</f>
        <v/>
      </c>
      <c r="CC39" s="181"/>
      <c r="CD39" s="178"/>
      <c r="CE39" s="171"/>
      <c r="CF39" s="245" t="str">
        <f>IF(_xlfn.XLOOKUP(CD$14,TableStormwater['#],TableStormwater[Your works schedule cost])&lt;&gt;"",_xlfn.XLOOKUP(CD$14,TableStormwater['#],TableStormwater[Your works schedule cost]),"")</f>
        <v/>
      </c>
      <c r="CG39" s="181"/>
      <c r="CH39" s="178"/>
      <c r="CI39" s="171"/>
      <c r="CJ39" s="245" t="str">
        <f>IF(_xlfn.XLOOKUP(CH$14,TableStormwater['#],TableStormwater[Your works schedule cost])&lt;&gt;"",_xlfn.XLOOKUP(CH$14,TableStormwater['#],TableStormwater[Your works schedule cost]),"")</f>
        <v/>
      </c>
      <c r="CK39" s="181"/>
      <c r="CL39" s="178"/>
      <c r="CM39" s="171"/>
      <c r="CN39" s="245" t="str">
        <f>IF(_xlfn.XLOOKUP(CL$14,TableStormwater['#],TableStormwater[Your works schedule cost])&lt;&gt;"",_xlfn.XLOOKUP(CL$14,TableStormwater['#],TableStormwater[Your works schedule cost]),"")</f>
        <v/>
      </c>
      <c r="CO39" s="181"/>
      <c r="CP39" s="178"/>
      <c r="CQ39" s="171"/>
      <c r="CR39" s="245" t="str">
        <f>IF(_xlfn.XLOOKUP(CP$14,TableStormwater['#],TableStormwater[Your works schedule cost])&lt;&gt;"",_xlfn.XLOOKUP(CP$14,TableStormwater['#],TableStormwater[Your works schedule cost]),"")</f>
        <v/>
      </c>
      <c r="CS39" s="181"/>
      <c r="CT39" s="178"/>
      <c r="CU39" s="171"/>
      <c r="CV39" s="245" t="str">
        <f>IF(_xlfn.XLOOKUP(CT$14,TableStormwater['#],TableStormwater[Your works schedule cost])&lt;&gt;"",_xlfn.XLOOKUP(CT$14,TableStormwater['#],TableStormwater[Your works schedule cost]),"")</f>
        <v/>
      </c>
      <c r="CW39" s="181"/>
      <c r="CX39" s="178"/>
      <c r="CY39" s="171"/>
      <c r="CZ39" s="245" t="str">
        <f>IF(_xlfn.XLOOKUP(CX$14,TableStormwater['#],TableStormwater[Your works schedule cost])&lt;&gt;"",_xlfn.XLOOKUP(CX$14,TableStormwater['#],TableStormwater[Your works schedule cost]),"")</f>
        <v/>
      </c>
      <c r="DA39" s="181"/>
      <c r="DB39" s="178"/>
      <c r="DC39" s="171"/>
      <c r="DD39" s="245" t="str">
        <f>IF(_xlfn.XLOOKUP(DB$14,TableStormwater['#],TableStormwater[Your works schedule cost])&lt;&gt;"",_xlfn.XLOOKUP(DB$14,TableStormwater['#],TableStormwater[Your works schedule cost]),"")</f>
        <v/>
      </c>
      <c r="DE39" s="181"/>
      <c r="DF39" s="178"/>
      <c r="DG39" s="171"/>
      <c r="DH39" s="245" t="str">
        <f>IF(_xlfn.XLOOKUP(DF$14,TableStormwater['#],TableStormwater[Your works schedule cost])&lt;&gt;"",_xlfn.XLOOKUP(DF$14,TableStormwater['#],TableStormwater[Your works schedule cost]),"")</f>
        <v/>
      </c>
      <c r="DI39" s="181"/>
      <c r="DJ39" s="178"/>
      <c r="DK39" s="171"/>
      <c r="DL39" s="245" t="str">
        <f>IF(_xlfn.XLOOKUP(DJ$14,TableStormwater['#],TableStormwater[Your works schedule cost])&lt;&gt;"",_xlfn.XLOOKUP(DJ$14,TableStormwater['#],TableStormwater[Your works schedule cost]),"")</f>
        <v/>
      </c>
      <c r="DM39" s="181"/>
      <c r="DN39" s="178"/>
      <c r="DO39" s="171"/>
      <c r="DP39" s="245" t="str">
        <f>IF(_xlfn.XLOOKUP(DN$14,TableStormwater['#],TableStormwater[Your works schedule cost])&lt;&gt;"",_xlfn.XLOOKUP(DN$14,TableStormwater['#],TableStormwater[Your works schedule cost]),"")</f>
        <v/>
      </c>
      <c r="DQ39" s="181"/>
      <c r="DR39" s="178"/>
      <c r="DS39" s="171"/>
      <c r="DT39" s="245" t="str">
        <f>IF(_xlfn.XLOOKUP(DR$14,TableStormwater['#],TableStormwater[Your works schedule cost])&lt;&gt;"",_xlfn.XLOOKUP(DR$14,TableStormwater['#],TableStormwater[Your works schedule cost]),"")</f>
        <v/>
      </c>
      <c r="DU39" s="181"/>
      <c r="DV39" s="178"/>
      <c r="DW39" s="171"/>
      <c r="DX39" s="245" t="str">
        <f>IF(_xlfn.XLOOKUP(DV$14,TableStormwater['#],TableStormwater[Your works schedule cost])&lt;&gt;"",_xlfn.XLOOKUP(DV$14,TableStormwater['#],TableStormwater[Your works schedule cost]),"")</f>
        <v/>
      </c>
      <c r="DY39" s="181"/>
      <c r="DZ39" s="178"/>
      <c r="EA39" s="171"/>
      <c r="EB39" s="245" t="str">
        <f>IF(_xlfn.XLOOKUP(DZ$14,TableStormwater['#],TableStormwater[Your works schedule cost])&lt;&gt;"",_xlfn.XLOOKUP(DZ$14,TableStormwater['#],TableStormwater[Your works schedule cost]),"")</f>
        <v/>
      </c>
      <c r="EC39" s="181"/>
      <c r="ED39" s="178"/>
      <c r="EE39" s="171"/>
      <c r="EF39" s="245" t="str">
        <f>IF(_xlfn.XLOOKUP(ED$14,TableStormwater['#],TableStormwater[Your works schedule cost])&lt;&gt;"",_xlfn.XLOOKUP(ED$14,TableStormwater['#],TableStormwater[Your works schedule cost]),"")</f>
        <v/>
      </c>
      <c r="EG39" s="181"/>
      <c r="EH39" s="178"/>
      <c r="EI39" s="171"/>
      <c r="EJ39" s="245" t="str">
        <f>IF(_xlfn.XLOOKUP(EH$14,TableStormwater['#],TableStormwater[Your works schedule cost])&lt;&gt;"",_xlfn.XLOOKUP(EH$14,TableStormwater['#],TableStormwater[Your works schedule cost]),"")</f>
        <v/>
      </c>
      <c r="EK39" s="181"/>
      <c r="EL39" s="178"/>
      <c r="EM39" s="171"/>
      <c r="EN39" s="245" t="str">
        <f>IF(_xlfn.XLOOKUP(EL$14,TableStormwater['#],TableStormwater[Your works schedule cost])&lt;&gt;"",_xlfn.XLOOKUP(EL$14,TableStormwater['#],TableStormwater[Your works schedule cost]),"")</f>
        <v/>
      </c>
      <c r="EO39" s="181"/>
      <c r="EP39" s="178"/>
      <c r="EQ39" s="171"/>
      <c r="ER39" s="245" t="str">
        <f>IF(_xlfn.XLOOKUP(EP$14,TableStormwater['#],TableStormwater[Your works schedule cost])&lt;&gt;"",_xlfn.XLOOKUP(EP$14,TableStormwater['#],TableStormwater[Your works schedule cost]),"")</f>
        <v/>
      </c>
      <c r="ES39" s="181"/>
      <c r="ET39" s="178"/>
      <c r="EU39" s="171"/>
      <c r="EV39" s="245" t="str">
        <f>IF(_xlfn.XLOOKUP(ET$14,TableStormwater['#],TableStormwater[Your works schedule cost])&lt;&gt;"",_xlfn.XLOOKUP(ET$14,TableStormwater['#],TableStormwater[Your works schedule cost]),"")</f>
        <v/>
      </c>
      <c r="EW39" s="181"/>
      <c r="EX39" s="178"/>
      <c r="EY39" s="171"/>
      <c r="EZ39" s="245" t="str">
        <f>IF(_xlfn.XLOOKUP(EX$14,TableStormwater['#],TableStormwater[Your works schedule cost])&lt;&gt;"",_xlfn.XLOOKUP(EX$14,TableStormwater['#],TableStormwater[Your works schedule cost]),"")</f>
        <v/>
      </c>
      <c r="FA39" s="181"/>
      <c r="FB39" s="178"/>
      <c r="FC39" s="171"/>
      <c r="FD39" s="245" t="str">
        <f>IF(_xlfn.XLOOKUP(FB$14,TableStormwater['#],TableStormwater[Your works schedule cost])&lt;&gt;"",_xlfn.XLOOKUP(FB$14,TableStormwater['#],TableStormwater[Your works schedule cost]),"")</f>
        <v/>
      </c>
      <c r="FE39" s="181"/>
      <c r="FF39" s="178"/>
      <c r="FG39" s="171"/>
      <c r="FH39" s="245" t="str">
        <f>IF(_xlfn.XLOOKUP(FF$14,TableStormwater['#],TableStormwater[Your works schedule cost])&lt;&gt;"",_xlfn.XLOOKUP(FF$14,TableStormwater['#],TableStormwater[Your works schedule cost]),"")</f>
        <v/>
      </c>
      <c r="FI39" s="181"/>
      <c r="FJ39" s="178"/>
      <c r="FK39" s="171"/>
      <c r="FL39" s="245" t="str">
        <f>IF(_xlfn.XLOOKUP(FJ$14,TableStormwater['#],TableStormwater[Your works schedule cost])&lt;&gt;"",_xlfn.XLOOKUP(FJ$14,TableStormwater['#],TableStormwater[Your works schedule cost]),"")</f>
        <v/>
      </c>
      <c r="FM39" s="181"/>
      <c r="FN39" s="178"/>
      <c r="FO39" s="171"/>
      <c r="FP39" s="245" t="str">
        <f>IF(_xlfn.XLOOKUP(FN$14,TableStormwater['#],TableStormwater[Your works schedule cost])&lt;&gt;"",_xlfn.XLOOKUP(FN$14,TableStormwater['#],TableStormwater[Your works schedule cost]),"")</f>
        <v/>
      </c>
      <c r="FQ39" s="181"/>
      <c r="FR39" s="178"/>
      <c r="FS39" s="171"/>
      <c r="FT39" s="245" t="str">
        <f>IF(_xlfn.XLOOKUP(FR$14,TableStormwater['#],TableStormwater[Your works schedule cost])&lt;&gt;"",_xlfn.XLOOKUP(FR$14,TableStormwater['#],TableStormwater[Your works schedule cost]),"")</f>
        <v/>
      </c>
      <c r="FU39" s="181"/>
      <c r="FV39" s="178"/>
      <c r="FW39" s="171"/>
      <c r="FX39" s="245" t="str">
        <f>IF(_xlfn.XLOOKUP(FV$14,TableStormwater['#],TableStormwater[Your works schedule cost])&lt;&gt;"",_xlfn.XLOOKUP(FV$14,TableStormwater['#],TableStormwater[Your works schedule cost]),"")</f>
        <v/>
      </c>
      <c r="FY39" s="181"/>
      <c r="FZ39" s="178"/>
      <c r="GA39" s="171"/>
      <c r="GB39" s="245" t="str">
        <f>IF(_xlfn.XLOOKUP(FZ$14,TableStormwater['#],TableStormwater[Your works schedule cost])&lt;&gt;"",_xlfn.XLOOKUP(FZ$14,TableStormwater['#],TableStormwater[Your works schedule cost]),"")</f>
        <v/>
      </c>
      <c r="GC39" s="181"/>
      <c r="GD39" s="178"/>
      <c r="GE39" s="171"/>
      <c r="GF39" s="245" t="str">
        <f>IF(_xlfn.XLOOKUP(GD$14,TableStormwater['#],TableStormwater[Your works schedule cost])&lt;&gt;"",_xlfn.XLOOKUP(GD$14,TableStormwater['#],TableStormwater[Your works schedule cost]),"")</f>
        <v/>
      </c>
      <c r="GG39" s="181"/>
      <c r="GH39" s="178"/>
      <c r="GI39" s="171"/>
      <c r="GJ39" s="245" t="str">
        <f>IF(_xlfn.XLOOKUP(GH$14,TableStormwater['#],TableStormwater[Your works schedule cost])&lt;&gt;"",_xlfn.XLOOKUP(GH$14,TableStormwater['#],TableStormwater[Your works schedule cost]),"")</f>
        <v/>
      </c>
      <c r="GK39" s="181"/>
      <c r="GL39" s="178"/>
      <c r="GM39" s="171"/>
      <c r="GN39" s="245" t="str">
        <f>IF(_xlfn.XLOOKUP(GL$14,TableStormwater['#],TableStormwater[Your works schedule cost])&lt;&gt;"",_xlfn.XLOOKUP(GL$14,TableStormwater['#],TableStormwater[Your works schedule cost]),"")</f>
        <v/>
      </c>
      <c r="GO39" s="181"/>
      <c r="GP39" s="178"/>
      <c r="GQ39" s="171"/>
      <c r="GR39" s="245" t="str">
        <f>IF(_xlfn.XLOOKUP(GP$14,TableStormwater['#],TableStormwater[Your works schedule cost])&lt;&gt;"",_xlfn.XLOOKUP(GP$14,TableStormwater['#],TableStormwater[Your works schedule cost]),"")</f>
        <v/>
      </c>
      <c r="GS39" s="181"/>
      <c r="GT39" s="178"/>
      <c r="GU39" s="171"/>
      <c r="GV39" s="245" t="str">
        <f>IF(_xlfn.XLOOKUP(GT$14,TableStormwater['#],TableStormwater[Your works schedule cost])&lt;&gt;"",_xlfn.XLOOKUP(GT$14,TableStormwater['#],TableStormwater[Your works schedule cost]),"")</f>
        <v/>
      </c>
      <c r="GW39" s="181"/>
    </row>
    <row r="40" spans="4:205" ht="12" x14ac:dyDescent="0.25">
      <c r="D40" s="172" t="s">
        <v>164</v>
      </c>
      <c r="E40" s="182"/>
      <c r="F40" s="179"/>
      <c r="G40" s="173"/>
      <c r="H40" s="174" t="str">
        <f>IF(AND(H33=1,H39&lt;&gt;""),H39-H34,"")</f>
        <v/>
      </c>
      <c r="I40" s="182"/>
      <c r="J40" s="179"/>
      <c r="K40" s="173"/>
      <c r="L40" s="174" t="str">
        <f>IF(AND(L33=1,L39&lt;&gt;""),L39-L34,"")</f>
        <v/>
      </c>
      <c r="M40" s="182"/>
      <c r="N40" s="179"/>
      <c r="O40" s="173"/>
      <c r="P40" s="174" t="str">
        <f>IF(AND(P33=1,P39&lt;&gt;""),P39-P34,"")</f>
        <v/>
      </c>
      <c r="Q40" s="182"/>
      <c r="R40" s="179"/>
      <c r="S40" s="173"/>
      <c r="T40" s="174" t="str">
        <f>IF(AND(T33=1,T39&lt;&gt;""),T39-T34,"")</f>
        <v/>
      </c>
      <c r="U40" s="182"/>
      <c r="V40" s="179"/>
      <c r="W40" s="173"/>
      <c r="X40" s="174" t="str">
        <f>IF(AND(X33=1,X39&lt;&gt;""),X39-X34,"")</f>
        <v/>
      </c>
      <c r="Y40" s="182"/>
      <c r="Z40" s="179"/>
      <c r="AA40" s="173"/>
      <c r="AB40" s="174" t="str">
        <f>IF(AND(AB33=1,AB39&lt;&gt;""),AB39-AB34,"")</f>
        <v/>
      </c>
      <c r="AC40" s="182"/>
      <c r="AD40" s="179"/>
      <c r="AE40" s="173"/>
      <c r="AF40" s="174" t="str">
        <f>IF(AND(AF33=1,AF39&lt;&gt;""),AF39-AF34,"")</f>
        <v/>
      </c>
      <c r="AG40" s="182"/>
      <c r="AH40" s="179"/>
      <c r="AI40" s="173"/>
      <c r="AJ40" s="174" t="str">
        <f>IF(AND(AJ33=1,AJ39&lt;&gt;""),AJ39-AJ34,"")</f>
        <v/>
      </c>
      <c r="AK40" s="182"/>
      <c r="AL40" s="179"/>
      <c r="AM40" s="173"/>
      <c r="AN40" s="174" t="str">
        <f>IF(AND(AN33=1,AN39&lt;&gt;""),AN39-AN34,"")</f>
        <v/>
      </c>
      <c r="AO40" s="182"/>
      <c r="AP40" s="179"/>
      <c r="AQ40" s="173"/>
      <c r="AR40" s="174" t="str">
        <f>IF(AND(AR33=1,AR39&lt;&gt;""),AR39-AR34,"")</f>
        <v/>
      </c>
      <c r="AS40" s="182"/>
      <c r="AT40" s="179"/>
      <c r="AU40" s="173"/>
      <c r="AV40" s="174" t="str">
        <f>IF(AND(AV33=1,AV39&lt;&gt;""),AV39-AV34,"")</f>
        <v/>
      </c>
      <c r="AW40" s="182"/>
      <c r="AX40" s="179"/>
      <c r="AY40" s="173"/>
      <c r="AZ40" s="174" t="str">
        <f>IF(AND(AZ33=1,AZ39&lt;&gt;""),AZ39-AZ34,"")</f>
        <v/>
      </c>
      <c r="BA40" s="182"/>
      <c r="BB40" s="179"/>
      <c r="BC40" s="173"/>
      <c r="BD40" s="174" t="str">
        <f>IF(AND(BD33=1,BD39&lt;&gt;""),BD39-BD34,"")</f>
        <v/>
      </c>
      <c r="BE40" s="182"/>
      <c r="BF40" s="179"/>
      <c r="BG40" s="173"/>
      <c r="BH40" s="174" t="str">
        <f>IF(AND(BH33=1,BH39&lt;&gt;""),BH39-BH34,"")</f>
        <v/>
      </c>
      <c r="BI40" s="182"/>
      <c r="BJ40" s="179"/>
      <c r="BK40" s="173"/>
      <c r="BL40" s="174" t="str">
        <f>IF(AND(BL33=1,BL39&lt;&gt;""),BL39-BL34,"")</f>
        <v/>
      </c>
      <c r="BM40" s="182"/>
      <c r="BN40" s="179"/>
      <c r="BO40" s="173"/>
      <c r="BP40" s="174" t="str">
        <f>IF(AND(BP33=1,BP39&lt;&gt;""),BP39-BP34,"")</f>
        <v/>
      </c>
      <c r="BQ40" s="182"/>
      <c r="BR40" s="179"/>
      <c r="BS40" s="173"/>
      <c r="BT40" s="174" t="str">
        <f>IF(AND(BT33=1,BT39&lt;&gt;""),BT39-BT34,"")</f>
        <v/>
      </c>
      <c r="BU40" s="182"/>
      <c r="BV40" s="179"/>
      <c r="BW40" s="173"/>
      <c r="BX40" s="174" t="str">
        <f>IF(AND(BX33=1,BX39&lt;&gt;""),BX39-BX34,"")</f>
        <v/>
      </c>
      <c r="BY40" s="182"/>
      <c r="BZ40" s="179"/>
      <c r="CA40" s="173"/>
      <c r="CB40" s="174" t="str">
        <f>IF(AND(CB33=1,CB39&lt;&gt;""),CB39-CB34,"")</f>
        <v/>
      </c>
      <c r="CC40" s="182"/>
      <c r="CD40" s="179"/>
      <c r="CE40" s="173"/>
      <c r="CF40" s="174" t="str">
        <f>IF(AND(CF33=1,CF39&lt;&gt;""),CF39-CF34,"")</f>
        <v/>
      </c>
      <c r="CG40" s="182"/>
      <c r="CH40" s="179"/>
      <c r="CI40" s="173"/>
      <c r="CJ40" s="174" t="str">
        <f>IF(AND(CJ33=1,CJ39&lt;&gt;""),CJ39-CJ34,"")</f>
        <v/>
      </c>
      <c r="CK40" s="182"/>
      <c r="CL40" s="179"/>
      <c r="CM40" s="173"/>
      <c r="CN40" s="174" t="str">
        <f>IF(AND(CN33=1,CN39&lt;&gt;""),CN39-CN34,"")</f>
        <v/>
      </c>
      <c r="CO40" s="182"/>
      <c r="CP40" s="179"/>
      <c r="CQ40" s="173"/>
      <c r="CR40" s="174" t="str">
        <f>IF(AND(CR33=1,CR39&lt;&gt;""),CR39-CR34,"")</f>
        <v/>
      </c>
      <c r="CS40" s="182"/>
      <c r="CT40" s="179"/>
      <c r="CU40" s="173"/>
      <c r="CV40" s="174" t="str">
        <f>IF(AND(CV33=1,CV39&lt;&gt;""),CV39-CV34,"")</f>
        <v/>
      </c>
      <c r="CW40" s="182"/>
      <c r="CX40" s="179"/>
      <c r="CY40" s="173"/>
      <c r="CZ40" s="174" t="str">
        <f>IF(AND(CZ33=1,CZ39&lt;&gt;""),CZ39-CZ34,"")</f>
        <v/>
      </c>
      <c r="DA40" s="182"/>
      <c r="DB40" s="179"/>
      <c r="DC40" s="173"/>
      <c r="DD40" s="174" t="str">
        <f>IF(AND(DD33=1,DD39&lt;&gt;""),DD39-DD34,"")</f>
        <v/>
      </c>
      <c r="DE40" s="182"/>
      <c r="DF40" s="179"/>
      <c r="DG40" s="173"/>
      <c r="DH40" s="174" t="str">
        <f>IF(AND(DH33=1,DH39&lt;&gt;""),DH39-DH34,"")</f>
        <v/>
      </c>
      <c r="DI40" s="182"/>
      <c r="DJ40" s="179"/>
      <c r="DK40" s="173"/>
      <c r="DL40" s="174" t="str">
        <f>IF(AND(DL33=1,DL39&lt;&gt;""),DL39-DL34,"")</f>
        <v/>
      </c>
      <c r="DM40" s="182"/>
      <c r="DN40" s="179"/>
      <c r="DO40" s="173"/>
      <c r="DP40" s="174" t="str">
        <f>IF(AND(DP33=1,DP39&lt;&gt;""),DP39-DP34,"")</f>
        <v/>
      </c>
      <c r="DQ40" s="182"/>
      <c r="DR40" s="179"/>
      <c r="DS40" s="173"/>
      <c r="DT40" s="174" t="str">
        <f>IF(AND(DT33=1,DT39&lt;&gt;""),DT39-DT34,"")</f>
        <v/>
      </c>
      <c r="DU40" s="182"/>
      <c r="DV40" s="179"/>
      <c r="DW40" s="173"/>
      <c r="DX40" s="174" t="str">
        <f>IF(AND(DX33=1,DX39&lt;&gt;""),DX39-DX34,"")</f>
        <v/>
      </c>
      <c r="DY40" s="182"/>
      <c r="DZ40" s="179"/>
      <c r="EA40" s="173"/>
      <c r="EB40" s="174" t="str">
        <f>IF(AND(EB33=1,EB39&lt;&gt;""),EB39-EB34,"")</f>
        <v/>
      </c>
      <c r="EC40" s="182"/>
      <c r="ED40" s="179"/>
      <c r="EE40" s="173"/>
      <c r="EF40" s="174" t="str">
        <f>IF(AND(EF33=1,EF39&lt;&gt;""),EF39-EF34,"")</f>
        <v/>
      </c>
      <c r="EG40" s="182"/>
      <c r="EH40" s="179"/>
      <c r="EI40" s="173"/>
      <c r="EJ40" s="174" t="str">
        <f>IF(AND(EJ33=1,EJ39&lt;&gt;""),EJ39-EJ34,"")</f>
        <v/>
      </c>
      <c r="EK40" s="182"/>
      <c r="EL40" s="179"/>
      <c r="EM40" s="173"/>
      <c r="EN40" s="174" t="str">
        <f>IF(AND(EN33=1,EN39&lt;&gt;""),EN39-EN34,"")</f>
        <v/>
      </c>
      <c r="EO40" s="182"/>
      <c r="EP40" s="179"/>
      <c r="EQ40" s="173"/>
      <c r="ER40" s="174" t="str">
        <f>IF(AND(ER33=1,ER39&lt;&gt;""),ER39-ER34,"")</f>
        <v/>
      </c>
      <c r="ES40" s="182"/>
      <c r="ET40" s="179"/>
      <c r="EU40" s="173"/>
      <c r="EV40" s="174" t="str">
        <f>IF(AND(EV33=1,EV39&lt;&gt;""),EV39-EV34,"")</f>
        <v/>
      </c>
      <c r="EW40" s="182"/>
      <c r="EX40" s="179"/>
      <c r="EY40" s="173"/>
      <c r="EZ40" s="174" t="str">
        <f>IF(AND(EZ33=1,EZ39&lt;&gt;""),EZ39-EZ34,"")</f>
        <v/>
      </c>
      <c r="FA40" s="182"/>
      <c r="FB40" s="179"/>
      <c r="FC40" s="173"/>
      <c r="FD40" s="174" t="str">
        <f>IF(AND(FD33=1,FD39&lt;&gt;""),FD39-FD34,"")</f>
        <v/>
      </c>
      <c r="FE40" s="182"/>
      <c r="FF40" s="179"/>
      <c r="FG40" s="173"/>
      <c r="FH40" s="174" t="str">
        <f>IF(AND(FH33=1,FH39&lt;&gt;""),FH39-FH34,"")</f>
        <v/>
      </c>
      <c r="FI40" s="182"/>
      <c r="FJ40" s="179"/>
      <c r="FK40" s="173"/>
      <c r="FL40" s="174" t="str">
        <f>IF(AND(FL33=1,FL39&lt;&gt;""),FL39-FL34,"")</f>
        <v/>
      </c>
      <c r="FM40" s="182"/>
      <c r="FN40" s="179"/>
      <c r="FO40" s="173"/>
      <c r="FP40" s="174" t="str">
        <f>IF(AND(FP33=1,FP39&lt;&gt;""),FP39-FP34,"")</f>
        <v/>
      </c>
      <c r="FQ40" s="182"/>
      <c r="FR40" s="179"/>
      <c r="FS40" s="173"/>
      <c r="FT40" s="174" t="str">
        <f>IF(AND(FT33=1,FT39&lt;&gt;""),FT39-FT34,"")</f>
        <v/>
      </c>
      <c r="FU40" s="182"/>
      <c r="FV40" s="179"/>
      <c r="FW40" s="173"/>
      <c r="FX40" s="174" t="str">
        <f>IF(AND(FX33=1,FX39&lt;&gt;""),FX39-FX34,"")</f>
        <v/>
      </c>
      <c r="FY40" s="182"/>
      <c r="FZ40" s="179"/>
      <c r="GA40" s="173"/>
      <c r="GB40" s="174" t="str">
        <f>IF(AND(GB33=1,GB39&lt;&gt;""),GB39-GB34,"")</f>
        <v/>
      </c>
      <c r="GC40" s="182"/>
      <c r="GD40" s="179"/>
      <c r="GE40" s="173"/>
      <c r="GF40" s="174" t="str">
        <f>IF(AND(GF33=1,GF39&lt;&gt;""),GF39-GF34,"")</f>
        <v/>
      </c>
      <c r="GG40" s="182"/>
      <c r="GH40" s="179"/>
      <c r="GI40" s="173"/>
      <c r="GJ40" s="174" t="str">
        <f>IF(AND(GJ33=1,GJ39&lt;&gt;""),GJ39-GJ34,"")</f>
        <v/>
      </c>
      <c r="GK40" s="182"/>
      <c r="GL40" s="179"/>
      <c r="GM40" s="173"/>
      <c r="GN40" s="174" t="str">
        <f>IF(AND(GN33=1,GN39&lt;&gt;""),GN39-GN34,"")</f>
        <v/>
      </c>
      <c r="GO40" s="182"/>
      <c r="GP40" s="179"/>
      <c r="GQ40" s="173"/>
      <c r="GR40" s="174" t="str">
        <f>IF(AND(GR33=1,GR39&lt;&gt;""),GR39-GR34,"")</f>
        <v/>
      </c>
      <c r="GS40" s="182"/>
      <c r="GT40" s="179"/>
      <c r="GU40" s="173"/>
      <c r="GV40" s="174" t="str">
        <f>IF(AND(GV33=1,GV39&lt;&gt;""),GV39-GV34,"")</f>
        <v/>
      </c>
      <c r="GW40" s="182"/>
    </row>
    <row r="41" spans="4:205" ht="12" x14ac:dyDescent="0.25">
      <c r="D41" s="177" t="s">
        <v>165</v>
      </c>
      <c r="E41" s="183"/>
      <c r="F41" s="180"/>
      <c r="G41" s="175"/>
      <c r="H41" s="176" t="str">
        <f>IF(AND(H33=1,H39&lt;&gt;""),H39/H34-1,"")</f>
        <v/>
      </c>
      <c r="I41" s="183"/>
      <c r="J41" s="180"/>
      <c r="K41" s="175"/>
      <c r="L41" s="176" t="str">
        <f>IF(AND(L33=1,L39&lt;&gt;""),L39/L34-1,"")</f>
        <v/>
      </c>
      <c r="M41" s="183"/>
      <c r="N41" s="180"/>
      <c r="O41" s="175"/>
      <c r="P41" s="176" t="str">
        <f>IF(AND(P33=1,P39&lt;&gt;""),P39/P34-1,"")</f>
        <v/>
      </c>
      <c r="Q41" s="183"/>
      <c r="R41" s="180"/>
      <c r="S41" s="175"/>
      <c r="T41" s="176" t="str">
        <f>IF(AND(T33=1,T39&lt;&gt;""),T39/T34-1,"")</f>
        <v/>
      </c>
      <c r="U41" s="183"/>
      <c r="V41" s="180"/>
      <c r="W41" s="175"/>
      <c r="X41" s="176" t="str">
        <f>IF(AND(X33=1,X39&lt;&gt;""),X39/X34-1,"")</f>
        <v/>
      </c>
      <c r="Y41" s="183"/>
      <c r="Z41" s="180"/>
      <c r="AA41" s="175"/>
      <c r="AB41" s="176" t="str">
        <f>IF(AND(AB33=1,AB39&lt;&gt;""),AB39/AB34-1,"")</f>
        <v/>
      </c>
      <c r="AC41" s="183"/>
      <c r="AD41" s="180"/>
      <c r="AE41" s="175"/>
      <c r="AF41" s="176" t="str">
        <f>IF(AND(AF33=1,AF39&lt;&gt;""),AF39/AF34-1,"")</f>
        <v/>
      </c>
      <c r="AG41" s="183"/>
      <c r="AH41" s="180"/>
      <c r="AI41" s="175"/>
      <c r="AJ41" s="176" t="str">
        <f>IF(AND(AJ33=1,AJ39&lt;&gt;""),AJ39/AJ34-1,"")</f>
        <v/>
      </c>
      <c r="AK41" s="183"/>
      <c r="AL41" s="180"/>
      <c r="AM41" s="175"/>
      <c r="AN41" s="176" t="str">
        <f>IF(AND(AN33=1,AN39&lt;&gt;""),AN39/AN34-1,"")</f>
        <v/>
      </c>
      <c r="AO41" s="183"/>
      <c r="AP41" s="180"/>
      <c r="AQ41" s="175"/>
      <c r="AR41" s="176" t="str">
        <f>IF(AND(AR33=1,AR39&lt;&gt;""),AR39/AR34-1,"")</f>
        <v/>
      </c>
      <c r="AS41" s="183"/>
      <c r="AT41" s="180"/>
      <c r="AU41" s="175"/>
      <c r="AV41" s="176" t="str">
        <f>IF(AND(AV33=1,AV39&lt;&gt;""),AV39/AV34-1,"")</f>
        <v/>
      </c>
      <c r="AW41" s="183"/>
      <c r="AX41" s="180"/>
      <c r="AY41" s="175"/>
      <c r="AZ41" s="176" t="str">
        <f>IF(AND(AZ33=1,AZ39&lt;&gt;""),AZ39/AZ34-1,"")</f>
        <v/>
      </c>
      <c r="BA41" s="183"/>
      <c r="BB41" s="180"/>
      <c r="BC41" s="175"/>
      <c r="BD41" s="176" t="str">
        <f>IF(AND(BD33=1,BD39&lt;&gt;""),BD39/BD34-1,"")</f>
        <v/>
      </c>
      <c r="BE41" s="183"/>
      <c r="BF41" s="180"/>
      <c r="BG41" s="175"/>
      <c r="BH41" s="176" t="str">
        <f>IF(AND(BH33=1,BH39&lt;&gt;""),BH39/BH34-1,"")</f>
        <v/>
      </c>
      <c r="BI41" s="183"/>
      <c r="BJ41" s="180"/>
      <c r="BK41" s="175"/>
      <c r="BL41" s="176" t="str">
        <f>IF(AND(BL33=1,BL39&lt;&gt;""),BL39/BL34-1,"")</f>
        <v/>
      </c>
      <c r="BM41" s="183"/>
      <c r="BN41" s="180"/>
      <c r="BO41" s="175"/>
      <c r="BP41" s="176" t="str">
        <f>IF(AND(BP33=1,BP39&lt;&gt;""),BP39/BP34-1,"")</f>
        <v/>
      </c>
      <c r="BQ41" s="183"/>
      <c r="BR41" s="180"/>
      <c r="BS41" s="175"/>
      <c r="BT41" s="176" t="str">
        <f>IF(AND(BT33=1,BT39&lt;&gt;""),BT39/BT34-1,"")</f>
        <v/>
      </c>
      <c r="BU41" s="183"/>
      <c r="BV41" s="180"/>
      <c r="BW41" s="175"/>
      <c r="BX41" s="176" t="str">
        <f>IF(AND(BX33=1,BX39&lt;&gt;""),BX39/BX34-1,"")</f>
        <v/>
      </c>
      <c r="BY41" s="183"/>
      <c r="BZ41" s="180"/>
      <c r="CA41" s="175"/>
      <c r="CB41" s="176" t="str">
        <f>IF(AND(CB33=1,CB39&lt;&gt;""),CB39/CB34-1,"")</f>
        <v/>
      </c>
      <c r="CC41" s="183"/>
      <c r="CD41" s="180"/>
      <c r="CE41" s="175"/>
      <c r="CF41" s="176" t="str">
        <f>IF(AND(CF33=1,CF39&lt;&gt;""),CF39/CF34-1,"")</f>
        <v/>
      </c>
      <c r="CG41" s="183"/>
      <c r="CH41" s="180"/>
      <c r="CI41" s="175"/>
      <c r="CJ41" s="176" t="str">
        <f>IF(AND(CJ33=1,CJ39&lt;&gt;""),CJ39/CJ34-1,"")</f>
        <v/>
      </c>
      <c r="CK41" s="183"/>
      <c r="CL41" s="180"/>
      <c r="CM41" s="175"/>
      <c r="CN41" s="176" t="str">
        <f>IF(AND(CN33=1,CN39&lt;&gt;""),CN39/CN34-1,"")</f>
        <v/>
      </c>
      <c r="CO41" s="183"/>
      <c r="CP41" s="180"/>
      <c r="CQ41" s="175"/>
      <c r="CR41" s="176" t="str">
        <f>IF(AND(CR33=1,CR39&lt;&gt;""),CR39/CR34-1,"")</f>
        <v/>
      </c>
      <c r="CS41" s="183"/>
      <c r="CT41" s="180"/>
      <c r="CU41" s="175"/>
      <c r="CV41" s="176" t="str">
        <f>IF(AND(CV33=1,CV39&lt;&gt;""),CV39/CV34-1,"")</f>
        <v/>
      </c>
      <c r="CW41" s="183"/>
      <c r="CX41" s="180"/>
      <c r="CY41" s="175"/>
      <c r="CZ41" s="176" t="str">
        <f>IF(AND(CZ33=1,CZ39&lt;&gt;""),CZ39/CZ34-1,"")</f>
        <v/>
      </c>
      <c r="DA41" s="183"/>
      <c r="DB41" s="180"/>
      <c r="DC41" s="175"/>
      <c r="DD41" s="176" t="str">
        <f>IF(AND(DD33=1,DD39&lt;&gt;""),DD39/DD34-1,"")</f>
        <v/>
      </c>
      <c r="DE41" s="183"/>
      <c r="DF41" s="180"/>
      <c r="DG41" s="175"/>
      <c r="DH41" s="176" t="str">
        <f>IF(AND(DH33=1,DH39&lt;&gt;""),DH39/DH34-1,"")</f>
        <v/>
      </c>
      <c r="DI41" s="183"/>
      <c r="DJ41" s="180"/>
      <c r="DK41" s="175"/>
      <c r="DL41" s="176" t="str">
        <f>IF(AND(DL33=1,DL39&lt;&gt;""),DL39/DL34-1,"")</f>
        <v/>
      </c>
      <c r="DM41" s="183"/>
      <c r="DN41" s="180"/>
      <c r="DO41" s="175"/>
      <c r="DP41" s="176" t="str">
        <f>IF(AND(DP33=1,DP39&lt;&gt;""),DP39/DP34-1,"")</f>
        <v/>
      </c>
      <c r="DQ41" s="183"/>
      <c r="DR41" s="180"/>
      <c r="DS41" s="175"/>
      <c r="DT41" s="176" t="str">
        <f>IF(AND(DT33=1,DT39&lt;&gt;""),DT39/DT34-1,"")</f>
        <v/>
      </c>
      <c r="DU41" s="183"/>
      <c r="DV41" s="180"/>
      <c r="DW41" s="175"/>
      <c r="DX41" s="176" t="str">
        <f>IF(AND(DX33=1,DX39&lt;&gt;""),DX39/DX34-1,"")</f>
        <v/>
      </c>
      <c r="DY41" s="183"/>
      <c r="DZ41" s="180"/>
      <c r="EA41" s="175"/>
      <c r="EB41" s="176" t="str">
        <f>IF(AND(EB33=1,EB39&lt;&gt;""),EB39/EB34-1,"")</f>
        <v/>
      </c>
      <c r="EC41" s="183"/>
      <c r="ED41" s="180"/>
      <c r="EE41" s="175"/>
      <c r="EF41" s="176" t="str">
        <f>IF(AND(EF33=1,EF39&lt;&gt;""),EF39/EF34-1,"")</f>
        <v/>
      </c>
      <c r="EG41" s="183"/>
      <c r="EH41" s="180"/>
      <c r="EI41" s="175"/>
      <c r="EJ41" s="176" t="str">
        <f>IF(AND(EJ33=1,EJ39&lt;&gt;""),EJ39/EJ34-1,"")</f>
        <v/>
      </c>
      <c r="EK41" s="183"/>
      <c r="EL41" s="180"/>
      <c r="EM41" s="175"/>
      <c r="EN41" s="176" t="str">
        <f>IF(AND(EN33=1,EN39&lt;&gt;""),EN39/EN34-1,"")</f>
        <v/>
      </c>
      <c r="EO41" s="183"/>
      <c r="EP41" s="180"/>
      <c r="EQ41" s="175"/>
      <c r="ER41" s="176" t="str">
        <f>IF(AND(ER33=1,ER39&lt;&gt;""),ER39/ER34-1,"")</f>
        <v/>
      </c>
      <c r="ES41" s="183"/>
      <c r="ET41" s="180"/>
      <c r="EU41" s="175"/>
      <c r="EV41" s="176" t="str">
        <f>IF(AND(EV33=1,EV39&lt;&gt;""),EV39/EV34-1,"")</f>
        <v/>
      </c>
      <c r="EW41" s="183"/>
      <c r="EX41" s="180"/>
      <c r="EY41" s="175"/>
      <c r="EZ41" s="176" t="str">
        <f>IF(AND(EZ33=1,EZ39&lt;&gt;""),EZ39/EZ34-1,"")</f>
        <v/>
      </c>
      <c r="FA41" s="183"/>
      <c r="FB41" s="180"/>
      <c r="FC41" s="175"/>
      <c r="FD41" s="176" t="str">
        <f>IF(AND(FD33=1,FD39&lt;&gt;""),FD39/FD34-1,"")</f>
        <v/>
      </c>
      <c r="FE41" s="183"/>
      <c r="FF41" s="180"/>
      <c r="FG41" s="175"/>
      <c r="FH41" s="176" t="str">
        <f>IF(AND(FH33=1,FH39&lt;&gt;""),FH39/FH34-1,"")</f>
        <v/>
      </c>
      <c r="FI41" s="183"/>
      <c r="FJ41" s="180"/>
      <c r="FK41" s="175"/>
      <c r="FL41" s="176" t="str">
        <f>IF(AND(FL33=1,FL39&lt;&gt;""),FL39/FL34-1,"")</f>
        <v/>
      </c>
      <c r="FM41" s="183"/>
      <c r="FN41" s="180"/>
      <c r="FO41" s="175"/>
      <c r="FP41" s="176" t="str">
        <f>IF(AND(FP33=1,FP39&lt;&gt;""),FP39/FP34-1,"")</f>
        <v/>
      </c>
      <c r="FQ41" s="183"/>
      <c r="FR41" s="180"/>
      <c r="FS41" s="175"/>
      <c r="FT41" s="176" t="str">
        <f>IF(AND(FT33=1,FT39&lt;&gt;""),FT39/FT34-1,"")</f>
        <v/>
      </c>
      <c r="FU41" s="183"/>
      <c r="FV41" s="180"/>
      <c r="FW41" s="175"/>
      <c r="FX41" s="176" t="str">
        <f>IF(AND(FX33=1,FX39&lt;&gt;""),FX39/FX34-1,"")</f>
        <v/>
      </c>
      <c r="FY41" s="183"/>
      <c r="FZ41" s="180"/>
      <c r="GA41" s="175"/>
      <c r="GB41" s="176" t="str">
        <f>IF(AND(GB33=1,GB39&lt;&gt;""),GB39/GB34-1,"")</f>
        <v/>
      </c>
      <c r="GC41" s="183"/>
      <c r="GD41" s="180"/>
      <c r="GE41" s="175"/>
      <c r="GF41" s="176" t="str">
        <f>IF(AND(GF33=1,GF39&lt;&gt;""),GF39/GF34-1,"")</f>
        <v/>
      </c>
      <c r="GG41" s="183"/>
      <c r="GH41" s="180"/>
      <c r="GI41" s="175"/>
      <c r="GJ41" s="176" t="str">
        <f>IF(AND(GJ33=1,GJ39&lt;&gt;""),GJ39/GJ34-1,"")</f>
        <v/>
      </c>
      <c r="GK41" s="183"/>
      <c r="GL41" s="180"/>
      <c r="GM41" s="175"/>
      <c r="GN41" s="176" t="str">
        <f>IF(AND(GN33=1,GN39&lt;&gt;""),GN39/GN34-1,"")</f>
        <v/>
      </c>
      <c r="GO41" s="183"/>
      <c r="GP41" s="180"/>
      <c r="GQ41" s="175"/>
      <c r="GR41" s="176" t="str">
        <f>IF(AND(GR33=1,GR39&lt;&gt;""),GR39/GR34-1,"")</f>
        <v/>
      </c>
      <c r="GS41" s="183"/>
      <c r="GT41" s="180"/>
      <c r="GU41" s="175"/>
      <c r="GV41" s="176" t="str">
        <f>IF(AND(GV33=1,GV39&lt;&gt;""),GV39/GV34-1,"")</f>
        <v/>
      </c>
      <c r="GW41" s="183"/>
    </row>
  </sheetData>
  <sheetProtection algorithmName="SHA-512" hashValue="wPqw/cogYW0EYJxlWlBrldeNRldC/7OGPdgxJZ+9Pwy5Y36bVPip29xT3wBA+ldrQbQftMAgJavO1v8G8A0j8w==" saltValue="oRzeVym4aF/h6DaGMSpIzg==" spinCount="100000" sheet="1" objects="1" scenarios="1"/>
  <pageMargins left="0.7" right="0.7"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247D020-EF3D-42D9-BF25-C890A9B47B6F}">
          <x14:formula1>
            <xm:f>Lists!$C$3:$C$4</xm:f>
          </x14:formula1>
          <xm:sqref>E11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6547A-C160-4157-906F-665C763B9ECE}">
  <sheetPr codeName="Sheet12">
    <tabColor rgb="FF93B9FF"/>
  </sheetPr>
  <dimension ref="D4:AD67"/>
  <sheetViews>
    <sheetView showGridLines="0" zoomScaleNormal="100" workbookViewId="0">
      <pane xSplit="8" ySplit="15" topLeftCell="I16" activePane="bottomRight" state="frozen"/>
      <selection pane="topRight" activeCell="H1" sqref="H1"/>
      <selection pane="bottomLeft" activeCell="A18" sqref="A18"/>
      <selection pane="bottomRight"/>
    </sheetView>
  </sheetViews>
  <sheetFormatPr defaultColWidth="9.125" defaultRowHeight="11.4" x14ac:dyDescent="0.2"/>
  <cols>
    <col min="1" max="3" width="3.25" customWidth="1"/>
    <col min="4" max="4" width="4.625" customWidth="1"/>
    <col min="5" max="5" width="12.375" customWidth="1"/>
    <col min="6" max="6" width="56.875" customWidth="1"/>
    <col min="7" max="7" width="62.75" customWidth="1"/>
    <col min="8" max="8" width="6.25" hidden="1" customWidth="1"/>
    <col min="9" max="10" width="50" customWidth="1"/>
    <col min="11" max="11" width="13" customWidth="1"/>
    <col min="12" max="12" width="12.625" customWidth="1"/>
    <col min="13" max="13" width="13.75" customWidth="1"/>
    <col min="14" max="14" width="16.875" customWidth="1"/>
    <col min="15" max="15" width="17" customWidth="1"/>
    <col min="16" max="16" width="17.375" hidden="1" customWidth="1"/>
    <col min="17" max="17" width="18.375" customWidth="1"/>
    <col min="18" max="18" width="27.375" bestFit="1" customWidth="1"/>
    <col min="19" max="19" width="16" customWidth="1"/>
    <col min="20" max="20" width="34" bestFit="1" customWidth="1"/>
    <col min="21" max="21" width="17.125" customWidth="1"/>
    <col min="22" max="22" width="13.125" customWidth="1"/>
    <col min="23" max="23" width="11.875" customWidth="1"/>
    <col min="24" max="24" width="14.25" customWidth="1"/>
    <col min="25" max="25" width="19.25" bestFit="1" customWidth="1"/>
    <col min="26" max="26" width="13.25" customWidth="1"/>
    <col min="27" max="27" width="19.375" customWidth="1"/>
    <col min="28" max="28" width="21.25" customWidth="1"/>
    <col min="29" max="29" width="19.375" customWidth="1"/>
    <col min="30" max="30" width="19.25" customWidth="1"/>
    <col min="31" max="31" width="12.375" customWidth="1"/>
  </cols>
  <sheetData>
    <row r="4" spans="4:30" ht="19.8" thickBot="1" x14ac:dyDescent="0.4">
      <c r="D4" s="146" t="s">
        <v>175</v>
      </c>
      <c r="E4" s="146"/>
      <c r="F4" s="146"/>
      <c r="G4" s="146"/>
      <c r="H4" s="146"/>
    </row>
    <row r="5" spans="4:30" ht="15" customHeight="1" thickTop="1" x14ac:dyDescent="0.2"/>
    <row r="6" spans="4:30" ht="14.4" x14ac:dyDescent="0.3">
      <c r="D6" s="148" t="s">
        <v>868</v>
      </c>
      <c r="E6" s="148"/>
      <c r="F6" s="148"/>
      <c r="H6" s="148"/>
    </row>
    <row r="7" spans="4:30" ht="14.4" x14ac:dyDescent="0.3">
      <c r="D7" s="148" t="s">
        <v>770</v>
      </c>
      <c r="E7" s="148"/>
      <c r="F7" s="148"/>
      <c r="H7" s="148"/>
      <c r="I7" s="148"/>
      <c r="J7" s="148"/>
    </row>
    <row r="8" spans="4:30" ht="14.4" x14ac:dyDescent="0.3">
      <c r="D8" s="148" t="s">
        <v>753</v>
      </c>
      <c r="E8" s="148"/>
      <c r="F8" s="148"/>
      <c r="H8" s="148"/>
      <c r="I8" s="148"/>
      <c r="J8" s="148"/>
    </row>
    <row r="9" spans="4:30" ht="14.4" customHeight="1" x14ac:dyDescent="0.2">
      <c r="F9" s="190"/>
    </row>
    <row r="10" spans="4:30" x14ac:dyDescent="0.2">
      <c r="F10" s="206" t="s">
        <v>605</v>
      </c>
    </row>
    <row r="11" spans="4:30" ht="14.4" x14ac:dyDescent="0.3">
      <c r="F11" s="206" t="str">
        <f>Summary!$F$11</f>
        <v>$2025-26</v>
      </c>
      <c r="H11" s="326"/>
      <c r="I11" s="326"/>
      <c r="J11" s="326"/>
    </row>
    <row r="12" spans="4:30" ht="14.4" x14ac:dyDescent="0.3">
      <c r="F12" s="191">
        <f>MATCH(F11,Lists!C3:C4,)</f>
        <v>2</v>
      </c>
      <c r="H12" s="326"/>
      <c r="I12" s="326"/>
      <c r="J12" s="326"/>
    </row>
    <row r="13" spans="4:30" ht="14.4" x14ac:dyDescent="0.3">
      <c r="F13" s="191"/>
      <c r="H13" s="326"/>
      <c r="I13" s="326"/>
      <c r="J13" s="326"/>
    </row>
    <row r="14" spans="4:30" ht="11.4" customHeight="1" x14ac:dyDescent="0.25">
      <c r="F14" s="341"/>
      <c r="H14" s="341"/>
      <c r="I14" s="341"/>
      <c r="J14" s="341"/>
    </row>
    <row r="15" spans="4:30" s="208" customFormat="1" ht="48" x14ac:dyDescent="0.2">
      <c r="D15" s="215" t="s">
        <v>699</v>
      </c>
      <c r="E15" s="313" t="s">
        <v>833</v>
      </c>
      <c r="F15" s="155" t="s">
        <v>146</v>
      </c>
      <c r="G15" s="156" t="s">
        <v>754</v>
      </c>
      <c r="H15" s="242" t="s">
        <v>717</v>
      </c>
      <c r="I15" s="156" t="s">
        <v>834</v>
      </c>
      <c r="J15" s="156" t="s">
        <v>835</v>
      </c>
      <c r="K15" s="156" t="s">
        <v>147</v>
      </c>
      <c r="L15" s="156" t="s">
        <v>180</v>
      </c>
      <c r="M15" s="157" t="s">
        <v>148</v>
      </c>
      <c r="N15" s="157" t="s">
        <v>149</v>
      </c>
      <c r="O15" s="157" t="s">
        <v>150</v>
      </c>
      <c r="P15" s="157" t="s">
        <v>151</v>
      </c>
      <c r="Q15" s="157" t="s">
        <v>152</v>
      </c>
      <c r="R15" s="157" t="s">
        <v>153</v>
      </c>
      <c r="S15" s="157" t="s">
        <v>154</v>
      </c>
      <c r="T15" s="157" t="s">
        <v>155</v>
      </c>
      <c r="U15" s="157" t="s">
        <v>156</v>
      </c>
      <c r="V15" s="157" t="s">
        <v>157</v>
      </c>
      <c r="W15" s="157" t="s">
        <v>158</v>
      </c>
      <c r="X15" s="157" t="s">
        <v>159</v>
      </c>
      <c r="Y15" s="157" t="s">
        <v>160</v>
      </c>
      <c r="Z15" s="156" t="s">
        <v>161</v>
      </c>
      <c r="AA15" s="157" t="s">
        <v>162</v>
      </c>
      <c r="AB15" s="158" t="s">
        <v>163</v>
      </c>
      <c r="AC15" s="158" t="s">
        <v>164</v>
      </c>
      <c r="AD15" s="158" t="s">
        <v>165</v>
      </c>
    </row>
    <row r="16" spans="4:30" s="208" customFormat="1" ht="12.6" thickBot="1" x14ac:dyDescent="0.3">
      <c r="D16" s="307"/>
      <c r="E16" s="307"/>
      <c r="F16" s="308" t="s">
        <v>173</v>
      </c>
      <c r="G16" s="307"/>
      <c r="H16" s="307"/>
      <c r="I16" s="307"/>
      <c r="J16" s="307"/>
      <c r="K16" s="307"/>
      <c r="L16" s="307"/>
      <c r="M16" s="307"/>
      <c r="N16" s="342" t="str">
        <f>IF(SUM($N$17:$N$66)&gt;0,SUM($N$17:$N$66),"")</f>
        <v/>
      </c>
      <c r="O16" s="307"/>
      <c r="P16" s="307"/>
      <c r="Q16" s="307"/>
      <c r="R16" s="307"/>
      <c r="S16" s="307"/>
      <c r="T16" s="307"/>
      <c r="U16" s="307"/>
      <c r="V16" s="307"/>
      <c r="W16" s="307"/>
      <c r="X16" s="307"/>
      <c r="Y16" s="307"/>
      <c r="Z16" s="307"/>
      <c r="AA16" s="342" t="str">
        <f>IF(SUM($AA$17:$AA$66)&gt;0,SUM($AA$17:$AA$66),"")</f>
        <v/>
      </c>
      <c r="AB16" s="342" t="str">
        <f>IF(SUM($AB$17:$AB$66)&gt;0,SUM($AB$17:$AB$66),"")</f>
        <v/>
      </c>
      <c r="AC16" s="342" t="str">
        <f>IF(AND(TableOpenSpace[[#This Row],[Your works schedule cost]]&lt;&gt;"",TableOpenSpace[[#This Row],[Total benchmark cost]]&lt;&gt;""),SUM($AC$17:$AC$66),"")</f>
        <v/>
      </c>
      <c r="AD16" s="380" t="str">
        <f>IFERROR((SUMIFS(AB17:AB66,AA17:AA66,"&lt;&gt;")-SUMIFS(AA17:AA66,AB17:AB66,"&lt;&gt;"))/SUMIFS(AA17:AA66,AB17:AB66,"&lt;&gt;"),"")</f>
        <v/>
      </c>
    </row>
    <row r="17" spans="4:30" ht="12.6" thickTop="1" x14ac:dyDescent="0.25">
      <c r="D17" s="216">
        <f>ROW()-16</f>
        <v>1</v>
      </c>
      <c r="E17" s="312"/>
      <c r="F17" s="187"/>
      <c r="G17" s="96"/>
      <c r="H17" s="299">
        <f>IFERROR(_xlfn.XLOOKUP(F17,Lists!$C$69:$C$99,Lists!$D$69:$D$99),0)</f>
        <v>0</v>
      </c>
      <c r="I17" s="96"/>
      <c r="J17" s="96"/>
      <c r="K17" s="331" t="str" cm="1">
        <f t="array" ref="K17">IFERROR(IF($H17=0,INDEX('Variable index'!$E$132:$F$215,MATCH($F17,'Variable index'!$C$132:$C$215,0),$F$12),INDEX('Variable index'!$E$132:$F$215,MATCH(_xlfn.CONCAT($F17," - ",$G17),'Variable index'!$C$132:$C$215,0),$F$12)),"")</f>
        <v/>
      </c>
      <c r="L17" s="332" t="str">
        <f>IFERROR(_xlfn.CONCAT("$ per ",IF($H17=0,_xlfn.XLOOKUP($F17,'Variable index'!$C$132:$C$215,'Variable index'!$D$132:$D$215),_xlfn.XLOOKUP(_xlfn.CONCAT($F17," - ",$G17),'Variable index'!$C$132:$C$215,'Variable index'!$D$132:$D$215))),"")</f>
        <v/>
      </c>
      <c r="M17" s="301"/>
      <c r="N17" s="343" t="str">
        <f>IFERROR(IF(TableOpenSpace[[#This Row],[Unit quantity]]="","",TableOpenSpace[[#This Row],[Unit rate]]*TableOpenSpace[[#This Row],[Unit quantity]]),"")</f>
        <v/>
      </c>
      <c r="O17" s="247" t="str">
        <f>IF(TableOpenSpace[[#This Row],[Type of infrastructure]]&lt;&gt;"",Summary!$F$8,"")</f>
        <v/>
      </c>
      <c r="P17" s="246" t="str">
        <f>IF(TableOpenSpace[[#This Row],[Type of infrastructure]]&lt;&gt;"",Summary!$F$9,"")</f>
        <v/>
      </c>
      <c r="Q17" s="302"/>
      <c r="R17" s="188"/>
      <c r="S17" s="301"/>
      <c r="T17" s="188"/>
      <c r="U17" s="301"/>
      <c r="V17" s="338" t="str" cm="1">
        <f t="array" ref="V17">IF(N17&lt;&gt;"",_xlfn.IFS(AND(N17&gt;='Variable index'!$K$35,N17&lt;'Variable index'!$K$36),'Variable index'!$L$35,AND(N17&gt;='Variable index'!$K$36,N17&lt;'Variable index'!$K$37),'Variable index'!$L$36,AND(N17&gt;='Variable index'!$K$37,N17&lt;'Variable index'!$K$38),'Variable index'!$L$37,N17&gt;='Variable index'!$K$38,'Variable index'!$L$38),"")</f>
        <v/>
      </c>
      <c r="W17" s="237"/>
      <c r="X17" s="336" t="str" cm="1">
        <f t="array" ref="X17">IF(AND(W17&lt;&gt;"",N17&lt;&gt;""),_xlfn.IFS(W17="Yes",_xlfn.IFS(AND(N17&gt;='Variable index'!$K$35,N17&lt;'Variable index'!$K$36),'Variable index'!$M$35,AND(N17&gt;='Variable index'!$K$36,N17&lt;'Variable index'!$K$37),'Variable index'!$M$36,AND(N17&gt;='Variable index'!$K$37,N17&lt;'Variable index'!$K$38),'Variable index'!$M$37,N17&gt;='Variable index'!$K$38,'Variable index'!$M$38),W17="No",0),"")</f>
        <v/>
      </c>
      <c r="Y17" s="120"/>
      <c r="Z17" s="336" t="str" cm="1">
        <f t="array" ref="Z17">IF(Y17&lt;&gt;"",_xlfn.IFS(Y17='Variable index'!$J$53,SUM('Variable index'!$K$50:$M$50),Y17='Variable index'!$J$54,SUM('Variable index'!$L$50:$M$50),Y17='Variable index'!$J$55,SUM('Variable index'!$M$50)),"")</f>
        <v/>
      </c>
      <c r="AA17" s="337" t="str" cm="1">
        <f t="array" ref="AA17">IFERROR(N17*(1+_xlfn.XLOOKUP(O17,'Rawlinsons regional indices'!$A$2:$A$63,'Rawlinsons regional indices'!$C$2:$C$63)+Q17)+(IF(R17&lt;&gt;"",INDEX('Variable index'!$E$57:$F$65,MATCH($R17,'Variable index'!$C$57:$C$65,0),$F$12),0)*S17)+(IF(T17&lt;&gt;"",INDEX('Variable index'!$E$68:$F$73,MATCH($T17,'Variable index'!$C$68:$C$73,0),$F$12),0)*U17)+(N17*V17)+(N17*X17)+(N17*Z17),"")</f>
        <v/>
      </c>
      <c r="AB17" s="303"/>
      <c r="AC17" s="337" t="str">
        <f>IF(AND(AB17&lt;&gt;"",AA17&lt;&gt;""),AB17-AA17,"")</f>
        <v/>
      </c>
      <c r="AD17" s="340" t="str">
        <f>IF(AND(AB17&lt;&gt;"",AA17&lt;&gt;""),(AB17-AA17)/AA17,"")</f>
        <v/>
      </c>
    </row>
    <row r="18" spans="4:30" ht="12" x14ac:dyDescent="0.25">
      <c r="D18" s="216">
        <f t="shared" ref="D18:D66" si="0">ROW()-16</f>
        <v>2</v>
      </c>
      <c r="E18" s="312"/>
      <c r="F18" s="187"/>
      <c r="G18" s="185"/>
      <c r="H18" s="299">
        <f>IFERROR(_xlfn.XLOOKUP(F18,Lists!$C$69:$C$99,Lists!$D$69:$D$99),0)</f>
        <v>0</v>
      </c>
      <c r="I18" s="185"/>
      <c r="J18" s="185"/>
      <c r="K18" s="333" t="str" cm="1">
        <f t="array" ref="K18">IFERROR(IF($H18=0,INDEX('Variable index'!$E$132:$F$215,MATCH($F18,'Variable index'!$C$132:$C$215,0),$F$12),INDEX('Variable index'!$E$132:$F$215,MATCH(_xlfn.CONCAT($F18," - ",$G18),'Variable index'!$C$132:$C$215,0),$F$12)),"")</f>
        <v/>
      </c>
      <c r="L18" s="334" t="str">
        <f>IFERROR(_xlfn.CONCAT("$ per ",IF($H18=0,_xlfn.XLOOKUP($F18,'Variable index'!$C$132:$C$215,'Variable index'!$D$132:$D$215),_xlfn.XLOOKUP(_xlfn.CONCAT($F18," - ",$G18),'Variable index'!$C$132:$C$215,'Variable index'!$D$132:$D$215))),"")</f>
        <v/>
      </c>
      <c r="M18" s="301"/>
      <c r="N18" s="343" t="str">
        <f>IFERROR(IF(TableOpenSpace[[#This Row],[Unit quantity]]="","",TableOpenSpace[[#This Row],[Unit rate]]*TableOpenSpace[[#This Row],[Unit quantity]]),"")</f>
        <v/>
      </c>
      <c r="O18" s="238" t="str">
        <f>IF(TableOpenSpace[[#This Row],[Type of infrastructure]]&lt;&gt;"",Summary!$F$8,"")</f>
        <v/>
      </c>
      <c r="P18" s="239" t="str">
        <f>IF(TableOpenSpace[[#This Row],[Type of infrastructure]]&lt;&gt;"",Summary!$F$9,"")</f>
        <v/>
      </c>
      <c r="Q18" s="302"/>
      <c r="R18" s="188"/>
      <c r="S18" s="301"/>
      <c r="T18" s="188"/>
      <c r="U18" s="301"/>
      <c r="V18" s="338" t="str" cm="1">
        <f t="array" ref="V18">IF(N18&lt;&gt;"",_xlfn.IFS(AND(N18&gt;='Variable index'!$K$35,N18&lt;'Variable index'!$K$36),'Variable index'!$L$35,AND(N18&gt;='Variable index'!$K$36,N18&lt;'Variable index'!$K$37),'Variable index'!$L$36,AND(N18&gt;='Variable index'!$K$37,N18&lt;'Variable index'!$K$38),'Variable index'!$L$37,N18&gt;='Variable index'!$K$38,'Variable index'!$L$38),"")</f>
        <v/>
      </c>
      <c r="W18" s="240"/>
      <c r="X18" s="336" t="str" cm="1">
        <f t="array" ref="X18">IF(AND(W18&lt;&gt;"",N18&lt;&gt;""),_xlfn.IFS(W18="Yes",_xlfn.IFS(AND(N18&gt;='Variable index'!$K$35,N18&lt;'Variable index'!$K$36),'Variable index'!$M$35,AND(N18&gt;='Variable index'!$K$36,N18&lt;'Variable index'!$K$37),'Variable index'!$M$36,AND(N18&gt;='Variable index'!$K$37,N18&lt;'Variable index'!$K$38),'Variable index'!$M$37,N18&gt;='Variable index'!$K$38,'Variable index'!$M$38),W18="No",0),"")</f>
        <v/>
      </c>
      <c r="Y18" s="189"/>
      <c r="Z18" s="336" t="str" cm="1">
        <f t="array" ref="Z18">IF(Y18&lt;&gt;"",_xlfn.IFS(Y18='Variable index'!$J$53,SUM('Variable index'!$K$50:$M$50),Y18='Variable index'!$J$54,SUM('Variable index'!$L$50:$M$50),Y18='Variable index'!$J$55,SUM('Variable index'!$M$50)),"")</f>
        <v/>
      </c>
      <c r="AA18" s="339" t="str" cm="1">
        <f t="array" ref="AA18">IFERROR(N18*(1+_xlfn.XLOOKUP(O18,'Rawlinsons regional indices'!$A$2:$A$63,'Rawlinsons regional indices'!$C$2:$C$63)+Q18)+(IF(R18&lt;&gt;"",INDEX('Variable index'!$E$57:$F$65,MATCH($R18,'Variable index'!$C$57:$C$65,0),$F$12),0)*S18)+(IF(T18&lt;&gt;"",INDEX('Variable index'!$E$68:$F$73,MATCH($T18,'Variable index'!$C$68:$C$73,0),$F$12),0)*U18)+(N18*V18)+(N18*X18)+(N18*Z18),"")</f>
        <v/>
      </c>
      <c r="AB18" s="303"/>
      <c r="AC18" s="337" t="str">
        <f t="shared" ref="AC18:AC66" si="1">IF(AND(AB18&lt;&gt;"",AA18&lt;&gt;""),AB18-AA18,"")</f>
        <v/>
      </c>
      <c r="AD18" s="340" t="str">
        <f t="shared" ref="AD18:AD66" si="2">IF(AND(AB18&lt;&gt;"",AA18&lt;&gt;""),(AB18-AA18)/AA18,"")</f>
        <v/>
      </c>
    </row>
    <row r="19" spans="4:30" ht="12" x14ac:dyDescent="0.25">
      <c r="D19" s="216">
        <f t="shared" si="0"/>
        <v>3</v>
      </c>
      <c r="E19" s="312"/>
      <c r="F19" s="187"/>
      <c r="G19" s="185"/>
      <c r="H19" s="299">
        <f>IFERROR(_xlfn.XLOOKUP(F19,Lists!$C$69:$C$99,Lists!$D$69:$D$99),0)</f>
        <v>0</v>
      </c>
      <c r="I19" s="185"/>
      <c r="J19" s="185"/>
      <c r="K19" s="333" t="str" cm="1">
        <f t="array" ref="K19">IFERROR(IF($H19=0,INDEX('Variable index'!$E$132:$F$215,MATCH($F19,'Variable index'!$C$132:$C$215,0),$F$12),INDEX('Variable index'!$E$132:$F$215,MATCH(_xlfn.CONCAT($F19," - ",$G19),'Variable index'!$C$132:$C$215,0),$F$12)),"")</f>
        <v/>
      </c>
      <c r="L19" s="334" t="str">
        <f>IFERROR(_xlfn.CONCAT("$ per ",IF($H19=0,_xlfn.XLOOKUP($F19,'Variable index'!$C$132:$C$215,'Variable index'!$D$132:$D$215),_xlfn.XLOOKUP(_xlfn.CONCAT($F19," - ",$G19),'Variable index'!$C$132:$C$215,'Variable index'!$D$132:$D$215))),"")</f>
        <v/>
      </c>
      <c r="M19" s="301"/>
      <c r="N19" s="343" t="str">
        <f>IFERROR(IF(TableOpenSpace[[#This Row],[Unit quantity]]="","",TableOpenSpace[[#This Row],[Unit rate]]*TableOpenSpace[[#This Row],[Unit quantity]]),"")</f>
        <v/>
      </c>
      <c r="O19" s="238" t="str">
        <f>IF(TableOpenSpace[[#This Row],[Type of infrastructure]]&lt;&gt;"",Summary!$F$8,"")</f>
        <v/>
      </c>
      <c r="P19" s="239" t="str">
        <f>IF(TableOpenSpace[[#This Row],[Type of infrastructure]]&lt;&gt;"",Summary!$F$9,"")</f>
        <v/>
      </c>
      <c r="Q19" s="302"/>
      <c r="R19" s="188"/>
      <c r="S19" s="301"/>
      <c r="T19" s="188"/>
      <c r="U19" s="301"/>
      <c r="V19" s="338" t="str" cm="1">
        <f t="array" ref="V19">IF(N19&lt;&gt;"",_xlfn.IFS(AND(N19&gt;='Variable index'!$K$35,N19&lt;'Variable index'!$K$36),'Variable index'!$L$35,AND(N19&gt;='Variable index'!$K$36,N19&lt;'Variable index'!$K$37),'Variable index'!$L$36,AND(N19&gt;='Variable index'!$K$37,N19&lt;'Variable index'!$K$38),'Variable index'!$L$37,N19&gt;='Variable index'!$K$38,'Variable index'!$L$38),"")</f>
        <v/>
      </c>
      <c r="W19" s="240"/>
      <c r="X19" s="336" t="str" cm="1">
        <f t="array" ref="X19">IF(AND(W19&lt;&gt;"",N19&lt;&gt;""),_xlfn.IFS(W19="Yes",_xlfn.IFS(AND(N19&gt;='Variable index'!$K$35,N19&lt;'Variable index'!$K$36),'Variable index'!$M$35,AND(N19&gt;='Variable index'!$K$36,N19&lt;'Variable index'!$K$37),'Variable index'!$M$36,AND(N19&gt;='Variable index'!$K$37,N19&lt;'Variable index'!$K$38),'Variable index'!$M$37,N19&gt;='Variable index'!$K$38,'Variable index'!$M$38),W19="No",0),"")</f>
        <v/>
      </c>
      <c r="Y19" s="189"/>
      <c r="Z19" s="336" t="str" cm="1">
        <f t="array" ref="Z19">IF(Y19&lt;&gt;"",_xlfn.IFS(Y19='Variable index'!$J$53,SUM('Variable index'!$K$50:$M$50),Y19='Variable index'!$J$54,SUM('Variable index'!$L$50:$M$50),Y19='Variable index'!$J$55,SUM('Variable index'!$M$50)),"")</f>
        <v/>
      </c>
      <c r="AA19" s="339" t="str" cm="1">
        <f t="array" ref="AA19">IFERROR(N19*(1+_xlfn.XLOOKUP(O19,'Rawlinsons regional indices'!$A$2:$A$63,'Rawlinsons regional indices'!$C$2:$C$63)+Q19)+(IF(R19&lt;&gt;"",INDEX('Variable index'!$E$57:$F$65,MATCH($R19,'Variable index'!$C$57:$C$65,0),$F$12),0)*S19)+(IF(T19&lt;&gt;"",INDEX('Variable index'!$E$68:$F$73,MATCH($T19,'Variable index'!$C$68:$C$73,0),$F$12),0)*U19)+(N19*V19)+(N19*X19)+(N19*Z19),"")</f>
        <v/>
      </c>
      <c r="AB19" s="303"/>
      <c r="AC19" s="337" t="str">
        <f t="shared" si="1"/>
        <v/>
      </c>
      <c r="AD19" s="340" t="str">
        <f t="shared" si="2"/>
        <v/>
      </c>
    </row>
    <row r="20" spans="4:30" ht="12" x14ac:dyDescent="0.25">
      <c r="D20" s="216">
        <f t="shared" si="0"/>
        <v>4</v>
      </c>
      <c r="E20" s="312"/>
      <c r="F20" s="187"/>
      <c r="G20" s="185"/>
      <c r="H20" s="299">
        <f>IFERROR(_xlfn.XLOOKUP(F20,Lists!$C$69:$C$99,Lists!$D$69:$D$99),0)</f>
        <v>0</v>
      </c>
      <c r="I20" s="185"/>
      <c r="J20" s="185"/>
      <c r="K20" s="333" t="str" cm="1">
        <f t="array" ref="K20">IFERROR(IF($H20=0,INDEX('Variable index'!$E$132:$F$215,MATCH($F20,'Variable index'!$C$132:$C$215,0),$F$12),INDEX('Variable index'!$E$132:$F$215,MATCH(_xlfn.CONCAT($F20," - ",$G20),'Variable index'!$C$132:$C$215,0),$F$12)),"")</f>
        <v/>
      </c>
      <c r="L20" s="334" t="str">
        <f>IFERROR(_xlfn.CONCAT("$ per ",IF($H20=0,_xlfn.XLOOKUP($F20,'Variable index'!$C$132:$C$215,'Variable index'!$D$132:$D$215),_xlfn.XLOOKUP(_xlfn.CONCAT($F20," - ",$G20),'Variable index'!$C$132:$C$215,'Variable index'!$D$132:$D$215))),"")</f>
        <v/>
      </c>
      <c r="M20" s="301"/>
      <c r="N20" s="343" t="str">
        <f>IFERROR(IF(TableOpenSpace[[#This Row],[Unit quantity]]="","",TableOpenSpace[[#This Row],[Unit rate]]*TableOpenSpace[[#This Row],[Unit quantity]]),"")</f>
        <v/>
      </c>
      <c r="O20" s="238" t="str">
        <f>IF(TableOpenSpace[[#This Row],[Type of infrastructure]]&lt;&gt;"",Summary!$F$8,"")</f>
        <v/>
      </c>
      <c r="P20" s="239" t="str">
        <f>IF(TableOpenSpace[[#This Row],[Type of infrastructure]]&lt;&gt;"",Summary!$F$9,"")</f>
        <v/>
      </c>
      <c r="Q20" s="302"/>
      <c r="R20" s="188"/>
      <c r="S20" s="301"/>
      <c r="T20" s="188"/>
      <c r="U20" s="301"/>
      <c r="V20" s="338" t="str" cm="1">
        <f t="array" ref="V20">IF(N20&lt;&gt;"",_xlfn.IFS(AND(N20&gt;='Variable index'!$K$35,N20&lt;'Variable index'!$K$36),'Variable index'!$L$35,AND(N20&gt;='Variable index'!$K$36,N20&lt;'Variable index'!$K$37),'Variable index'!$L$36,AND(N20&gt;='Variable index'!$K$37,N20&lt;'Variable index'!$K$38),'Variable index'!$L$37,N20&gt;='Variable index'!$K$38,'Variable index'!$L$38),"")</f>
        <v/>
      </c>
      <c r="W20" s="240"/>
      <c r="X20" s="336" t="str" cm="1">
        <f t="array" ref="X20">IF(AND(W20&lt;&gt;"",N20&lt;&gt;""),_xlfn.IFS(W20="Yes",_xlfn.IFS(AND(N20&gt;='Variable index'!$K$35,N20&lt;'Variable index'!$K$36),'Variable index'!$M$35,AND(N20&gt;='Variable index'!$K$36,N20&lt;'Variable index'!$K$37),'Variable index'!$M$36,AND(N20&gt;='Variable index'!$K$37,N20&lt;'Variable index'!$K$38),'Variable index'!$M$37,N20&gt;='Variable index'!$K$38,'Variable index'!$M$38),W20="No",0),"")</f>
        <v/>
      </c>
      <c r="Y20" s="189"/>
      <c r="Z20" s="336" t="str" cm="1">
        <f t="array" ref="Z20">IF(Y20&lt;&gt;"",_xlfn.IFS(Y20='Variable index'!$J$53,SUM('Variable index'!$K$50:$M$50),Y20='Variable index'!$J$54,SUM('Variable index'!$L$50:$M$50),Y20='Variable index'!$J$55,SUM('Variable index'!$M$50)),"")</f>
        <v/>
      </c>
      <c r="AA20" s="339" t="str" cm="1">
        <f t="array" ref="AA20">IFERROR(N20*(1+_xlfn.XLOOKUP(O20,'Rawlinsons regional indices'!$A$2:$A$63,'Rawlinsons regional indices'!$C$2:$C$63)+Q20)+(IF(R20&lt;&gt;"",INDEX('Variable index'!$E$57:$F$65,MATCH($R20,'Variable index'!$C$57:$C$65,0),$F$12),0)*S20)+(IF(T20&lt;&gt;"",INDEX('Variable index'!$E$68:$F$73,MATCH($T20,'Variable index'!$C$68:$C$73,0),$F$12),0)*U20)+(N20*V20)+(N20*X20)+(N20*Z20),"")</f>
        <v/>
      </c>
      <c r="AB20" s="303"/>
      <c r="AC20" s="337" t="str">
        <f t="shared" si="1"/>
        <v/>
      </c>
      <c r="AD20" s="340" t="str">
        <f t="shared" si="2"/>
        <v/>
      </c>
    </row>
    <row r="21" spans="4:30" ht="12" x14ac:dyDescent="0.25">
      <c r="D21" s="216">
        <f t="shared" si="0"/>
        <v>5</v>
      </c>
      <c r="E21" s="312"/>
      <c r="F21" s="187"/>
      <c r="G21" s="185"/>
      <c r="H21" s="299">
        <f>IFERROR(_xlfn.XLOOKUP(F21,Lists!$C$69:$C$99,Lists!$D$69:$D$99),0)</f>
        <v>0</v>
      </c>
      <c r="I21" s="185"/>
      <c r="J21" s="185"/>
      <c r="K21" s="333" t="str" cm="1">
        <f t="array" ref="K21">IFERROR(IF($H21=0,INDEX('Variable index'!$E$132:$F$215,MATCH($F21,'Variable index'!$C$132:$C$215,0),$F$12),INDEX('Variable index'!$E$132:$F$215,MATCH(_xlfn.CONCAT($F21," - ",$G21),'Variable index'!$C$132:$C$215,0),$F$12)),"")</f>
        <v/>
      </c>
      <c r="L21" s="334" t="str">
        <f>IFERROR(_xlfn.CONCAT("$ per ",IF($H21=0,_xlfn.XLOOKUP($F21,'Variable index'!$C$132:$C$215,'Variable index'!$D$132:$D$215),_xlfn.XLOOKUP(_xlfn.CONCAT($F21," - ",$G21),'Variable index'!$C$132:$C$215,'Variable index'!$D$132:$D$215))),"")</f>
        <v/>
      </c>
      <c r="M21" s="301"/>
      <c r="N21" s="343" t="str">
        <f>IFERROR(IF(TableOpenSpace[[#This Row],[Unit quantity]]="","",TableOpenSpace[[#This Row],[Unit rate]]*TableOpenSpace[[#This Row],[Unit quantity]]),"")</f>
        <v/>
      </c>
      <c r="O21" s="238" t="str">
        <f>IF(TableOpenSpace[[#This Row],[Type of infrastructure]]&lt;&gt;"",Summary!$F$8,"")</f>
        <v/>
      </c>
      <c r="P21" s="239" t="str">
        <f>IF(TableOpenSpace[[#This Row],[Type of infrastructure]]&lt;&gt;"",Summary!$F$9,"")</f>
        <v/>
      </c>
      <c r="Q21" s="302"/>
      <c r="R21" s="188"/>
      <c r="S21" s="301"/>
      <c r="T21" s="188"/>
      <c r="U21" s="301"/>
      <c r="V21" s="338" t="str" cm="1">
        <f t="array" ref="V21">IF(N21&lt;&gt;"",_xlfn.IFS(AND(N21&gt;='Variable index'!$K$35,N21&lt;'Variable index'!$K$36),'Variable index'!$L$35,AND(N21&gt;='Variable index'!$K$36,N21&lt;'Variable index'!$K$37),'Variable index'!$L$36,AND(N21&gt;='Variable index'!$K$37,N21&lt;'Variable index'!$K$38),'Variable index'!$L$37,N21&gt;='Variable index'!$K$38,'Variable index'!$L$38),"")</f>
        <v/>
      </c>
      <c r="W21" s="240"/>
      <c r="X21" s="336" t="str" cm="1">
        <f t="array" ref="X21">IF(AND(W21&lt;&gt;"",N21&lt;&gt;""),_xlfn.IFS(W21="Yes",_xlfn.IFS(AND(N21&gt;='Variable index'!$K$35,N21&lt;'Variable index'!$K$36),'Variable index'!$M$35,AND(N21&gt;='Variable index'!$K$36,N21&lt;'Variable index'!$K$37),'Variable index'!$M$36,AND(N21&gt;='Variable index'!$K$37,N21&lt;'Variable index'!$K$38),'Variable index'!$M$37,N21&gt;='Variable index'!$K$38,'Variable index'!$M$38),W21="No",0),"")</f>
        <v/>
      </c>
      <c r="Y21" s="189"/>
      <c r="Z21" s="336" t="str" cm="1">
        <f t="array" ref="Z21">IF(Y21&lt;&gt;"",_xlfn.IFS(Y21='Variable index'!$J$53,SUM('Variable index'!$K$50:$M$50),Y21='Variable index'!$J$54,SUM('Variable index'!$L$50:$M$50),Y21='Variable index'!$J$55,SUM('Variable index'!$M$50)),"")</f>
        <v/>
      </c>
      <c r="AA21" s="339" t="str" cm="1">
        <f t="array" ref="AA21">IFERROR(N21*(1+_xlfn.XLOOKUP(O21,'Rawlinsons regional indices'!$A$2:$A$63,'Rawlinsons regional indices'!$C$2:$C$63)+Q21)+(IF(R21&lt;&gt;"",INDEX('Variable index'!$E$57:$F$65,MATCH($R21,'Variable index'!$C$57:$C$65,0),$F$12),0)*S21)+(IF(T21&lt;&gt;"",INDEX('Variable index'!$E$68:$F$73,MATCH($T21,'Variable index'!$C$68:$C$73,0),$F$12),0)*U21)+(N21*V21)+(N21*X21)+(N21*Z21),"")</f>
        <v/>
      </c>
      <c r="AB21" s="303"/>
      <c r="AC21" s="337" t="str">
        <f t="shared" si="1"/>
        <v/>
      </c>
      <c r="AD21" s="340" t="str">
        <f t="shared" si="2"/>
        <v/>
      </c>
    </row>
    <row r="22" spans="4:30" ht="12" x14ac:dyDescent="0.25">
      <c r="D22" s="216">
        <f t="shared" si="0"/>
        <v>6</v>
      </c>
      <c r="E22" s="312"/>
      <c r="F22" s="187"/>
      <c r="G22" s="185"/>
      <c r="H22" s="299">
        <f>IFERROR(_xlfn.XLOOKUP(F22,Lists!$C$69:$C$99,Lists!$D$69:$D$99),0)</f>
        <v>0</v>
      </c>
      <c r="I22" s="185"/>
      <c r="J22" s="185"/>
      <c r="K22" s="333" t="str" cm="1">
        <f t="array" ref="K22">IFERROR(IF($H22=0,INDEX('Variable index'!$E$132:$F$215,MATCH($F22,'Variable index'!$C$132:$C$215,0),$F$12),INDEX('Variable index'!$E$132:$F$215,MATCH(_xlfn.CONCAT($F22," - ",$G22),'Variable index'!$C$132:$C$215,0),$F$12)),"")</f>
        <v/>
      </c>
      <c r="L22" s="334" t="str">
        <f>IFERROR(_xlfn.CONCAT("$ per ",IF($H22=0,_xlfn.XLOOKUP($F22,'Variable index'!$C$132:$C$215,'Variable index'!$D$132:$D$215),_xlfn.XLOOKUP(_xlfn.CONCAT($F22," - ",$G22),'Variable index'!$C$132:$C$215,'Variable index'!$D$132:$D$215))),"")</f>
        <v/>
      </c>
      <c r="M22" s="301"/>
      <c r="N22" s="343" t="str">
        <f>IFERROR(IF(TableOpenSpace[[#This Row],[Unit quantity]]="","",TableOpenSpace[[#This Row],[Unit rate]]*TableOpenSpace[[#This Row],[Unit quantity]]),"")</f>
        <v/>
      </c>
      <c r="O22" s="238" t="str">
        <f>IF(TableOpenSpace[[#This Row],[Type of infrastructure]]&lt;&gt;"",Summary!$F$8,"")</f>
        <v/>
      </c>
      <c r="P22" s="239" t="str">
        <f>IF(TableOpenSpace[[#This Row],[Type of infrastructure]]&lt;&gt;"",Summary!$F$9,"")</f>
        <v/>
      </c>
      <c r="Q22" s="302"/>
      <c r="R22" s="188"/>
      <c r="S22" s="301"/>
      <c r="T22" s="188"/>
      <c r="U22" s="301"/>
      <c r="V22" s="338" t="str" cm="1">
        <f t="array" ref="V22">IF(N22&lt;&gt;"",_xlfn.IFS(AND(N22&gt;='Variable index'!$K$35,N22&lt;'Variable index'!$K$36),'Variable index'!$L$35,AND(N22&gt;='Variable index'!$K$36,N22&lt;'Variable index'!$K$37),'Variable index'!$L$36,AND(N22&gt;='Variable index'!$K$37,N22&lt;'Variable index'!$K$38),'Variable index'!$L$37,N22&gt;='Variable index'!$K$38,'Variable index'!$L$38),"")</f>
        <v/>
      </c>
      <c r="W22" s="240"/>
      <c r="X22" s="336" t="str" cm="1">
        <f t="array" ref="X22">IF(AND(W22&lt;&gt;"",N22&lt;&gt;""),_xlfn.IFS(W22="Yes",_xlfn.IFS(AND(N22&gt;='Variable index'!$K$35,N22&lt;'Variable index'!$K$36),'Variable index'!$M$35,AND(N22&gt;='Variable index'!$K$36,N22&lt;'Variable index'!$K$37),'Variable index'!$M$36,AND(N22&gt;='Variable index'!$K$37,N22&lt;'Variable index'!$K$38),'Variable index'!$M$37,N22&gt;='Variable index'!$K$38,'Variable index'!$M$38),W22="No",0),"")</f>
        <v/>
      </c>
      <c r="Y22" s="189"/>
      <c r="Z22" s="336" t="str" cm="1">
        <f t="array" ref="Z22">IF(Y22&lt;&gt;"",_xlfn.IFS(Y22='Variable index'!$J$53,SUM('Variable index'!$K$50:$M$50),Y22='Variable index'!$J$54,SUM('Variable index'!$L$50:$M$50),Y22='Variable index'!$J$55,SUM('Variable index'!$M$50)),"")</f>
        <v/>
      </c>
      <c r="AA22" s="339" t="str" cm="1">
        <f t="array" ref="AA22">IFERROR(N22*(1+_xlfn.XLOOKUP(O22,'Rawlinsons regional indices'!$A$2:$A$63,'Rawlinsons regional indices'!$C$2:$C$63)+Q22)+(IF(R22&lt;&gt;"",INDEX('Variable index'!$E$57:$F$65,MATCH($R22,'Variable index'!$C$57:$C$65,0),$F$12),0)*S22)+(IF(T22&lt;&gt;"",INDEX('Variable index'!$E$68:$F$73,MATCH($T22,'Variable index'!$C$68:$C$73,0),$F$12),0)*U22)+(N22*V22)+(N22*X22)+(N22*Z22),"")</f>
        <v/>
      </c>
      <c r="AB22" s="303"/>
      <c r="AC22" s="337" t="str">
        <f t="shared" si="1"/>
        <v/>
      </c>
      <c r="AD22" s="340" t="str">
        <f t="shared" si="2"/>
        <v/>
      </c>
    </row>
    <row r="23" spans="4:30" ht="12" x14ac:dyDescent="0.25">
      <c r="D23" s="216">
        <f t="shared" si="0"/>
        <v>7</v>
      </c>
      <c r="E23" s="312"/>
      <c r="F23" s="187"/>
      <c r="G23" s="185"/>
      <c r="H23" s="299">
        <f>IFERROR(_xlfn.XLOOKUP(F23,Lists!$C$69:$C$99,Lists!$D$69:$D$99),0)</f>
        <v>0</v>
      </c>
      <c r="I23" s="185"/>
      <c r="J23" s="185"/>
      <c r="K23" s="333" t="str" cm="1">
        <f t="array" ref="K23">IFERROR(IF($H23=0,INDEX('Variable index'!$E$132:$F$215,MATCH($F23,'Variable index'!$C$132:$C$215,0),$F$12),INDEX('Variable index'!$E$132:$F$215,MATCH(_xlfn.CONCAT($F23," - ",$G23),'Variable index'!$C$132:$C$215,0),$F$12)),"")</f>
        <v/>
      </c>
      <c r="L23" s="334" t="str">
        <f>IFERROR(_xlfn.CONCAT("$ per ",IF($H23=0,_xlfn.XLOOKUP($F23,'Variable index'!$C$132:$C$215,'Variable index'!$D$132:$D$215),_xlfn.XLOOKUP(_xlfn.CONCAT($F23," - ",$G23),'Variable index'!$C$132:$C$215,'Variable index'!$D$132:$D$215))),"")</f>
        <v/>
      </c>
      <c r="M23" s="301"/>
      <c r="N23" s="343" t="str">
        <f>IFERROR(IF(TableOpenSpace[[#This Row],[Unit quantity]]="","",TableOpenSpace[[#This Row],[Unit rate]]*TableOpenSpace[[#This Row],[Unit quantity]]),"")</f>
        <v/>
      </c>
      <c r="O23" s="238" t="str">
        <f>IF(TableOpenSpace[[#This Row],[Type of infrastructure]]&lt;&gt;"",Summary!$F$8,"")</f>
        <v/>
      </c>
      <c r="P23" s="239" t="str">
        <f>IF(TableOpenSpace[[#This Row],[Type of infrastructure]]&lt;&gt;"",Summary!$F$9,"")</f>
        <v/>
      </c>
      <c r="Q23" s="302"/>
      <c r="R23" s="188"/>
      <c r="S23" s="301"/>
      <c r="T23" s="188"/>
      <c r="U23" s="301"/>
      <c r="V23" s="338" t="str" cm="1">
        <f t="array" ref="V23">IF(N23&lt;&gt;"",_xlfn.IFS(AND(N23&gt;='Variable index'!$K$35,N23&lt;'Variable index'!$K$36),'Variable index'!$L$35,AND(N23&gt;='Variable index'!$K$36,N23&lt;'Variable index'!$K$37),'Variable index'!$L$36,AND(N23&gt;='Variable index'!$K$37,N23&lt;'Variable index'!$K$38),'Variable index'!$L$37,N23&gt;='Variable index'!$K$38,'Variable index'!$L$38),"")</f>
        <v/>
      </c>
      <c r="W23" s="240"/>
      <c r="X23" s="336" t="str" cm="1">
        <f t="array" ref="X23">IF(AND(W23&lt;&gt;"",N23&lt;&gt;""),_xlfn.IFS(W23="Yes",_xlfn.IFS(AND(N23&gt;='Variable index'!$K$35,N23&lt;'Variable index'!$K$36),'Variable index'!$M$35,AND(N23&gt;='Variable index'!$K$36,N23&lt;'Variable index'!$K$37),'Variable index'!$M$36,AND(N23&gt;='Variable index'!$K$37,N23&lt;'Variable index'!$K$38),'Variable index'!$M$37,N23&gt;='Variable index'!$K$38,'Variable index'!$M$38),W23="No",0),"")</f>
        <v/>
      </c>
      <c r="Y23" s="189"/>
      <c r="Z23" s="336" t="str" cm="1">
        <f t="array" ref="Z23">IF(Y23&lt;&gt;"",_xlfn.IFS(Y23='Variable index'!$J$53,SUM('Variable index'!$K$50:$M$50),Y23='Variable index'!$J$54,SUM('Variable index'!$L$50:$M$50),Y23='Variable index'!$J$55,SUM('Variable index'!$M$50)),"")</f>
        <v/>
      </c>
      <c r="AA23" s="339" t="str" cm="1">
        <f t="array" ref="AA23">IFERROR(N23*(1+_xlfn.XLOOKUP(O23,'Rawlinsons regional indices'!$A$2:$A$63,'Rawlinsons regional indices'!$C$2:$C$63)+Q23)+(IF(R23&lt;&gt;"",INDEX('Variable index'!$E$57:$F$65,MATCH($R23,'Variable index'!$C$57:$C$65,0),$F$12),0)*S23)+(IF(T23&lt;&gt;"",INDEX('Variable index'!$E$68:$F$73,MATCH($T23,'Variable index'!$C$68:$C$73,0),$F$12),0)*U23)+(N23*V23)+(N23*X23)+(N23*Z23),"")</f>
        <v/>
      </c>
      <c r="AB23" s="303"/>
      <c r="AC23" s="337" t="str">
        <f t="shared" si="1"/>
        <v/>
      </c>
      <c r="AD23" s="340" t="str">
        <f t="shared" si="2"/>
        <v/>
      </c>
    </row>
    <row r="24" spans="4:30" ht="12" x14ac:dyDescent="0.25">
      <c r="D24" s="216">
        <f t="shared" si="0"/>
        <v>8</v>
      </c>
      <c r="E24" s="312"/>
      <c r="F24" s="187"/>
      <c r="G24" s="185"/>
      <c r="H24" s="299">
        <f>IFERROR(_xlfn.XLOOKUP(F24,Lists!$C$69:$C$99,Lists!$D$69:$D$99),0)</f>
        <v>0</v>
      </c>
      <c r="I24" s="185"/>
      <c r="J24" s="185"/>
      <c r="K24" s="333" t="str" cm="1">
        <f t="array" ref="K24">IFERROR(IF($H24=0,INDEX('Variable index'!$E$132:$F$215,MATCH($F24,'Variable index'!$C$132:$C$215,0),$F$12),INDEX('Variable index'!$E$132:$F$215,MATCH(_xlfn.CONCAT($F24," - ",$G24),'Variable index'!$C$132:$C$215,0),$F$12)),"")</f>
        <v/>
      </c>
      <c r="L24" s="334" t="str">
        <f>IFERROR(_xlfn.CONCAT("$ per ",IF($H24=0,_xlfn.XLOOKUP($F24,'Variable index'!$C$132:$C$215,'Variable index'!$D$132:$D$215),_xlfn.XLOOKUP(_xlfn.CONCAT($F24," - ",$G24),'Variable index'!$C$132:$C$215,'Variable index'!$D$132:$D$215))),"")</f>
        <v/>
      </c>
      <c r="M24" s="301"/>
      <c r="N24" s="343" t="str">
        <f>IFERROR(IF(TableOpenSpace[[#This Row],[Unit quantity]]="","",TableOpenSpace[[#This Row],[Unit rate]]*TableOpenSpace[[#This Row],[Unit quantity]]),"")</f>
        <v/>
      </c>
      <c r="O24" s="238" t="str">
        <f>IF(TableOpenSpace[[#This Row],[Type of infrastructure]]&lt;&gt;"",Summary!$F$8,"")</f>
        <v/>
      </c>
      <c r="P24" s="239" t="str">
        <f>IF(TableOpenSpace[[#This Row],[Type of infrastructure]]&lt;&gt;"",Summary!$F$9,"")</f>
        <v/>
      </c>
      <c r="Q24" s="302"/>
      <c r="R24" s="188"/>
      <c r="S24" s="301"/>
      <c r="T24" s="188"/>
      <c r="U24" s="301"/>
      <c r="V24" s="338" t="str" cm="1">
        <f t="array" ref="V24">IF(N24&lt;&gt;"",_xlfn.IFS(AND(N24&gt;='Variable index'!$K$35,N24&lt;'Variable index'!$K$36),'Variable index'!$L$35,AND(N24&gt;='Variable index'!$K$36,N24&lt;'Variable index'!$K$37),'Variable index'!$L$36,AND(N24&gt;='Variable index'!$K$37,N24&lt;'Variable index'!$K$38),'Variable index'!$L$37,N24&gt;='Variable index'!$K$38,'Variable index'!$L$38),"")</f>
        <v/>
      </c>
      <c r="W24" s="240"/>
      <c r="X24" s="336" t="str" cm="1">
        <f t="array" ref="X24">IF(AND(W24&lt;&gt;"",N24&lt;&gt;""),_xlfn.IFS(W24="Yes",_xlfn.IFS(AND(N24&gt;='Variable index'!$K$35,N24&lt;'Variable index'!$K$36),'Variable index'!$M$35,AND(N24&gt;='Variable index'!$K$36,N24&lt;'Variable index'!$K$37),'Variable index'!$M$36,AND(N24&gt;='Variable index'!$K$37,N24&lt;'Variable index'!$K$38),'Variable index'!$M$37,N24&gt;='Variable index'!$K$38,'Variable index'!$M$38),W24="No",0),"")</f>
        <v/>
      </c>
      <c r="Y24" s="189"/>
      <c r="Z24" s="336" t="str" cm="1">
        <f t="array" ref="Z24">IF(Y24&lt;&gt;"",_xlfn.IFS(Y24='Variable index'!$J$53,SUM('Variable index'!$K$50:$M$50),Y24='Variable index'!$J$54,SUM('Variable index'!$L$50:$M$50),Y24='Variable index'!$J$55,SUM('Variable index'!$M$50)),"")</f>
        <v/>
      </c>
      <c r="AA24" s="339" t="str" cm="1">
        <f t="array" ref="AA24">IFERROR(N24*(1+_xlfn.XLOOKUP(O24,'Rawlinsons regional indices'!$A$2:$A$63,'Rawlinsons regional indices'!$C$2:$C$63)+Q24)+(IF(R24&lt;&gt;"",INDEX('Variable index'!$E$57:$F$65,MATCH($R24,'Variable index'!$C$57:$C$65,0),$F$12),0)*S24)+(IF(T24&lt;&gt;"",INDEX('Variable index'!$E$68:$F$73,MATCH($T24,'Variable index'!$C$68:$C$73,0),$F$12),0)*U24)+(N24*V24)+(N24*X24)+(N24*Z24),"")</f>
        <v/>
      </c>
      <c r="AB24" s="303"/>
      <c r="AC24" s="337" t="str">
        <f t="shared" si="1"/>
        <v/>
      </c>
      <c r="AD24" s="340" t="str">
        <f t="shared" si="2"/>
        <v/>
      </c>
    </row>
    <row r="25" spans="4:30" ht="12" x14ac:dyDescent="0.25">
      <c r="D25" s="216">
        <f t="shared" si="0"/>
        <v>9</v>
      </c>
      <c r="E25" s="312"/>
      <c r="F25" s="187"/>
      <c r="G25" s="185"/>
      <c r="H25" s="299">
        <f>IFERROR(_xlfn.XLOOKUP(F25,Lists!$C$69:$C$99,Lists!$D$69:$D$99),0)</f>
        <v>0</v>
      </c>
      <c r="I25" s="185"/>
      <c r="J25" s="185"/>
      <c r="K25" s="333" t="str" cm="1">
        <f t="array" ref="K25">IFERROR(IF($H25=0,INDEX('Variable index'!$E$132:$F$215,MATCH($F25,'Variable index'!$C$132:$C$215,0),$F$12),INDEX('Variable index'!$E$132:$F$215,MATCH(_xlfn.CONCAT($F25," - ",$G25),'Variable index'!$C$132:$C$215,0),$F$12)),"")</f>
        <v/>
      </c>
      <c r="L25" s="334" t="str">
        <f>IFERROR(_xlfn.CONCAT("$ per ",IF($H25=0,_xlfn.XLOOKUP($F25,'Variable index'!$C$132:$C$215,'Variable index'!$D$132:$D$215),_xlfn.XLOOKUP(_xlfn.CONCAT($F25," - ",$G25),'Variable index'!$C$132:$C$215,'Variable index'!$D$132:$D$215))),"")</f>
        <v/>
      </c>
      <c r="M25" s="301"/>
      <c r="N25" s="343" t="str">
        <f>IFERROR(IF(TableOpenSpace[[#This Row],[Unit quantity]]="","",TableOpenSpace[[#This Row],[Unit rate]]*TableOpenSpace[[#This Row],[Unit quantity]]),"")</f>
        <v/>
      </c>
      <c r="O25" s="238" t="str">
        <f>IF(TableOpenSpace[[#This Row],[Type of infrastructure]]&lt;&gt;"",Summary!$F$8,"")</f>
        <v/>
      </c>
      <c r="P25" s="239" t="str">
        <f>IF(TableOpenSpace[[#This Row],[Type of infrastructure]]&lt;&gt;"",Summary!$F$9,"")</f>
        <v/>
      </c>
      <c r="Q25" s="302"/>
      <c r="R25" s="188"/>
      <c r="S25" s="301"/>
      <c r="T25" s="188"/>
      <c r="U25" s="301"/>
      <c r="V25" s="338" t="str" cm="1">
        <f t="array" ref="V25">IF(N25&lt;&gt;"",_xlfn.IFS(AND(N25&gt;='Variable index'!$K$35,N25&lt;'Variable index'!$K$36),'Variable index'!$L$35,AND(N25&gt;='Variable index'!$K$36,N25&lt;'Variable index'!$K$37),'Variable index'!$L$36,AND(N25&gt;='Variable index'!$K$37,N25&lt;'Variable index'!$K$38),'Variable index'!$L$37,N25&gt;='Variable index'!$K$38,'Variable index'!$L$38),"")</f>
        <v/>
      </c>
      <c r="W25" s="240"/>
      <c r="X25" s="336" t="str" cm="1">
        <f t="array" ref="X25">IF(AND(W25&lt;&gt;"",N25&lt;&gt;""),_xlfn.IFS(W25="Yes",_xlfn.IFS(AND(N25&gt;='Variable index'!$K$35,N25&lt;'Variable index'!$K$36),'Variable index'!$M$35,AND(N25&gt;='Variable index'!$K$36,N25&lt;'Variable index'!$K$37),'Variable index'!$M$36,AND(N25&gt;='Variable index'!$K$37,N25&lt;'Variable index'!$K$38),'Variable index'!$M$37,N25&gt;='Variable index'!$K$38,'Variable index'!$M$38),W25="No",0),"")</f>
        <v/>
      </c>
      <c r="Y25" s="189"/>
      <c r="Z25" s="336" t="str" cm="1">
        <f t="array" ref="Z25">IF(Y25&lt;&gt;"",_xlfn.IFS(Y25='Variable index'!$J$53,SUM('Variable index'!$K$50:$M$50),Y25='Variable index'!$J$54,SUM('Variable index'!$L$50:$M$50),Y25='Variable index'!$J$55,SUM('Variable index'!$M$50)),"")</f>
        <v/>
      </c>
      <c r="AA25" s="339" t="str" cm="1">
        <f t="array" ref="AA25">IFERROR(N25*(1+_xlfn.XLOOKUP(O25,'Rawlinsons regional indices'!$A$2:$A$63,'Rawlinsons regional indices'!$C$2:$C$63)+Q25)+(IF(R25&lt;&gt;"",INDEX('Variable index'!$E$57:$F$65,MATCH($R25,'Variable index'!$C$57:$C$65,0),$F$12),0)*S25)+(IF(T25&lt;&gt;"",INDEX('Variable index'!$E$68:$F$73,MATCH($T25,'Variable index'!$C$68:$C$73,0),$F$12),0)*U25)+(N25*V25)+(N25*X25)+(N25*Z25),"")</f>
        <v/>
      </c>
      <c r="AB25" s="303"/>
      <c r="AC25" s="337" t="str">
        <f t="shared" si="1"/>
        <v/>
      </c>
      <c r="AD25" s="340" t="str">
        <f t="shared" si="2"/>
        <v/>
      </c>
    </row>
    <row r="26" spans="4:30" ht="12" x14ac:dyDescent="0.25">
      <c r="D26" s="216">
        <f t="shared" si="0"/>
        <v>10</v>
      </c>
      <c r="E26" s="312"/>
      <c r="F26" s="187"/>
      <c r="G26" s="185"/>
      <c r="H26" s="299">
        <f>IFERROR(_xlfn.XLOOKUP(F26,Lists!$C$69:$C$99,Lists!$D$69:$D$99),0)</f>
        <v>0</v>
      </c>
      <c r="I26" s="185"/>
      <c r="J26" s="185"/>
      <c r="K26" s="333" t="str" cm="1">
        <f t="array" ref="K26">IFERROR(IF($H26=0,INDEX('Variable index'!$E$132:$F$215,MATCH($F26,'Variable index'!$C$132:$C$215,0),$F$12),INDEX('Variable index'!$E$132:$F$215,MATCH(_xlfn.CONCAT($F26," - ",$G26),'Variable index'!$C$132:$C$215,0),$F$12)),"")</f>
        <v/>
      </c>
      <c r="L26" s="334" t="str">
        <f>IFERROR(_xlfn.CONCAT("$ per ",IF($H26=0,_xlfn.XLOOKUP($F26,'Variable index'!$C$132:$C$215,'Variable index'!$D$132:$D$215),_xlfn.XLOOKUP(_xlfn.CONCAT($F26," - ",$G26),'Variable index'!$C$132:$C$215,'Variable index'!$D$132:$D$215))),"")</f>
        <v/>
      </c>
      <c r="M26" s="301"/>
      <c r="N26" s="343" t="str">
        <f>IFERROR(IF(TableOpenSpace[[#This Row],[Unit quantity]]="","",TableOpenSpace[[#This Row],[Unit rate]]*TableOpenSpace[[#This Row],[Unit quantity]]),"")</f>
        <v/>
      </c>
      <c r="O26" s="238" t="str">
        <f>IF(TableOpenSpace[[#This Row],[Type of infrastructure]]&lt;&gt;"",Summary!$F$8,"")</f>
        <v/>
      </c>
      <c r="P26" s="239" t="str">
        <f>IF(TableOpenSpace[[#This Row],[Type of infrastructure]]&lt;&gt;"",Summary!$F$9,"")</f>
        <v/>
      </c>
      <c r="Q26" s="302"/>
      <c r="R26" s="188"/>
      <c r="S26" s="301"/>
      <c r="T26" s="188"/>
      <c r="U26" s="301"/>
      <c r="V26" s="338" t="str" cm="1">
        <f t="array" ref="V26">IF(N26&lt;&gt;"",_xlfn.IFS(AND(N26&gt;='Variable index'!$K$35,N26&lt;'Variable index'!$K$36),'Variable index'!$L$35,AND(N26&gt;='Variable index'!$K$36,N26&lt;'Variable index'!$K$37),'Variable index'!$L$36,AND(N26&gt;='Variable index'!$K$37,N26&lt;'Variable index'!$K$38),'Variable index'!$L$37,N26&gt;='Variable index'!$K$38,'Variable index'!$L$38),"")</f>
        <v/>
      </c>
      <c r="W26" s="240"/>
      <c r="X26" s="336" t="str" cm="1">
        <f t="array" ref="X26">IF(AND(W26&lt;&gt;"",N26&lt;&gt;""),_xlfn.IFS(W26="Yes",_xlfn.IFS(AND(N26&gt;='Variable index'!$K$35,N26&lt;'Variable index'!$K$36),'Variable index'!$M$35,AND(N26&gt;='Variable index'!$K$36,N26&lt;'Variable index'!$K$37),'Variable index'!$M$36,AND(N26&gt;='Variable index'!$K$37,N26&lt;'Variable index'!$K$38),'Variable index'!$M$37,N26&gt;='Variable index'!$K$38,'Variable index'!$M$38),W26="No",0),"")</f>
        <v/>
      </c>
      <c r="Y26" s="189"/>
      <c r="Z26" s="336" t="str" cm="1">
        <f t="array" ref="Z26">IF(Y26&lt;&gt;"",_xlfn.IFS(Y26='Variable index'!$J$53,SUM('Variable index'!$K$50:$M$50),Y26='Variable index'!$J$54,SUM('Variable index'!$L$50:$M$50),Y26='Variable index'!$J$55,SUM('Variable index'!$M$50)),"")</f>
        <v/>
      </c>
      <c r="AA26" s="339" t="str" cm="1">
        <f t="array" ref="AA26">IFERROR(N26*(1+_xlfn.XLOOKUP(O26,'Rawlinsons regional indices'!$A$2:$A$63,'Rawlinsons regional indices'!$C$2:$C$63)+Q26)+(IF(R26&lt;&gt;"",INDEX('Variable index'!$E$57:$F$65,MATCH($R26,'Variable index'!$C$57:$C$65,0),$F$12),0)*S26)+(IF(T26&lt;&gt;"",INDEX('Variable index'!$E$68:$F$73,MATCH($T26,'Variable index'!$C$68:$C$73,0),$F$12),0)*U26)+(N26*V26)+(N26*X26)+(N26*Z26),"")</f>
        <v/>
      </c>
      <c r="AB26" s="303"/>
      <c r="AC26" s="337" t="str">
        <f t="shared" si="1"/>
        <v/>
      </c>
      <c r="AD26" s="340" t="str">
        <f t="shared" si="2"/>
        <v/>
      </c>
    </row>
    <row r="27" spans="4:30" ht="12" x14ac:dyDescent="0.25">
      <c r="D27" s="216">
        <f t="shared" si="0"/>
        <v>11</v>
      </c>
      <c r="E27" s="312"/>
      <c r="F27" s="187"/>
      <c r="G27" s="185"/>
      <c r="H27" s="299">
        <f>IFERROR(_xlfn.XLOOKUP(F27,Lists!$C$69:$C$99,Lists!$D$69:$D$99),0)</f>
        <v>0</v>
      </c>
      <c r="I27" s="185"/>
      <c r="J27" s="185"/>
      <c r="K27" s="333" t="str" cm="1">
        <f t="array" ref="K27">IFERROR(IF($H27=0,INDEX('Variable index'!$E$132:$F$215,MATCH($F27,'Variable index'!$C$132:$C$215,0),$F$12),INDEX('Variable index'!$E$132:$F$215,MATCH(_xlfn.CONCAT($F27," - ",$G27),'Variable index'!$C$132:$C$215,0),$F$12)),"")</f>
        <v/>
      </c>
      <c r="L27" s="334" t="str">
        <f>IFERROR(_xlfn.CONCAT("$ per ",IF($H27=0,_xlfn.XLOOKUP($F27,'Variable index'!$C$132:$C$215,'Variable index'!$D$132:$D$215),_xlfn.XLOOKUP(_xlfn.CONCAT($F27," - ",$G27),'Variable index'!$C$132:$C$215,'Variable index'!$D$132:$D$215))),"")</f>
        <v/>
      </c>
      <c r="M27" s="301"/>
      <c r="N27" s="343" t="str">
        <f>IFERROR(IF(TableOpenSpace[[#This Row],[Unit quantity]]="","",TableOpenSpace[[#This Row],[Unit rate]]*TableOpenSpace[[#This Row],[Unit quantity]]),"")</f>
        <v/>
      </c>
      <c r="O27" s="238" t="str">
        <f>IF(TableOpenSpace[[#This Row],[Type of infrastructure]]&lt;&gt;"",Summary!$F$8,"")</f>
        <v/>
      </c>
      <c r="P27" s="239" t="str">
        <f>IF(TableOpenSpace[[#This Row],[Type of infrastructure]]&lt;&gt;"",Summary!$F$9,"")</f>
        <v/>
      </c>
      <c r="Q27" s="302"/>
      <c r="R27" s="188"/>
      <c r="S27" s="301"/>
      <c r="T27" s="188"/>
      <c r="U27" s="301"/>
      <c r="V27" s="338" t="str" cm="1">
        <f t="array" ref="V27">IF(N27&lt;&gt;"",_xlfn.IFS(AND(N27&gt;='Variable index'!$K$35,N27&lt;'Variable index'!$K$36),'Variable index'!$L$35,AND(N27&gt;='Variable index'!$K$36,N27&lt;'Variable index'!$K$37),'Variable index'!$L$36,AND(N27&gt;='Variable index'!$K$37,N27&lt;'Variable index'!$K$38),'Variable index'!$L$37,N27&gt;='Variable index'!$K$38,'Variable index'!$L$38),"")</f>
        <v/>
      </c>
      <c r="W27" s="240"/>
      <c r="X27" s="336" t="str" cm="1">
        <f t="array" ref="X27">IF(AND(W27&lt;&gt;"",N27&lt;&gt;""),_xlfn.IFS(W27="Yes",_xlfn.IFS(AND(N27&gt;='Variable index'!$K$35,N27&lt;'Variable index'!$K$36),'Variable index'!$M$35,AND(N27&gt;='Variable index'!$K$36,N27&lt;'Variable index'!$K$37),'Variable index'!$M$36,AND(N27&gt;='Variable index'!$K$37,N27&lt;'Variable index'!$K$38),'Variable index'!$M$37,N27&gt;='Variable index'!$K$38,'Variable index'!$M$38),W27="No",0),"")</f>
        <v/>
      </c>
      <c r="Y27" s="189"/>
      <c r="Z27" s="336" t="str" cm="1">
        <f t="array" ref="Z27">IF(Y27&lt;&gt;"",_xlfn.IFS(Y27='Variable index'!$J$53,SUM('Variable index'!$K$50:$M$50),Y27='Variable index'!$J$54,SUM('Variable index'!$L$50:$M$50),Y27='Variable index'!$J$55,SUM('Variable index'!$M$50)),"")</f>
        <v/>
      </c>
      <c r="AA27" s="339" t="str" cm="1">
        <f t="array" ref="AA27">IFERROR(N27*(1+_xlfn.XLOOKUP(O27,'Rawlinsons regional indices'!$A$2:$A$63,'Rawlinsons regional indices'!$C$2:$C$63)+Q27)+(IF(R27&lt;&gt;"",INDEX('Variable index'!$E$57:$F$65,MATCH($R27,'Variable index'!$C$57:$C$65,0),$F$12),0)*S27)+(IF(T27&lt;&gt;"",INDEX('Variable index'!$E$68:$F$73,MATCH($T27,'Variable index'!$C$68:$C$73,0),$F$12),0)*U27)+(N27*V27)+(N27*X27)+(N27*Z27),"")</f>
        <v/>
      </c>
      <c r="AB27" s="303"/>
      <c r="AC27" s="337" t="str">
        <f t="shared" si="1"/>
        <v/>
      </c>
      <c r="AD27" s="340" t="str">
        <f t="shared" si="2"/>
        <v/>
      </c>
    </row>
    <row r="28" spans="4:30" ht="12" x14ac:dyDescent="0.25">
      <c r="D28" s="216">
        <f t="shared" si="0"/>
        <v>12</v>
      </c>
      <c r="E28" s="312"/>
      <c r="F28" s="187"/>
      <c r="G28" s="185"/>
      <c r="H28" s="299">
        <f>IFERROR(_xlfn.XLOOKUP(F28,Lists!$C$69:$C$99,Lists!$D$69:$D$99),0)</f>
        <v>0</v>
      </c>
      <c r="I28" s="185"/>
      <c r="J28" s="185"/>
      <c r="K28" s="333" t="str" cm="1">
        <f t="array" ref="K28">IFERROR(IF($H28=0,INDEX('Variable index'!$E$132:$F$215,MATCH($F28,'Variable index'!$C$132:$C$215,0),$F$12),INDEX('Variable index'!$E$132:$F$215,MATCH(_xlfn.CONCAT($F28," - ",$G28),'Variable index'!$C$132:$C$215,0),$F$12)),"")</f>
        <v/>
      </c>
      <c r="L28" s="334" t="str">
        <f>IFERROR(_xlfn.CONCAT("$ per ",IF($H28=0,_xlfn.XLOOKUP($F28,'Variable index'!$C$132:$C$215,'Variable index'!$D$132:$D$215),_xlfn.XLOOKUP(_xlfn.CONCAT($F28," - ",$G28),'Variable index'!$C$132:$C$215,'Variable index'!$D$132:$D$215))),"")</f>
        <v/>
      </c>
      <c r="M28" s="301"/>
      <c r="N28" s="343" t="str">
        <f>IFERROR(IF(TableOpenSpace[[#This Row],[Unit quantity]]="","",TableOpenSpace[[#This Row],[Unit rate]]*TableOpenSpace[[#This Row],[Unit quantity]]),"")</f>
        <v/>
      </c>
      <c r="O28" s="238" t="str">
        <f>IF(TableOpenSpace[[#This Row],[Type of infrastructure]]&lt;&gt;"",Summary!$F$8,"")</f>
        <v/>
      </c>
      <c r="P28" s="239" t="str">
        <f>IF(TableOpenSpace[[#This Row],[Type of infrastructure]]&lt;&gt;"",Summary!$F$9,"")</f>
        <v/>
      </c>
      <c r="Q28" s="302"/>
      <c r="R28" s="188"/>
      <c r="S28" s="301"/>
      <c r="T28" s="188"/>
      <c r="U28" s="301"/>
      <c r="V28" s="338" t="str" cm="1">
        <f t="array" ref="V28">IF(N28&lt;&gt;"",_xlfn.IFS(AND(N28&gt;='Variable index'!$K$35,N28&lt;'Variable index'!$K$36),'Variable index'!$L$35,AND(N28&gt;='Variable index'!$K$36,N28&lt;'Variable index'!$K$37),'Variable index'!$L$36,AND(N28&gt;='Variable index'!$K$37,N28&lt;'Variable index'!$K$38),'Variable index'!$L$37,N28&gt;='Variable index'!$K$38,'Variable index'!$L$38),"")</f>
        <v/>
      </c>
      <c r="W28" s="240"/>
      <c r="X28" s="336" t="str" cm="1">
        <f t="array" ref="X28">IF(AND(W28&lt;&gt;"",N28&lt;&gt;""),_xlfn.IFS(W28="Yes",_xlfn.IFS(AND(N28&gt;='Variable index'!$K$35,N28&lt;'Variable index'!$K$36),'Variable index'!$M$35,AND(N28&gt;='Variable index'!$K$36,N28&lt;'Variable index'!$K$37),'Variable index'!$M$36,AND(N28&gt;='Variable index'!$K$37,N28&lt;'Variable index'!$K$38),'Variable index'!$M$37,N28&gt;='Variable index'!$K$38,'Variable index'!$M$38),W28="No",0),"")</f>
        <v/>
      </c>
      <c r="Y28" s="189"/>
      <c r="Z28" s="336" t="str" cm="1">
        <f t="array" ref="Z28">IF(Y28&lt;&gt;"",_xlfn.IFS(Y28='Variable index'!$J$53,SUM('Variable index'!$K$50:$M$50),Y28='Variable index'!$J$54,SUM('Variable index'!$L$50:$M$50),Y28='Variable index'!$J$55,SUM('Variable index'!$M$50)),"")</f>
        <v/>
      </c>
      <c r="AA28" s="339" t="str" cm="1">
        <f t="array" ref="AA28">IFERROR(N28*(1+_xlfn.XLOOKUP(O28,'Rawlinsons regional indices'!$A$2:$A$63,'Rawlinsons regional indices'!$C$2:$C$63)+Q28)+(IF(R28&lt;&gt;"",INDEX('Variable index'!$E$57:$F$65,MATCH($R28,'Variable index'!$C$57:$C$65,0),$F$12),0)*S28)+(IF(T28&lt;&gt;"",INDEX('Variable index'!$E$68:$F$73,MATCH($T28,'Variable index'!$C$68:$C$73,0),$F$12),0)*U28)+(N28*V28)+(N28*X28)+(N28*Z28),"")</f>
        <v/>
      </c>
      <c r="AB28" s="303"/>
      <c r="AC28" s="337" t="str">
        <f t="shared" si="1"/>
        <v/>
      </c>
      <c r="AD28" s="340" t="str">
        <f t="shared" si="2"/>
        <v/>
      </c>
    </row>
    <row r="29" spans="4:30" ht="12" x14ac:dyDescent="0.25">
      <c r="D29" s="216">
        <f t="shared" si="0"/>
        <v>13</v>
      </c>
      <c r="E29" s="312"/>
      <c r="F29" s="187"/>
      <c r="G29" s="185"/>
      <c r="H29" s="299">
        <f>IFERROR(_xlfn.XLOOKUP(F29,Lists!$C$69:$C$99,Lists!$D$69:$D$99),0)</f>
        <v>0</v>
      </c>
      <c r="I29" s="185"/>
      <c r="J29" s="185"/>
      <c r="K29" s="333" t="str" cm="1">
        <f t="array" ref="K29">IFERROR(IF($H29=0,INDEX('Variable index'!$E$132:$F$215,MATCH($F29,'Variable index'!$C$132:$C$215,0),$F$12),INDEX('Variable index'!$E$132:$F$215,MATCH(_xlfn.CONCAT($F29," - ",$G29),'Variable index'!$C$132:$C$215,0),$F$12)),"")</f>
        <v/>
      </c>
      <c r="L29" s="334" t="str">
        <f>IFERROR(_xlfn.CONCAT("$ per ",IF($H29=0,_xlfn.XLOOKUP($F29,'Variable index'!$C$132:$C$215,'Variable index'!$D$132:$D$215),_xlfn.XLOOKUP(_xlfn.CONCAT($F29," - ",$G29),'Variable index'!$C$132:$C$215,'Variable index'!$D$132:$D$215))),"")</f>
        <v/>
      </c>
      <c r="M29" s="301"/>
      <c r="N29" s="343" t="str">
        <f>IFERROR(IF(TableOpenSpace[[#This Row],[Unit quantity]]="","",TableOpenSpace[[#This Row],[Unit rate]]*TableOpenSpace[[#This Row],[Unit quantity]]),"")</f>
        <v/>
      </c>
      <c r="O29" s="238" t="str">
        <f>IF(TableOpenSpace[[#This Row],[Type of infrastructure]]&lt;&gt;"",Summary!$F$8,"")</f>
        <v/>
      </c>
      <c r="P29" s="239" t="str">
        <f>IF(TableOpenSpace[[#This Row],[Type of infrastructure]]&lt;&gt;"",Summary!$F$9,"")</f>
        <v/>
      </c>
      <c r="Q29" s="302"/>
      <c r="R29" s="188"/>
      <c r="S29" s="301"/>
      <c r="T29" s="188"/>
      <c r="U29" s="301"/>
      <c r="V29" s="338" t="str" cm="1">
        <f t="array" ref="V29">IF(N29&lt;&gt;"",_xlfn.IFS(AND(N29&gt;='Variable index'!$K$35,N29&lt;'Variable index'!$K$36),'Variable index'!$L$35,AND(N29&gt;='Variable index'!$K$36,N29&lt;'Variable index'!$K$37),'Variable index'!$L$36,AND(N29&gt;='Variable index'!$K$37,N29&lt;'Variable index'!$K$38),'Variable index'!$L$37,N29&gt;='Variable index'!$K$38,'Variable index'!$L$38),"")</f>
        <v/>
      </c>
      <c r="W29" s="240"/>
      <c r="X29" s="336" t="str" cm="1">
        <f t="array" ref="X29">IF(AND(W29&lt;&gt;"",N29&lt;&gt;""),_xlfn.IFS(W29="Yes",_xlfn.IFS(AND(N29&gt;='Variable index'!$K$35,N29&lt;'Variable index'!$K$36),'Variable index'!$M$35,AND(N29&gt;='Variable index'!$K$36,N29&lt;'Variable index'!$K$37),'Variable index'!$M$36,AND(N29&gt;='Variable index'!$K$37,N29&lt;'Variable index'!$K$38),'Variable index'!$M$37,N29&gt;='Variable index'!$K$38,'Variable index'!$M$38),W29="No",0),"")</f>
        <v/>
      </c>
      <c r="Y29" s="189"/>
      <c r="Z29" s="336" t="str" cm="1">
        <f t="array" ref="Z29">IF(Y29&lt;&gt;"",_xlfn.IFS(Y29='Variable index'!$J$53,SUM('Variable index'!$K$50:$M$50),Y29='Variable index'!$J$54,SUM('Variable index'!$L$50:$M$50),Y29='Variable index'!$J$55,SUM('Variable index'!$M$50)),"")</f>
        <v/>
      </c>
      <c r="AA29" s="339" t="str" cm="1">
        <f t="array" ref="AA29">IFERROR(N29*(1+_xlfn.XLOOKUP(O29,'Rawlinsons regional indices'!$A$2:$A$63,'Rawlinsons regional indices'!$C$2:$C$63)+Q29)+(IF(R29&lt;&gt;"",INDEX('Variable index'!$E$57:$F$65,MATCH($R29,'Variable index'!$C$57:$C$65,0),$F$12),0)*S29)+(IF(T29&lt;&gt;"",INDEX('Variable index'!$E$68:$F$73,MATCH($T29,'Variable index'!$C$68:$C$73,0),$F$12),0)*U29)+(N29*V29)+(N29*X29)+(N29*Z29),"")</f>
        <v/>
      </c>
      <c r="AB29" s="303"/>
      <c r="AC29" s="337" t="str">
        <f t="shared" si="1"/>
        <v/>
      </c>
      <c r="AD29" s="340" t="str">
        <f t="shared" si="2"/>
        <v/>
      </c>
    </row>
    <row r="30" spans="4:30" ht="12" x14ac:dyDescent="0.25">
      <c r="D30" s="216">
        <f t="shared" si="0"/>
        <v>14</v>
      </c>
      <c r="E30" s="312"/>
      <c r="F30" s="187"/>
      <c r="G30" s="185"/>
      <c r="H30" s="299">
        <f>IFERROR(_xlfn.XLOOKUP(F30,Lists!$C$69:$C$99,Lists!$D$69:$D$99),0)</f>
        <v>0</v>
      </c>
      <c r="I30" s="185"/>
      <c r="J30" s="185"/>
      <c r="K30" s="333" t="str" cm="1">
        <f t="array" ref="K30">IFERROR(IF($H30=0,INDEX('Variable index'!$E$132:$F$215,MATCH($F30,'Variable index'!$C$132:$C$215,0),$F$12),INDEX('Variable index'!$E$132:$F$215,MATCH(_xlfn.CONCAT($F30," - ",$G30),'Variable index'!$C$132:$C$215,0),$F$12)),"")</f>
        <v/>
      </c>
      <c r="L30" s="334" t="str">
        <f>IFERROR(_xlfn.CONCAT("$ per ",IF($H30=0,_xlfn.XLOOKUP($F30,'Variable index'!$C$132:$C$215,'Variable index'!$D$132:$D$215),_xlfn.XLOOKUP(_xlfn.CONCAT($F30," - ",$G30),'Variable index'!$C$132:$C$215,'Variable index'!$D$132:$D$215))),"")</f>
        <v/>
      </c>
      <c r="M30" s="301"/>
      <c r="N30" s="343" t="str">
        <f>IFERROR(IF(TableOpenSpace[[#This Row],[Unit quantity]]="","",TableOpenSpace[[#This Row],[Unit rate]]*TableOpenSpace[[#This Row],[Unit quantity]]),"")</f>
        <v/>
      </c>
      <c r="O30" s="238" t="str">
        <f>IF(TableOpenSpace[[#This Row],[Type of infrastructure]]&lt;&gt;"",Summary!$F$8,"")</f>
        <v/>
      </c>
      <c r="P30" s="239" t="str">
        <f>IF(TableOpenSpace[[#This Row],[Type of infrastructure]]&lt;&gt;"",Summary!$F$9,"")</f>
        <v/>
      </c>
      <c r="Q30" s="302"/>
      <c r="R30" s="188"/>
      <c r="S30" s="301"/>
      <c r="T30" s="188"/>
      <c r="U30" s="301"/>
      <c r="V30" s="338" t="str" cm="1">
        <f t="array" ref="V30">IF(N30&lt;&gt;"",_xlfn.IFS(AND(N30&gt;='Variable index'!$K$35,N30&lt;'Variable index'!$K$36),'Variable index'!$L$35,AND(N30&gt;='Variable index'!$K$36,N30&lt;'Variable index'!$K$37),'Variable index'!$L$36,AND(N30&gt;='Variable index'!$K$37,N30&lt;'Variable index'!$K$38),'Variable index'!$L$37,N30&gt;='Variable index'!$K$38,'Variable index'!$L$38),"")</f>
        <v/>
      </c>
      <c r="W30" s="240"/>
      <c r="X30" s="336" t="str" cm="1">
        <f t="array" ref="X30">IF(AND(W30&lt;&gt;"",N30&lt;&gt;""),_xlfn.IFS(W30="Yes",_xlfn.IFS(AND(N30&gt;='Variable index'!$K$35,N30&lt;'Variable index'!$K$36),'Variable index'!$M$35,AND(N30&gt;='Variable index'!$K$36,N30&lt;'Variable index'!$K$37),'Variable index'!$M$36,AND(N30&gt;='Variable index'!$K$37,N30&lt;'Variable index'!$K$38),'Variable index'!$M$37,N30&gt;='Variable index'!$K$38,'Variable index'!$M$38),W30="No",0),"")</f>
        <v/>
      </c>
      <c r="Y30" s="189"/>
      <c r="Z30" s="336" t="str" cm="1">
        <f t="array" ref="Z30">IF(Y30&lt;&gt;"",_xlfn.IFS(Y30='Variable index'!$J$53,SUM('Variable index'!$K$50:$M$50),Y30='Variable index'!$J$54,SUM('Variable index'!$L$50:$M$50),Y30='Variable index'!$J$55,SUM('Variable index'!$M$50)),"")</f>
        <v/>
      </c>
      <c r="AA30" s="339" t="str" cm="1">
        <f t="array" ref="AA30">IFERROR(N30*(1+_xlfn.XLOOKUP(O30,'Rawlinsons regional indices'!$A$2:$A$63,'Rawlinsons regional indices'!$C$2:$C$63)+Q30)+(IF(R30&lt;&gt;"",INDEX('Variable index'!$E$57:$F$65,MATCH($R30,'Variable index'!$C$57:$C$65,0),$F$12),0)*S30)+(IF(T30&lt;&gt;"",INDEX('Variable index'!$E$68:$F$73,MATCH($T30,'Variable index'!$C$68:$C$73,0),$F$12),0)*U30)+(N30*V30)+(N30*X30)+(N30*Z30),"")</f>
        <v/>
      </c>
      <c r="AB30" s="303"/>
      <c r="AC30" s="337" t="str">
        <f t="shared" si="1"/>
        <v/>
      </c>
      <c r="AD30" s="340" t="str">
        <f t="shared" si="2"/>
        <v/>
      </c>
    </row>
    <row r="31" spans="4:30" ht="12" x14ac:dyDescent="0.25">
      <c r="D31" s="216">
        <f t="shared" si="0"/>
        <v>15</v>
      </c>
      <c r="E31" s="312"/>
      <c r="F31" s="187"/>
      <c r="G31" s="185"/>
      <c r="H31" s="299">
        <f>IFERROR(_xlfn.XLOOKUP(F31,Lists!$C$69:$C$99,Lists!$D$69:$D$99),0)</f>
        <v>0</v>
      </c>
      <c r="I31" s="185"/>
      <c r="J31" s="185"/>
      <c r="K31" s="333" t="str" cm="1">
        <f t="array" ref="K31">IFERROR(IF($H31=0,INDEX('Variable index'!$E$132:$F$215,MATCH($F31,'Variable index'!$C$132:$C$215,0),$F$12),INDEX('Variable index'!$E$132:$F$215,MATCH(_xlfn.CONCAT($F31," - ",$G31),'Variable index'!$C$132:$C$215,0),$F$12)),"")</f>
        <v/>
      </c>
      <c r="L31" s="334" t="str">
        <f>IFERROR(_xlfn.CONCAT("$ per ",IF($H31=0,_xlfn.XLOOKUP($F31,'Variable index'!$C$132:$C$215,'Variable index'!$D$132:$D$215),_xlfn.XLOOKUP(_xlfn.CONCAT($F31," - ",$G31),'Variable index'!$C$132:$C$215,'Variable index'!$D$132:$D$215))),"")</f>
        <v/>
      </c>
      <c r="M31" s="301"/>
      <c r="N31" s="343" t="str">
        <f>IFERROR(IF(TableOpenSpace[[#This Row],[Unit quantity]]="","",TableOpenSpace[[#This Row],[Unit rate]]*TableOpenSpace[[#This Row],[Unit quantity]]),"")</f>
        <v/>
      </c>
      <c r="O31" s="238" t="str">
        <f>IF(TableOpenSpace[[#This Row],[Type of infrastructure]]&lt;&gt;"",Summary!$F$8,"")</f>
        <v/>
      </c>
      <c r="P31" s="239" t="str">
        <f>IF(TableOpenSpace[[#This Row],[Type of infrastructure]]&lt;&gt;"",Summary!$F$9,"")</f>
        <v/>
      </c>
      <c r="Q31" s="302"/>
      <c r="R31" s="188"/>
      <c r="S31" s="301"/>
      <c r="T31" s="188"/>
      <c r="U31" s="301"/>
      <c r="V31" s="338" t="str" cm="1">
        <f t="array" ref="V31">IF(N31&lt;&gt;"",_xlfn.IFS(AND(N31&gt;='Variable index'!$K$35,N31&lt;'Variable index'!$K$36),'Variable index'!$L$35,AND(N31&gt;='Variable index'!$K$36,N31&lt;'Variable index'!$K$37),'Variable index'!$L$36,AND(N31&gt;='Variable index'!$K$37,N31&lt;'Variable index'!$K$38),'Variable index'!$L$37,N31&gt;='Variable index'!$K$38,'Variable index'!$L$38),"")</f>
        <v/>
      </c>
      <c r="W31" s="240"/>
      <c r="X31" s="336" t="str" cm="1">
        <f t="array" ref="X31">IF(AND(W31&lt;&gt;"",N31&lt;&gt;""),_xlfn.IFS(W31="Yes",_xlfn.IFS(AND(N31&gt;='Variable index'!$K$35,N31&lt;'Variable index'!$K$36),'Variable index'!$M$35,AND(N31&gt;='Variable index'!$K$36,N31&lt;'Variable index'!$K$37),'Variable index'!$M$36,AND(N31&gt;='Variable index'!$K$37,N31&lt;'Variable index'!$K$38),'Variable index'!$M$37,N31&gt;='Variable index'!$K$38,'Variable index'!$M$38),W31="No",0),"")</f>
        <v/>
      </c>
      <c r="Y31" s="189"/>
      <c r="Z31" s="336" t="str" cm="1">
        <f t="array" ref="Z31">IF(Y31&lt;&gt;"",_xlfn.IFS(Y31='Variable index'!$J$53,SUM('Variable index'!$K$50:$M$50),Y31='Variable index'!$J$54,SUM('Variable index'!$L$50:$M$50),Y31='Variable index'!$J$55,SUM('Variable index'!$M$50)),"")</f>
        <v/>
      </c>
      <c r="AA31" s="339" t="str" cm="1">
        <f t="array" ref="AA31">IFERROR(N31*(1+_xlfn.XLOOKUP(O31,'Rawlinsons regional indices'!$A$2:$A$63,'Rawlinsons regional indices'!$C$2:$C$63)+Q31)+(IF(R31&lt;&gt;"",INDEX('Variable index'!$E$57:$F$65,MATCH($R31,'Variable index'!$C$57:$C$65,0),$F$12),0)*S31)+(IF(T31&lt;&gt;"",INDEX('Variable index'!$E$68:$F$73,MATCH($T31,'Variable index'!$C$68:$C$73,0),$F$12),0)*U31)+(N31*V31)+(N31*X31)+(N31*Z31),"")</f>
        <v/>
      </c>
      <c r="AB31" s="303"/>
      <c r="AC31" s="337" t="str">
        <f t="shared" si="1"/>
        <v/>
      </c>
      <c r="AD31" s="340" t="str">
        <f t="shared" si="2"/>
        <v/>
      </c>
    </row>
    <row r="32" spans="4:30" ht="12" x14ac:dyDescent="0.25">
      <c r="D32" s="216">
        <f t="shared" si="0"/>
        <v>16</v>
      </c>
      <c r="E32" s="312"/>
      <c r="F32" s="187"/>
      <c r="G32" s="185"/>
      <c r="H32" s="299">
        <f>IFERROR(_xlfn.XLOOKUP(F32,Lists!$C$69:$C$99,Lists!$D$69:$D$99),0)</f>
        <v>0</v>
      </c>
      <c r="I32" s="185"/>
      <c r="J32" s="185"/>
      <c r="K32" s="333" t="str" cm="1">
        <f t="array" ref="K32">IFERROR(IF($H32=0,INDEX('Variable index'!$E$132:$F$215,MATCH($F32,'Variable index'!$C$132:$C$215,0),$F$12),INDEX('Variable index'!$E$132:$F$215,MATCH(_xlfn.CONCAT($F32," - ",$G32),'Variable index'!$C$132:$C$215,0),$F$12)),"")</f>
        <v/>
      </c>
      <c r="L32" s="334" t="str">
        <f>IFERROR(_xlfn.CONCAT("$ per ",IF($H32=0,_xlfn.XLOOKUP($F32,'Variable index'!$C$132:$C$215,'Variable index'!$D$132:$D$215),_xlfn.XLOOKUP(_xlfn.CONCAT($F32," - ",$G32),'Variable index'!$C$132:$C$215,'Variable index'!$D$132:$D$215))),"")</f>
        <v/>
      </c>
      <c r="M32" s="301"/>
      <c r="N32" s="343" t="str">
        <f>IFERROR(IF(TableOpenSpace[[#This Row],[Unit quantity]]="","",TableOpenSpace[[#This Row],[Unit rate]]*TableOpenSpace[[#This Row],[Unit quantity]]),"")</f>
        <v/>
      </c>
      <c r="O32" s="238" t="str">
        <f>IF(TableOpenSpace[[#This Row],[Type of infrastructure]]&lt;&gt;"",Summary!$F$8,"")</f>
        <v/>
      </c>
      <c r="P32" s="239" t="str">
        <f>IF(TableOpenSpace[[#This Row],[Type of infrastructure]]&lt;&gt;"",Summary!$F$9,"")</f>
        <v/>
      </c>
      <c r="Q32" s="302"/>
      <c r="R32" s="188"/>
      <c r="S32" s="301"/>
      <c r="T32" s="188"/>
      <c r="U32" s="301"/>
      <c r="V32" s="338" t="str" cm="1">
        <f t="array" ref="V32">IF(N32&lt;&gt;"",_xlfn.IFS(AND(N32&gt;='Variable index'!$K$35,N32&lt;'Variable index'!$K$36),'Variable index'!$L$35,AND(N32&gt;='Variable index'!$K$36,N32&lt;'Variable index'!$K$37),'Variable index'!$L$36,AND(N32&gt;='Variable index'!$K$37,N32&lt;'Variable index'!$K$38),'Variable index'!$L$37,N32&gt;='Variable index'!$K$38,'Variable index'!$L$38),"")</f>
        <v/>
      </c>
      <c r="W32" s="240"/>
      <c r="X32" s="336" t="str" cm="1">
        <f t="array" ref="X32">IF(AND(W32&lt;&gt;"",N32&lt;&gt;""),_xlfn.IFS(W32="Yes",_xlfn.IFS(AND(N32&gt;='Variable index'!$K$35,N32&lt;'Variable index'!$K$36),'Variable index'!$M$35,AND(N32&gt;='Variable index'!$K$36,N32&lt;'Variable index'!$K$37),'Variable index'!$M$36,AND(N32&gt;='Variable index'!$K$37,N32&lt;'Variable index'!$K$38),'Variable index'!$M$37,N32&gt;='Variable index'!$K$38,'Variable index'!$M$38),W32="No",0),"")</f>
        <v/>
      </c>
      <c r="Y32" s="189"/>
      <c r="Z32" s="336" t="str" cm="1">
        <f t="array" ref="Z32">IF(Y32&lt;&gt;"",_xlfn.IFS(Y32='Variable index'!$J$53,SUM('Variable index'!$K$50:$M$50),Y32='Variable index'!$J$54,SUM('Variable index'!$L$50:$M$50),Y32='Variable index'!$J$55,SUM('Variable index'!$M$50)),"")</f>
        <v/>
      </c>
      <c r="AA32" s="339" t="str" cm="1">
        <f t="array" ref="AA32">IFERROR(N32*(1+_xlfn.XLOOKUP(O32,'Rawlinsons regional indices'!$A$2:$A$63,'Rawlinsons regional indices'!$C$2:$C$63)+Q32)+(IF(R32&lt;&gt;"",INDEX('Variable index'!$E$57:$F$65,MATCH($R32,'Variable index'!$C$57:$C$65,0),$F$12),0)*S32)+(IF(T32&lt;&gt;"",INDEX('Variable index'!$E$68:$F$73,MATCH($T32,'Variable index'!$C$68:$C$73,0),$F$12),0)*U32)+(N32*V32)+(N32*X32)+(N32*Z32),"")</f>
        <v/>
      </c>
      <c r="AB32" s="303"/>
      <c r="AC32" s="337" t="str">
        <f t="shared" si="1"/>
        <v/>
      </c>
      <c r="AD32" s="340" t="str">
        <f t="shared" si="2"/>
        <v/>
      </c>
    </row>
    <row r="33" spans="4:30" ht="12" x14ac:dyDescent="0.25">
      <c r="D33" s="216">
        <f t="shared" si="0"/>
        <v>17</v>
      </c>
      <c r="E33" s="312"/>
      <c r="F33" s="187"/>
      <c r="G33" s="185"/>
      <c r="H33" s="299">
        <f>IFERROR(_xlfn.XLOOKUP(F33,Lists!$C$69:$C$99,Lists!$D$69:$D$99),0)</f>
        <v>0</v>
      </c>
      <c r="I33" s="185"/>
      <c r="J33" s="185"/>
      <c r="K33" s="333" t="str" cm="1">
        <f t="array" ref="K33">IFERROR(IF($H33=0,INDEX('Variable index'!$E$132:$F$215,MATCH($F33,'Variable index'!$C$132:$C$215,0),$F$12),INDEX('Variable index'!$E$132:$F$215,MATCH(_xlfn.CONCAT($F33," - ",$G33),'Variable index'!$C$132:$C$215,0),$F$12)),"")</f>
        <v/>
      </c>
      <c r="L33" s="334" t="str">
        <f>IFERROR(_xlfn.CONCAT("$ per ",IF($H33=0,_xlfn.XLOOKUP($F33,'Variable index'!$C$132:$C$215,'Variable index'!$D$132:$D$215),_xlfn.XLOOKUP(_xlfn.CONCAT($F33," - ",$G33),'Variable index'!$C$132:$C$215,'Variable index'!$D$132:$D$215))),"")</f>
        <v/>
      </c>
      <c r="M33" s="301"/>
      <c r="N33" s="343" t="str">
        <f>IFERROR(IF(TableOpenSpace[[#This Row],[Unit quantity]]="","",TableOpenSpace[[#This Row],[Unit rate]]*TableOpenSpace[[#This Row],[Unit quantity]]),"")</f>
        <v/>
      </c>
      <c r="O33" s="238" t="str">
        <f>IF(TableOpenSpace[[#This Row],[Type of infrastructure]]&lt;&gt;"",Summary!$F$8,"")</f>
        <v/>
      </c>
      <c r="P33" s="239" t="str">
        <f>IF(TableOpenSpace[[#This Row],[Type of infrastructure]]&lt;&gt;"",Summary!$F$9,"")</f>
        <v/>
      </c>
      <c r="Q33" s="302"/>
      <c r="R33" s="188"/>
      <c r="S33" s="301"/>
      <c r="T33" s="188"/>
      <c r="U33" s="301"/>
      <c r="V33" s="338" t="str" cm="1">
        <f t="array" ref="V33">IF(N33&lt;&gt;"",_xlfn.IFS(AND(N33&gt;='Variable index'!$K$35,N33&lt;'Variable index'!$K$36),'Variable index'!$L$35,AND(N33&gt;='Variable index'!$K$36,N33&lt;'Variable index'!$K$37),'Variable index'!$L$36,AND(N33&gt;='Variable index'!$K$37,N33&lt;'Variable index'!$K$38),'Variable index'!$L$37,N33&gt;='Variable index'!$K$38,'Variable index'!$L$38),"")</f>
        <v/>
      </c>
      <c r="W33" s="240"/>
      <c r="X33" s="336" t="str" cm="1">
        <f t="array" ref="X33">IF(AND(W33&lt;&gt;"",N33&lt;&gt;""),_xlfn.IFS(W33="Yes",_xlfn.IFS(AND(N33&gt;='Variable index'!$K$35,N33&lt;'Variable index'!$K$36),'Variable index'!$M$35,AND(N33&gt;='Variable index'!$K$36,N33&lt;'Variable index'!$K$37),'Variable index'!$M$36,AND(N33&gt;='Variable index'!$K$37,N33&lt;'Variable index'!$K$38),'Variable index'!$M$37,N33&gt;='Variable index'!$K$38,'Variable index'!$M$38),W33="No",0),"")</f>
        <v/>
      </c>
      <c r="Y33" s="189"/>
      <c r="Z33" s="336" t="str" cm="1">
        <f t="array" ref="Z33">IF(Y33&lt;&gt;"",_xlfn.IFS(Y33='Variable index'!$J$53,SUM('Variable index'!$K$50:$M$50),Y33='Variable index'!$J$54,SUM('Variable index'!$L$50:$M$50),Y33='Variable index'!$J$55,SUM('Variable index'!$M$50)),"")</f>
        <v/>
      </c>
      <c r="AA33" s="339" t="str" cm="1">
        <f t="array" ref="AA33">IFERROR(N33*(1+_xlfn.XLOOKUP(O33,'Rawlinsons regional indices'!$A$2:$A$63,'Rawlinsons regional indices'!$C$2:$C$63)+Q33)+(IF(R33&lt;&gt;"",INDEX('Variable index'!$E$57:$F$65,MATCH($R33,'Variable index'!$C$57:$C$65,0),$F$12),0)*S33)+(IF(T33&lt;&gt;"",INDEX('Variable index'!$E$68:$F$73,MATCH($T33,'Variable index'!$C$68:$C$73,0),$F$12),0)*U33)+(N33*V33)+(N33*X33)+(N33*Z33),"")</f>
        <v/>
      </c>
      <c r="AB33" s="303"/>
      <c r="AC33" s="337" t="str">
        <f t="shared" si="1"/>
        <v/>
      </c>
      <c r="AD33" s="340" t="str">
        <f t="shared" si="2"/>
        <v/>
      </c>
    </row>
    <row r="34" spans="4:30" ht="12" x14ac:dyDescent="0.25">
      <c r="D34" s="216">
        <f t="shared" si="0"/>
        <v>18</v>
      </c>
      <c r="E34" s="312"/>
      <c r="F34" s="187"/>
      <c r="G34" s="185"/>
      <c r="H34" s="299">
        <f>IFERROR(_xlfn.XLOOKUP(F34,Lists!$C$69:$C$99,Lists!$D$69:$D$99),0)</f>
        <v>0</v>
      </c>
      <c r="I34" s="185"/>
      <c r="J34" s="185"/>
      <c r="K34" s="333" t="str" cm="1">
        <f t="array" ref="K34">IFERROR(IF($H34=0,INDEX('Variable index'!$E$132:$F$215,MATCH($F34,'Variable index'!$C$132:$C$215,0),$F$12),INDEX('Variable index'!$E$132:$F$215,MATCH(_xlfn.CONCAT($F34," - ",$G34),'Variable index'!$C$132:$C$215,0),$F$12)),"")</f>
        <v/>
      </c>
      <c r="L34" s="334" t="str">
        <f>IFERROR(_xlfn.CONCAT("$ per ",IF($H34=0,_xlfn.XLOOKUP($F34,'Variable index'!$C$132:$C$215,'Variable index'!$D$132:$D$215),_xlfn.XLOOKUP(_xlfn.CONCAT($F34," - ",$G34),'Variable index'!$C$132:$C$215,'Variable index'!$D$132:$D$215))),"")</f>
        <v/>
      </c>
      <c r="M34" s="301"/>
      <c r="N34" s="343" t="str">
        <f>IFERROR(IF(TableOpenSpace[[#This Row],[Unit quantity]]="","",TableOpenSpace[[#This Row],[Unit rate]]*TableOpenSpace[[#This Row],[Unit quantity]]),"")</f>
        <v/>
      </c>
      <c r="O34" s="238" t="str">
        <f>IF(TableOpenSpace[[#This Row],[Type of infrastructure]]&lt;&gt;"",Summary!$F$8,"")</f>
        <v/>
      </c>
      <c r="P34" s="239" t="str">
        <f>IF(TableOpenSpace[[#This Row],[Type of infrastructure]]&lt;&gt;"",Summary!$F$9,"")</f>
        <v/>
      </c>
      <c r="Q34" s="302"/>
      <c r="R34" s="188"/>
      <c r="S34" s="301"/>
      <c r="T34" s="188"/>
      <c r="U34" s="301"/>
      <c r="V34" s="338" t="str" cm="1">
        <f t="array" ref="V34">IF(N34&lt;&gt;"",_xlfn.IFS(AND(N34&gt;='Variable index'!$K$35,N34&lt;'Variable index'!$K$36),'Variable index'!$L$35,AND(N34&gt;='Variable index'!$K$36,N34&lt;'Variable index'!$K$37),'Variable index'!$L$36,AND(N34&gt;='Variable index'!$K$37,N34&lt;'Variable index'!$K$38),'Variable index'!$L$37,N34&gt;='Variable index'!$K$38,'Variable index'!$L$38),"")</f>
        <v/>
      </c>
      <c r="W34" s="240"/>
      <c r="X34" s="336" t="str" cm="1">
        <f t="array" ref="X34">IF(AND(W34&lt;&gt;"",N34&lt;&gt;""),_xlfn.IFS(W34="Yes",_xlfn.IFS(AND(N34&gt;='Variable index'!$K$35,N34&lt;'Variable index'!$K$36),'Variable index'!$M$35,AND(N34&gt;='Variable index'!$K$36,N34&lt;'Variable index'!$K$37),'Variable index'!$M$36,AND(N34&gt;='Variable index'!$K$37,N34&lt;'Variable index'!$K$38),'Variable index'!$M$37,N34&gt;='Variable index'!$K$38,'Variable index'!$M$38),W34="No",0),"")</f>
        <v/>
      </c>
      <c r="Y34" s="189"/>
      <c r="Z34" s="336" t="str" cm="1">
        <f t="array" ref="Z34">IF(Y34&lt;&gt;"",_xlfn.IFS(Y34='Variable index'!$J$53,SUM('Variable index'!$K$50:$M$50),Y34='Variable index'!$J$54,SUM('Variable index'!$L$50:$M$50),Y34='Variable index'!$J$55,SUM('Variable index'!$M$50)),"")</f>
        <v/>
      </c>
      <c r="AA34" s="339" t="str" cm="1">
        <f t="array" ref="AA34">IFERROR(N34*(1+_xlfn.XLOOKUP(O34,'Rawlinsons regional indices'!$A$2:$A$63,'Rawlinsons regional indices'!$C$2:$C$63)+Q34)+(IF(R34&lt;&gt;"",INDEX('Variable index'!$E$57:$F$65,MATCH($R34,'Variable index'!$C$57:$C$65,0),$F$12),0)*S34)+(IF(T34&lt;&gt;"",INDEX('Variable index'!$E$68:$F$73,MATCH($T34,'Variable index'!$C$68:$C$73,0),$F$12),0)*U34)+(N34*V34)+(N34*X34)+(N34*Z34),"")</f>
        <v/>
      </c>
      <c r="AB34" s="303"/>
      <c r="AC34" s="337" t="str">
        <f t="shared" si="1"/>
        <v/>
      </c>
      <c r="AD34" s="340" t="str">
        <f t="shared" si="2"/>
        <v/>
      </c>
    </row>
    <row r="35" spans="4:30" ht="12" x14ac:dyDescent="0.25">
      <c r="D35" s="216">
        <f t="shared" si="0"/>
        <v>19</v>
      </c>
      <c r="E35" s="312"/>
      <c r="F35" s="187"/>
      <c r="G35" s="185"/>
      <c r="H35" s="299">
        <f>IFERROR(_xlfn.XLOOKUP(F35,Lists!$C$69:$C$99,Lists!$D$69:$D$99),0)</f>
        <v>0</v>
      </c>
      <c r="I35" s="185"/>
      <c r="J35" s="185"/>
      <c r="K35" s="333" t="str" cm="1">
        <f t="array" ref="K35">IFERROR(IF($H35=0,INDEX('Variable index'!$E$132:$F$215,MATCH($F35,'Variable index'!$C$132:$C$215,0),$F$12),INDEX('Variable index'!$E$132:$F$215,MATCH(_xlfn.CONCAT($F35," - ",$G35),'Variable index'!$C$132:$C$215,0),$F$12)),"")</f>
        <v/>
      </c>
      <c r="L35" s="334" t="str">
        <f>IFERROR(_xlfn.CONCAT("$ per ",IF($H35=0,_xlfn.XLOOKUP($F35,'Variable index'!$C$132:$C$215,'Variable index'!$D$132:$D$215),_xlfn.XLOOKUP(_xlfn.CONCAT($F35," - ",$G35),'Variable index'!$C$132:$C$215,'Variable index'!$D$132:$D$215))),"")</f>
        <v/>
      </c>
      <c r="M35" s="301"/>
      <c r="N35" s="343" t="str">
        <f>IFERROR(IF(TableOpenSpace[[#This Row],[Unit quantity]]="","",TableOpenSpace[[#This Row],[Unit rate]]*TableOpenSpace[[#This Row],[Unit quantity]]),"")</f>
        <v/>
      </c>
      <c r="O35" s="238" t="str">
        <f>IF(TableOpenSpace[[#This Row],[Type of infrastructure]]&lt;&gt;"",Summary!$F$8,"")</f>
        <v/>
      </c>
      <c r="P35" s="239" t="str">
        <f>IF(TableOpenSpace[[#This Row],[Type of infrastructure]]&lt;&gt;"",Summary!$F$9,"")</f>
        <v/>
      </c>
      <c r="Q35" s="302"/>
      <c r="R35" s="188"/>
      <c r="S35" s="301"/>
      <c r="T35" s="188"/>
      <c r="U35" s="301"/>
      <c r="V35" s="338" t="str" cm="1">
        <f t="array" ref="V35">IF(N35&lt;&gt;"",_xlfn.IFS(AND(N35&gt;='Variable index'!$K$35,N35&lt;'Variable index'!$K$36),'Variable index'!$L$35,AND(N35&gt;='Variable index'!$K$36,N35&lt;'Variable index'!$K$37),'Variable index'!$L$36,AND(N35&gt;='Variable index'!$K$37,N35&lt;'Variable index'!$K$38),'Variable index'!$L$37,N35&gt;='Variable index'!$K$38,'Variable index'!$L$38),"")</f>
        <v/>
      </c>
      <c r="W35" s="240"/>
      <c r="X35" s="336" t="str" cm="1">
        <f t="array" ref="X35">IF(AND(W35&lt;&gt;"",N35&lt;&gt;""),_xlfn.IFS(W35="Yes",_xlfn.IFS(AND(N35&gt;='Variable index'!$K$35,N35&lt;'Variable index'!$K$36),'Variable index'!$M$35,AND(N35&gt;='Variable index'!$K$36,N35&lt;'Variable index'!$K$37),'Variable index'!$M$36,AND(N35&gt;='Variable index'!$K$37,N35&lt;'Variable index'!$K$38),'Variable index'!$M$37,N35&gt;='Variable index'!$K$38,'Variable index'!$M$38),W35="No",0),"")</f>
        <v/>
      </c>
      <c r="Y35" s="189"/>
      <c r="Z35" s="336" t="str" cm="1">
        <f t="array" ref="Z35">IF(Y35&lt;&gt;"",_xlfn.IFS(Y35='Variable index'!$J$53,SUM('Variable index'!$K$50:$M$50),Y35='Variable index'!$J$54,SUM('Variable index'!$L$50:$M$50),Y35='Variable index'!$J$55,SUM('Variable index'!$M$50)),"")</f>
        <v/>
      </c>
      <c r="AA35" s="339" t="str" cm="1">
        <f t="array" ref="AA35">IFERROR(N35*(1+_xlfn.XLOOKUP(O35,'Rawlinsons regional indices'!$A$2:$A$63,'Rawlinsons regional indices'!$C$2:$C$63)+Q35)+(IF(R35&lt;&gt;"",INDEX('Variable index'!$E$57:$F$65,MATCH($R35,'Variable index'!$C$57:$C$65,0),$F$12),0)*S35)+(IF(T35&lt;&gt;"",INDEX('Variable index'!$E$68:$F$73,MATCH($T35,'Variable index'!$C$68:$C$73,0),$F$12),0)*U35)+(N35*V35)+(N35*X35)+(N35*Z35),"")</f>
        <v/>
      </c>
      <c r="AB35" s="303"/>
      <c r="AC35" s="337" t="str">
        <f t="shared" si="1"/>
        <v/>
      </c>
      <c r="AD35" s="340" t="str">
        <f t="shared" si="2"/>
        <v/>
      </c>
    </row>
    <row r="36" spans="4:30" ht="12" x14ac:dyDescent="0.25">
      <c r="D36" s="216">
        <f t="shared" si="0"/>
        <v>20</v>
      </c>
      <c r="E36" s="312"/>
      <c r="F36" s="187"/>
      <c r="G36" s="185"/>
      <c r="H36" s="299">
        <f>IFERROR(_xlfn.XLOOKUP(F36,Lists!$C$69:$C$99,Lists!$D$69:$D$99),0)</f>
        <v>0</v>
      </c>
      <c r="I36" s="185"/>
      <c r="J36" s="185"/>
      <c r="K36" s="333" t="str" cm="1">
        <f t="array" ref="K36">IFERROR(IF($H36=0,INDEX('Variable index'!$E$132:$F$215,MATCH($F36,'Variable index'!$C$132:$C$215,0),$F$12),INDEX('Variable index'!$E$132:$F$215,MATCH(_xlfn.CONCAT($F36," - ",$G36),'Variable index'!$C$132:$C$215,0),$F$12)),"")</f>
        <v/>
      </c>
      <c r="L36" s="334" t="str">
        <f>IFERROR(_xlfn.CONCAT("$ per ",IF($H36=0,_xlfn.XLOOKUP($F36,'Variable index'!$C$132:$C$215,'Variable index'!$D$132:$D$215),_xlfn.XLOOKUP(_xlfn.CONCAT($F36," - ",$G36),'Variable index'!$C$132:$C$215,'Variable index'!$D$132:$D$215))),"")</f>
        <v/>
      </c>
      <c r="M36" s="301"/>
      <c r="N36" s="343" t="str">
        <f>IFERROR(IF(TableOpenSpace[[#This Row],[Unit quantity]]="","",TableOpenSpace[[#This Row],[Unit rate]]*TableOpenSpace[[#This Row],[Unit quantity]]),"")</f>
        <v/>
      </c>
      <c r="O36" s="238" t="str">
        <f>IF(TableOpenSpace[[#This Row],[Type of infrastructure]]&lt;&gt;"",Summary!$F$8,"")</f>
        <v/>
      </c>
      <c r="P36" s="239" t="str">
        <f>IF(TableOpenSpace[[#This Row],[Type of infrastructure]]&lt;&gt;"",Summary!$F$9,"")</f>
        <v/>
      </c>
      <c r="Q36" s="302"/>
      <c r="R36" s="188"/>
      <c r="S36" s="301"/>
      <c r="T36" s="188"/>
      <c r="U36" s="301"/>
      <c r="V36" s="338" t="str" cm="1">
        <f t="array" ref="V36">IF(N36&lt;&gt;"",_xlfn.IFS(AND(N36&gt;='Variable index'!$K$35,N36&lt;'Variable index'!$K$36),'Variable index'!$L$35,AND(N36&gt;='Variable index'!$K$36,N36&lt;'Variable index'!$K$37),'Variable index'!$L$36,AND(N36&gt;='Variable index'!$K$37,N36&lt;'Variable index'!$K$38),'Variable index'!$L$37,N36&gt;='Variable index'!$K$38,'Variable index'!$L$38),"")</f>
        <v/>
      </c>
      <c r="W36" s="240"/>
      <c r="X36" s="336" t="str" cm="1">
        <f t="array" ref="X36">IF(AND(W36&lt;&gt;"",N36&lt;&gt;""),_xlfn.IFS(W36="Yes",_xlfn.IFS(AND(N36&gt;='Variable index'!$K$35,N36&lt;'Variable index'!$K$36),'Variable index'!$M$35,AND(N36&gt;='Variable index'!$K$36,N36&lt;'Variable index'!$K$37),'Variable index'!$M$36,AND(N36&gt;='Variable index'!$K$37,N36&lt;'Variable index'!$K$38),'Variable index'!$M$37,N36&gt;='Variable index'!$K$38,'Variable index'!$M$38),W36="No",0),"")</f>
        <v/>
      </c>
      <c r="Y36" s="189"/>
      <c r="Z36" s="336" t="str" cm="1">
        <f t="array" ref="Z36">IF(Y36&lt;&gt;"",_xlfn.IFS(Y36='Variable index'!$J$53,SUM('Variable index'!$K$50:$M$50),Y36='Variable index'!$J$54,SUM('Variable index'!$L$50:$M$50),Y36='Variable index'!$J$55,SUM('Variable index'!$M$50)),"")</f>
        <v/>
      </c>
      <c r="AA36" s="339" t="str" cm="1">
        <f t="array" ref="AA36">IFERROR(N36*(1+_xlfn.XLOOKUP(O36,'Rawlinsons regional indices'!$A$2:$A$63,'Rawlinsons regional indices'!$C$2:$C$63)+Q36)+(IF(R36&lt;&gt;"",INDEX('Variable index'!$E$57:$F$65,MATCH($R36,'Variable index'!$C$57:$C$65,0),$F$12),0)*S36)+(IF(T36&lt;&gt;"",INDEX('Variable index'!$E$68:$F$73,MATCH($T36,'Variable index'!$C$68:$C$73,0),$F$12),0)*U36)+(N36*V36)+(N36*X36)+(N36*Z36),"")</f>
        <v/>
      </c>
      <c r="AB36" s="303"/>
      <c r="AC36" s="337" t="str">
        <f t="shared" si="1"/>
        <v/>
      </c>
      <c r="AD36" s="340" t="str">
        <f t="shared" si="2"/>
        <v/>
      </c>
    </row>
    <row r="37" spans="4:30" ht="12" x14ac:dyDescent="0.25">
      <c r="D37" s="216">
        <f t="shared" si="0"/>
        <v>21</v>
      </c>
      <c r="E37" s="312"/>
      <c r="F37" s="187"/>
      <c r="G37" s="185"/>
      <c r="H37" s="299">
        <f>IFERROR(_xlfn.XLOOKUP(F37,Lists!$C$69:$C$99,Lists!$D$69:$D$99),0)</f>
        <v>0</v>
      </c>
      <c r="I37" s="185"/>
      <c r="J37" s="185"/>
      <c r="K37" s="333" t="str" cm="1">
        <f t="array" ref="K37">IFERROR(IF($H37=0,INDEX('Variable index'!$E$132:$F$215,MATCH($F37,'Variable index'!$C$132:$C$215,0),$F$12),INDEX('Variable index'!$E$132:$F$215,MATCH(_xlfn.CONCAT($F37," - ",$G37),'Variable index'!$C$132:$C$215,0),$F$12)),"")</f>
        <v/>
      </c>
      <c r="L37" s="334" t="str">
        <f>IFERROR(_xlfn.CONCAT("$ per ",IF($H37=0,_xlfn.XLOOKUP($F37,'Variable index'!$C$132:$C$215,'Variable index'!$D$132:$D$215),_xlfn.XLOOKUP(_xlfn.CONCAT($F37," - ",$G37),'Variable index'!$C$132:$C$215,'Variable index'!$D$132:$D$215))),"")</f>
        <v/>
      </c>
      <c r="M37" s="301"/>
      <c r="N37" s="343" t="str">
        <f>IFERROR(IF(TableOpenSpace[[#This Row],[Unit quantity]]="","",TableOpenSpace[[#This Row],[Unit rate]]*TableOpenSpace[[#This Row],[Unit quantity]]),"")</f>
        <v/>
      </c>
      <c r="O37" s="238" t="str">
        <f>IF(TableOpenSpace[[#This Row],[Type of infrastructure]]&lt;&gt;"",Summary!$F$8,"")</f>
        <v/>
      </c>
      <c r="P37" s="239" t="str">
        <f>IF(TableOpenSpace[[#This Row],[Type of infrastructure]]&lt;&gt;"",Summary!$F$9,"")</f>
        <v/>
      </c>
      <c r="Q37" s="302"/>
      <c r="R37" s="188"/>
      <c r="S37" s="301"/>
      <c r="T37" s="188"/>
      <c r="U37" s="301"/>
      <c r="V37" s="338" t="str" cm="1">
        <f t="array" ref="V37">IF(N37&lt;&gt;"",_xlfn.IFS(AND(N37&gt;='Variable index'!$K$35,N37&lt;'Variable index'!$K$36),'Variable index'!$L$35,AND(N37&gt;='Variable index'!$K$36,N37&lt;'Variable index'!$K$37),'Variable index'!$L$36,AND(N37&gt;='Variable index'!$K$37,N37&lt;'Variable index'!$K$38),'Variable index'!$L$37,N37&gt;='Variable index'!$K$38,'Variable index'!$L$38),"")</f>
        <v/>
      </c>
      <c r="W37" s="240"/>
      <c r="X37" s="336" t="str" cm="1">
        <f t="array" ref="X37">IF(AND(W37&lt;&gt;"",N37&lt;&gt;""),_xlfn.IFS(W37="Yes",_xlfn.IFS(AND(N37&gt;='Variable index'!$K$35,N37&lt;'Variable index'!$K$36),'Variable index'!$M$35,AND(N37&gt;='Variable index'!$K$36,N37&lt;'Variable index'!$K$37),'Variable index'!$M$36,AND(N37&gt;='Variable index'!$K$37,N37&lt;'Variable index'!$K$38),'Variable index'!$M$37,N37&gt;='Variable index'!$K$38,'Variable index'!$M$38),W37="No",0),"")</f>
        <v/>
      </c>
      <c r="Y37" s="189"/>
      <c r="Z37" s="336" t="str" cm="1">
        <f t="array" ref="Z37">IF(Y37&lt;&gt;"",_xlfn.IFS(Y37='Variable index'!$J$53,SUM('Variable index'!$K$50:$M$50),Y37='Variable index'!$J$54,SUM('Variable index'!$L$50:$M$50),Y37='Variable index'!$J$55,SUM('Variable index'!$M$50)),"")</f>
        <v/>
      </c>
      <c r="AA37" s="339" t="str" cm="1">
        <f t="array" ref="AA37">IFERROR(N37*(1+_xlfn.XLOOKUP(O37,'Rawlinsons regional indices'!$A$2:$A$63,'Rawlinsons regional indices'!$C$2:$C$63)+Q37)+(IF(R37&lt;&gt;"",INDEX('Variable index'!$E$57:$F$65,MATCH($R37,'Variable index'!$C$57:$C$65,0),$F$12),0)*S37)+(IF(T37&lt;&gt;"",INDEX('Variable index'!$E$68:$F$73,MATCH($T37,'Variable index'!$C$68:$C$73,0),$F$12),0)*U37)+(N37*V37)+(N37*X37)+(N37*Z37),"")</f>
        <v/>
      </c>
      <c r="AB37" s="303"/>
      <c r="AC37" s="337" t="str">
        <f t="shared" si="1"/>
        <v/>
      </c>
      <c r="AD37" s="340" t="str">
        <f t="shared" si="2"/>
        <v/>
      </c>
    </row>
    <row r="38" spans="4:30" ht="12" x14ac:dyDescent="0.25">
      <c r="D38" s="216">
        <f t="shared" si="0"/>
        <v>22</v>
      </c>
      <c r="E38" s="312"/>
      <c r="F38" s="187"/>
      <c r="G38" s="185"/>
      <c r="H38" s="299">
        <f>IFERROR(_xlfn.XLOOKUP(F38,Lists!$C$69:$C$99,Lists!$D$69:$D$99),0)</f>
        <v>0</v>
      </c>
      <c r="I38" s="185"/>
      <c r="J38" s="185"/>
      <c r="K38" s="333" t="str" cm="1">
        <f t="array" ref="K38">IFERROR(IF($H38=0,INDEX('Variable index'!$E$132:$F$215,MATCH($F38,'Variable index'!$C$132:$C$215,0),$F$12),INDEX('Variable index'!$E$132:$F$215,MATCH(_xlfn.CONCAT($F38," - ",$G38),'Variable index'!$C$132:$C$215,0),$F$12)),"")</f>
        <v/>
      </c>
      <c r="L38" s="334" t="str">
        <f>IFERROR(_xlfn.CONCAT("$ per ",IF($H38=0,_xlfn.XLOOKUP($F38,'Variable index'!$C$132:$C$215,'Variable index'!$D$132:$D$215),_xlfn.XLOOKUP(_xlfn.CONCAT($F38," - ",$G38),'Variable index'!$C$132:$C$215,'Variable index'!$D$132:$D$215))),"")</f>
        <v/>
      </c>
      <c r="M38" s="301"/>
      <c r="N38" s="343" t="str">
        <f>IFERROR(IF(TableOpenSpace[[#This Row],[Unit quantity]]="","",TableOpenSpace[[#This Row],[Unit rate]]*TableOpenSpace[[#This Row],[Unit quantity]]),"")</f>
        <v/>
      </c>
      <c r="O38" s="238" t="str">
        <f>IF(TableOpenSpace[[#This Row],[Type of infrastructure]]&lt;&gt;"",Summary!$F$8,"")</f>
        <v/>
      </c>
      <c r="P38" s="239" t="str">
        <f>IF(TableOpenSpace[[#This Row],[Type of infrastructure]]&lt;&gt;"",Summary!$F$9,"")</f>
        <v/>
      </c>
      <c r="Q38" s="302"/>
      <c r="R38" s="188"/>
      <c r="S38" s="301"/>
      <c r="T38" s="188"/>
      <c r="U38" s="301"/>
      <c r="V38" s="338" t="str" cm="1">
        <f t="array" ref="V38">IF(N38&lt;&gt;"",_xlfn.IFS(AND(N38&gt;='Variable index'!$K$35,N38&lt;'Variable index'!$K$36),'Variable index'!$L$35,AND(N38&gt;='Variable index'!$K$36,N38&lt;'Variable index'!$K$37),'Variable index'!$L$36,AND(N38&gt;='Variable index'!$K$37,N38&lt;'Variable index'!$K$38),'Variable index'!$L$37,N38&gt;='Variable index'!$K$38,'Variable index'!$L$38),"")</f>
        <v/>
      </c>
      <c r="W38" s="240"/>
      <c r="X38" s="336" t="str" cm="1">
        <f t="array" ref="X38">IF(AND(W38&lt;&gt;"",N38&lt;&gt;""),_xlfn.IFS(W38="Yes",_xlfn.IFS(AND(N38&gt;='Variable index'!$K$35,N38&lt;'Variable index'!$K$36),'Variable index'!$M$35,AND(N38&gt;='Variable index'!$K$36,N38&lt;'Variable index'!$K$37),'Variable index'!$M$36,AND(N38&gt;='Variable index'!$K$37,N38&lt;'Variable index'!$K$38),'Variable index'!$M$37,N38&gt;='Variable index'!$K$38,'Variable index'!$M$38),W38="No",0),"")</f>
        <v/>
      </c>
      <c r="Y38" s="189"/>
      <c r="Z38" s="336" t="str" cm="1">
        <f t="array" ref="Z38">IF(Y38&lt;&gt;"",_xlfn.IFS(Y38='Variable index'!$J$53,SUM('Variable index'!$K$50:$M$50),Y38='Variable index'!$J$54,SUM('Variable index'!$L$50:$M$50),Y38='Variable index'!$J$55,SUM('Variable index'!$M$50)),"")</f>
        <v/>
      </c>
      <c r="AA38" s="339" t="str" cm="1">
        <f t="array" ref="AA38">IFERROR(N38*(1+_xlfn.XLOOKUP(O38,'Rawlinsons regional indices'!$A$2:$A$63,'Rawlinsons regional indices'!$C$2:$C$63)+Q38)+(IF(R38&lt;&gt;"",INDEX('Variable index'!$E$57:$F$65,MATCH($R38,'Variable index'!$C$57:$C$65,0),$F$12),0)*S38)+(IF(T38&lt;&gt;"",INDEX('Variable index'!$E$68:$F$73,MATCH($T38,'Variable index'!$C$68:$C$73,0),$F$12),0)*U38)+(N38*V38)+(N38*X38)+(N38*Z38),"")</f>
        <v/>
      </c>
      <c r="AB38" s="303"/>
      <c r="AC38" s="337" t="str">
        <f t="shared" si="1"/>
        <v/>
      </c>
      <c r="AD38" s="340" t="str">
        <f t="shared" si="2"/>
        <v/>
      </c>
    </row>
    <row r="39" spans="4:30" ht="12" x14ac:dyDescent="0.25">
      <c r="D39" s="216">
        <f t="shared" si="0"/>
        <v>23</v>
      </c>
      <c r="E39" s="312"/>
      <c r="F39" s="187"/>
      <c r="G39" s="185"/>
      <c r="H39" s="299">
        <f>IFERROR(_xlfn.XLOOKUP(F39,Lists!$C$69:$C$99,Lists!$D$69:$D$99),0)</f>
        <v>0</v>
      </c>
      <c r="I39" s="185"/>
      <c r="J39" s="185"/>
      <c r="K39" s="333" t="str" cm="1">
        <f t="array" ref="K39">IFERROR(IF($H39=0,INDEX('Variable index'!$E$132:$F$215,MATCH($F39,'Variable index'!$C$132:$C$215,0),$F$12),INDEX('Variable index'!$E$132:$F$215,MATCH(_xlfn.CONCAT($F39," - ",$G39),'Variable index'!$C$132:$C$215,0),$F$12)),"")</f>
        <v/>
      </c>
      <c r="L39" s="334" t="str">
        <f>IFERROR(_xlfn.CONCAT("$ per ",IF($H39=0,_xlfn.XLOOKUP($F39,'Variable index'!$C$132:$C$215,'Variable index'!$D$132:$D$215),_xlfn.XLOOKUP(_xlfn.CONCAT($F39," - ",$G39),'Variable index'!$C$132:$C$215,'Variable index'!$D$132:$D$215))),"")</f>
        <v/>
      </c>
      <c r="M39" s="301"/>
      <c r="N39" s="343" t="str">
        <f>IFERROR(IF(TableOpenSpace[[#This Row],[Unit quantity]]="","",TableOpenSpace[[#This Row],[Unit rate]]*TableOpenSpace[[#This Row],[Unit quantity]]),"")</f>
        <v/>
      </c>
      <c r="O39" s="238" t="str">
        <f>IF(TableOpenSpace[[#This Row],[Type of infrastructure]]&lt;&gt;"",Summary!$F$8,"")</f>
        <v/>
      </c>
      <c r="P39" s="239" t="str">
        <f>IF(TableOpenSpace[[#This Row],[Type of infrastructure]]&lt;&gt;"",Summary!$F$9,"")</f>
        <v/>
      </c>
      <c r="Q39" s="302"/>
      <c r="R39" s="188"/>
      <c r="S39" s="301"/>
      <c r="T39" s="188"/>
      <c r="U39" s="301"/>
      <c r="V39" s="338" t="str" cm="1">
        <f t="array" ref="V39">IF(N39&lt;&gt;"",_xlfn.IFS(AND(N39&gt;='Variable index'!$K$35,N39&lt;'Variable index'!$K$36),'Variable index'!$L$35,AND(N39&gt;='Variable index'!$K$36,N39&lt;'Variable index'!$K$37),'Variable index'!$L$36,AND(N39&gt;='Variable index'!$K$37,N39&lt;'Variable index'!$K$38),'Variable index'!$L$37,N39&gt;='Variable index'!$K$38,'Variable index'!$L$38),"")</f>
        <v/>
      </c>
      <c r="W39" s="240"/>
      <c r="X39" s="336" t="str" cm="1">
        <f t="array" ref="X39">IF(AND(W39&lt;&gt;"",N39&lt;&gt;""),_xlfn.IFS(W39="Yes",_xlfn.IFS(AND(N39&gt;='Variable index'!$K$35,N39&lt;'Variable index'!$K$36),'Variable index'!$M$35,AND(N39&gt;='Variable index'!$K$36,N39&lt;'Variable index'!$K$37),'Variable index'!$M$36,AND(N39&gt;='Variable index'!$K$37,N39&lt;'Variable index'!$K$38),'Variable index'!$M$37,N39&gt;='Variable index'!$K$38,'Variable index'!$M$38),W39="No",0),"")</f>
        <v/>
      </c>
      <c r="Y39" s="189"/>
      <c r="Z39" s="336" t="str" cm="1">
        <f t="array" ref="Z39">IF(Y39&lt;&gt;"",_xlfn.IFS(Y39='Variable index'!$J$53,SUM('Variable index'!$K$50:$M$50),Y39='Variable index'!$J$54,SUM('Variable index'!$L$50:$M$50),Y39='Variable index'!$J$55,SUM('Variable index'!$M$50)),"")</f>
        <v/>
      </c>
      <c r="AA39" s="339" t="str" cm="1">
        <f t="array" ref="AA39">IFERROR(N39*(1+_xlfn.XLOOKUP(O39,'Rawlinsons regional indices'!$A$2:$A$63,'Rawlinsons regional indices'!$C$2:$C$63)+Q39)+(IF(R39&lt;&gt;"",INDEX('Variable index'!$E$57:$F$65,MATCH($R39,'Variable index'!$C$57:$C$65,0),$F$12),0)*S39)+(IF(T39&lt;&gt;"",INDEX('Variable index'!$E$68:$F$73,MATCH($T39,'Variable index'!$C$68:$C$73,0),$F$12),0)*U39)+(N39*V39)+(N39*X39)+(N39*Z39),"")</f>
        <v/>
      </c>
      <c r="AB39" s="303"/>
      <c r="AC39" s="337" t="str">
        <f t="shared" si="1"/>
        <v/>
      </c>
      <c r="AD39" s="340" t="str">
        <f t="shared" si="2"/>
        <v/>
      </c>
    </row>
    <row r="40" spans="4:30" ht="12" x14ac:dyDescent="0.25">
      <c r="D40" s="216">
        <f t="shared" si="0"/>
        <v>24</v>
      </c>
      <c r="E40" s="312"/>
      <c r="F40" s="187"/>
      <c r="G40" s="185"/>
      <c r="H40" s="299">
        <f>IFERROR(_xlfn.XLOOKUP(F40,Lists!$C$69:$C$99,Lists!$D$69:$D$99),0)</f>
        <v>0</v>
      </c>
      <c r="I40" s="185"/>
      <c r="J40" s="185"/>
      <c r="K40" s="333" t="str" cm="1">
        <f t="array" ref="K40">IFERROR(IF($H40=0,INDEX('Variable index'!$E$132:$F$215,MATCH($F40,'Variable index'!$C$132:$C$215,0),$F$12),INDEX('Variable index'!$E$132:$F$215,MATCH(_xlfn.CONCAT($F40," - ",$G40),'Variable index'!$C$132:$C$215,0),$F$12)),"")</f>
        <v/>
      </c>
      <c r="L40" s="334" t="str">
        <f>IFERROR(_xlfn.CONCAT("$ per ",IF($H40=0,_xlfn.XLOOKUP($F40,'Variable index'!$C$132:$C$215,'Variable index'!$D$132:$D$215),_xlfn.XLOOKUP(_xlfn.CONCAT($F40," - ",$G40),'Variable index'!$C$132:$C$215,'Variable index'!$D$132:$D$215))),"")</f>
        <v/>
      </c>
      <c r="M40" s="301"/>
      <c r="N40" s="343" t="str">
        <f>IFERROR(IF(TableOpenSpace[[#This Row],[Unit quantity]]="","",TableOpenSpace[[#This Row],[Unit rate]]*TableOpenSpace[[#This Row],[Unit quantity]]),"")</f>
        <v/>
      </c>
      <c r="O40" s="238" t="str">
        <f>IF(TableOpenSpace[[#This Row],[Type of infrastructure]]&lt;&gt;"",Summary!$F$8,"")</f>
        <v/>
      </c>
      <c r="P40" s="239" t="str">
        <f>IF(TableOpenSpace[[#This Row],[Type of infrastructure]]&lt;&gt;"",Summary!$F$9,"")</f>
        <v/>
      </c>
      <c r="Q40" s="302"/>
      <c r="R40" s="188"/>
      <c r="S40" s="301"/>
      <c r="T40" s="188"/>
      <c r="U40" s="301"/>
      <c r="V40" s="338" t="str" cm="1">
        <f t="array" ref="V40">IF(N40&lt;&gt;"",_xlfn.IFS(AND(N40&gt;='Variable index'!$K$35,N40&lt;'Variable index'!$K$36),'Variable index'!$L$35,AND(N40&gt;='Variable index'!$K$36,N40&lt;'Variable index'!$K$37),'Variable index'!$L$36,AND(N40&gt;='Variable index'!$K$37,N40&lt;'Variable index'!$K$38),'Variable index'!$L$37,N40&gt;='Variable index'!$K$38,'Variable index'!$L$38),"")</f>
        <v/>
      </c>
      <c r="W40" s="240"/>
      <c r="X40" s="336" t="str" cm="1">
        <f t="array" ref="X40">IF(AND(W40&lt;&gt;"",N40&lt;&gt;""),_xlfn.IFS(W40="Yes",_xlfn.IFS(AND(N40&gt;='Variable index'!$K$35,N40&lt;'Variable index'!$K$36),'Variable index'!$M$35,AND(N40&gt;='Variable index'!$K$36,N40&lt;'Variable index'!$K$37),'Variable index'!$M$36,AND(N40&gt;='Variable index'!$K$37,N40&lt;'Variable index'!$K$38),'Variable index'!$M$37,N40&gt;='Variable index'!$K$38,'Variable index'!$M$38),W40="No",0),"")</f>
        <v/>
      </c>
      <c r="Y40" s="189"/>
      <c r="Z40" s="336" t="str" cm="1">
        <f t="array" ref="Z40">IF(Y40&lt;&gt;"",_xlfn.IFS(Y40='Variable index'!$J$53,SUM('Variable index'!$K$50:$M$50),Y40='Variable index'!$J$54,SUM('Variable index'!$L$50:$M$50),Y40='Variable index'!$J$55,SUM('Variable index'!$M$50)),"")</f>
        <v/>
      </c>
      <c r="AA40" s="339" t="str" cm="1">
        <f t="array" ref="AA40">IFERROR(N40*(1+_xlfn.XLOOKUP(O40,'Rawlinsons regional indices'!$A$2:$A$63,'Rawlinsons regional indices'!$C$2:$C$63)+Q40)+(IF(R40&lt;&gt;"",INDEX('Variable index'!$E$57:$F$65,MATCH($R40,'Variable index'!$C$57:$C$65,0),$F$12),0)*S40)+(IF(T40&lt;&gt;"",INDEX('Variable index'!$E$68:$F$73,MATCH($T40,'Variable index'!$C$68:$C$73,0),$F$12),0)*U40)+(N40*V40)+(N40*X40)+(N40*Z40),"")</f>
        <v/>
      </c>
      <c r="AB40" s="303"/>
      <c r="AC40" s="337" t="str">
        <f t="shared" si="1"/>
        <v/>
      </c>
      <c r="AD40" s="340" t="str">
        <f t="shared" si="2"/>
        <v/>
      </c>
    </row>
    <row r="41" spans="4:30" ht="12" x14ac:dyDescent="0.25">
      <c r="D41" s="216">
        <f t="shared" si="0"/>
        <v>25</v>
      </c>
      <c r="E41" s="312"/>
      <c r="F41" s="187"/>
      <c r="G41" s="185"/>
      <c r="H41" s="299">
        <f>IFERROR(_xlfn.XLOOKUP(F41,Lists!$C$69:$C$99,Lists!$D$69:$D$99),0)</f>
        <v>0</v>
      </c>
      <c r="I41" s="185"/>
      <c r="J41" s="185"/>
      <c r="K41" s="333" t="str" cm="1">
        <f t="array" ref="K41">IFERROR(IF($H41=0,INDEX('Variable index'!$E$132:$F$215,MATCH($F41,'Variable index'!$C$132:$C$215,0),$F$12),INDEX('Variable index'!$E$132:$F$215,MATCH(_xlfn.CONCAT($F41," - ",$G41),'Variable index'!$C$132:$C$215,0),$F$12)),"")</f>
        <v/>
      </c>
      <c r="L41" s="334" t="str">
        <f>IFERROR(_xlfn.CONCAT("$ per ",IF($H41=0,_xlfn.XLOOKUP($F41,'Variable index'!$C$132:$C$215,'Variable index'!$D$132:$D$215),_xlfn.XLOOKUP(_xlfn.CONCAT($F41," - ",$G41),'Variable index'!$C$132:$C$215,'Variable index'!$D$132:$D$215))),"")</f>
        <v/>
      </c>
      <c r="M41" s="301"/>
      <c r="N41" s="343" t="str">
        <f>IFERROR(IF(TableOpenSpace[[#This Row],[Unit quantity]]="","",TableOpenSpace[[#This Row],[Unit rate]]*TableOpenSpace[[#This Row],[Unit quantity]]),"")</f>
        <v/>
      </c>
      <c r="O41" s="238" t="str">
        <f>IF(TableOpenSpace[[#This Row],[Type of infrastructure]]&lt;&gt;"",Summary!$F$8,"")</f>
        <v/>
      </c>
      <c r="P41" s="239" t="str">
        <f>IF(TableOpenSpace[[#This Row],[Type of infrastructure]]&lt;&gt;"",Summary!$F$9,"")</f>
        <v/>
      </c>
      <c r="Q41" s="302"/>
      <c r="R41" s="188"/>
      <c r="S41" s="301"/>
      <c r="T41" s="188"/>
      <c r="U41" s="301"/>
      <c r="V41" s="338" t="str" cm="1">
        <f t="array" ref="V41">IF(N41&lt;&gt;"",_xlfn.IFS(AND(N41&gt;='Variable index'!$K$35,N41&lt;'Variable index'!$K$36),'Variable index'!$L$35,AND(N41&gt;='Variable index'!$K$36,N41&lt;'Variable index'!$K$37),'Variable index'!$L$36,AND(N41&gt;='Variable index'!$K$37,N41&lt;'Variable index'!$K$38),'Variable index'!$L$37,N41&gt;='Variable index'!$K$38,'Variable index'!$L$38),"")</f>
        <v/>
      </c>
      <c r="W41" s="240"/>
      <c r="X41" s="336" t="str" cm="1">
        <f t="array" ref="X41">IF(AND(W41&lt;&gt;"",N41&lt;&gt;""),_xlfn.IFS(W41="Yes",_xlfn.IFS(AND(N41&gt;='Variable index'!$K$35,N41&lt;'Variable index'!$K$36),'Variable index'!$M$35,AND(N41&gt;='Variable index'!$K$36,N41&lt;'Variable index'!$K$37),'Variable index'!$M$36,AND(N41&gt;='Variable index'!$K$37,N41&lt;'Variable index'!$K$38),'Variable index'!$M$37,N41&gt;='Variable index'!$K$38,'Variable index'!$M$38),W41="No",0),"")</f>
        <v/>
      </c>
      <c r="Y41" s="189"/>
      <c r="Z41" s="336" t="str" cm="1">
        <f t="array" ref="Z41">IF(Y41&lt;&gt;"",_xlfn.IFS(Y41='Variable index'!$J$53,SUM('Variable index'!$K$50:$M$50),Y41='Variable index'!$J$54,SUM('Variable index'!$L$50:$M$50),Y41='Variable index'!$J$55,SUM('Variable index'!$M$50)),"")</f>
        <v/>
      </c>
      <c r="AA41" s="339" t="str" cm="1">
        <f t="array" ref="AA41">IFERROR(N41*(1+_xlfn.XLOOKUP(O41,'Rawlinsons regional indices'!$A$2:$A$63,'Rawlinsons regional indices'!$C$2:$C$63)+Q41)+(IF(R41&lt;&gt;"",INDEX('Variable index'!$E$57:$F$65,MATCH($R41,'Variable index'!$C$57:$C$65,0),$F$12),0)*S41)+(IF(T41&lt;&gt;"",INDEX('Variable index'!$E$68:$F$73,MATCH($T41,'Variable index'!$C$68:$C$73,0),$F$12),0)*U41)+(N41*V41)+(N41*X41)+(N41*Z41),"")</f>
        <v/>
      </c>
      <c r="AB41" s="303"/>
      <c r="AC41" s="337" t="str">
        <f t="shared" si="1"/>
        <v/>
      </c>
      <c r="AD41" s="340" t="str">
        <f t="shared" si="2"/>
        <v/>
      </c>
    </row>
    <row r="42" spans="4:30" ht="12" x14ac:dyDescent="0.25">
      <c r="D42" s="216">
        <f t="shared" si="0"/>
        <v>26</v>
      </c>
      <c r="E42" s="312"/>
      <c r="F42" s="187"/>
      <c r="G42" s="185"/>
      <c r="H42" s="299">
        <f>IFERROR(_xlfn.XLOOKUP(F42,Lists!$C$69:$C$99,Lists!$D$69:$D$99),0)</f>
        <v>0</v>
      </c>
      <c r="I42" s="185"/>
      <c r="J42" s="185"/>
      <c r="K42" s="333" t="str" cm="1">
        <f t="array" ref="K42">IFERROR(IF($H42=0,INDEX('Variable index'!$E$132:$F$215,MATCH($F42,'Variable index'!$C$132:$C$215,0),$F$12),INDEX('Variable index'!$E$132:$F$215,MATCH(_xlfn.CONCAT($F42," - ",$G42),'Variable index'!$C$132:$C$215,0),$F$12)),"")</f>
        <v/>
      </c>
      <c r="L42" s="334" t="str">
        <f>IFERROR(_xlfn.CONCAT("$ per ",IF($H42=0,_xlfn.XLOOKUP($F42,'Variable index'!$C$132:$C$215,'Variable index'!$D$132:$D$215),_xlfn.XLOOKUP(_xlfn.CONCAT($F42," - ",$G42),'Variable index'!$C$132:$C$215,'Variable index'!$D$132:$D$215))),"")</f>
        <v/>
      </c>
      <c r="M42" s="301"/>
      <c r="N42" s="343" t="str">
        <f>IFERROR(IF(TableOpenSpace[[#This Row],[Unit quantity]]="","",TableOpenSpace[[#This Row],[Unit rate]]*TableOpenSpace[[#This Row],[Unit quantity]]),"")</f>
        <v/>
      </c>
      <c r="O42" s="238" t="str">
        <f>IF(TableOpenSpace[[#This Row],[Type of infrastructure]]&lt;&gt;"",Summary!$F$8,"")</f>
        <v/>
      </c>
      <c r="P42" s="239" t="str">
        <f>IF(TableOpenSpace[[#This Row],[Type of infrastructure]]&lt;&gt;"",Summary!$F$9,"")</f>
        <v/>
      </c>
      <c r="Q42" s="302"/>
      <c r="R42" s="188"/>
      <c r="S42" s="301"/>
      <c r="T42" s="188"/>
      <c r="U42" s="301"/>
      <c r="V42" s="338" t="str" cm="1">
        <f t="array" ref="V42">IF(N42&lt;&gt;"",_xlfn.IFS(AND(N42&gt;='Variable index'!$K$35,N42&lt;'Variable index'!$K$36),'Variable index'!$L$35,AND(N42&gt;='Variable index'!$K$36,N42&lt;'Variable index'!$K$37),'Variable index'!$L$36,AND(N42&gt;='Variable index'!$K$37,N42&lt;'Variable index'!$K$38),'Variable index'!$L$37,N42&gt;='Variable index'!$K$38,'Variable index'!$L$38),"")</f>
        <v/>
      </c>
      <c r="W42" s="240"/>
      <c r="X42" s="336" t="str" cm="1">
        <f t="array" ref="X42">IF(AND(W42&lt;&gt;"",N42&lt;&gt;""),_xlfn.IFS(W42="Yes",_xlfn.IFS(AND(N42&gt;='Variable index'!$K$35,N42&lt;'Variable index'!$K$36),'Variable index'!$M$35,AND(N42&gt;='Variable index'!$K$36,N42&lt;'Variable index'!$K$37),'Variable index'!$M$36,AND(N42&gt;='Variable index'!$K$37,N42&lt;'Variable index'!$K$38),'Variable index'!$M$37,N42&gt;='Variable index'!$K$38,'Variable index'!$M$38),W42="No",0),"")</f>
        <v/>
      </c>
      <c r="Y42" s="189"/>
      <c r="Z42" s="336" t="str" cm="1">
        <f t="array" ref="Z42">IF(Y42&lt;&gt;"",_xlfn.IFS(Y42='Variable index'!$J$53,SUM('Variable index'!$K$50:$M$50),Y42='Variable index'!$J$54,SUM('Variable index'!$L$50:$M$50),Y42='Variable index'!$J$55,SUM('Variable index'!$M$50)),"")</f>
        <v/>
      </c>
      <c r="AA42" s="339" t="str" cm="1">
        <f t="array" ref="AA42">IFERROR(N42*(1+_xlfn.XLOOKUP(O42,'Rawlinsons regional indices'!$A$2:$A$63,'Rawlinsons regional indices'!$C$2:$C$63)+Q42)+(IF(R42&lt;&gt;"",INDEX('Variable index'!$E$57:$F$65,MATCH($R42,'Variable index'!$C$57:$C$65,0),$F$12),0)*S42)+(IF(T42&lt;&gt;"",INDEX('Variable index'!$E$68:$F$73,MATCH($T42,'Variable index'!$C$68:$C$73,0),$F$12),0)*U42)+(N42*V42)+(N42*X42)+(N42*Z42),"")</f>
        <v/>
      </c>
      <c r="AB42" s="303"/>
      <c r="AC42" s="337" t="str">
        <f t="shared" si="1"/>
        <v/>
      </c>
      <c r="AD42" s="340" t="str">
        <f t="shared" si="2"/>
        <v/>
      </c>
    </row>
    <row r="43" spans="4:30" ht="12" x14ac:dyDescent="0.25">
      <c r="D43" s="216">
        <f t="shared" si="0"/>
        <v>27</v>
      </c>
      <c r="E43" s="312"/>
      <c r="F43" s="187"/>
      <c r="G43" s="185"/>
      <c r="H43" s="299">
        <f>IFERROR(_xlfn.XLOOKUP(F43,Lists!$C$69:$C$99,Lists!$D$69:$D$99),0)</f>
        <v>0</v>
      </c>
      <c r="I43" s="185"/>
      <c r="J43" s="185"/>
      <c r="K43" s="333" t="str" cm="1">
        <f t="array" ref="K43">IFERROR(IF($H43=0,INDEX('Variable index'!$E$132:$F$215,MATCH($F43,'Variable index'!$C$132:$C$215,0),$F$12),INDEX('Variable index'!$E$132:$F$215,MATCH(_xlfn.CONCAT($F43," - ",$G43),'Variable index'!$C$132:$C$215,0),$F$12)),"")</f>
        <v/>
      </c>
      <c r="L43" s="334" t="str">
        <f>IFERROR(_xlfn.CONCAT("$ per ",IF($H43=0,_xlfn.XLOOKUP($F43,'Variable index'!$C$132:$C$215,'Variable index'!$D$132:$D$215),_xlfn.XLOOKUP(_xlfn.CONCAT($F43," - ",$G43),'Variable index'!$C$132:$C$215,'Variable index'!$D$132:$D$215))),"")</f>
        <v/>
      </c>
      <c r="M43" s="301"/>
      <c r="N43" s="343" t="str">
        <f>IFERROR(IF(TableOpenSpace[[#This Row],[Unit quantity]]="","",TableOpenSpace[[#This Row],[Unit rate]]*TableOpenSpace[[#This Row],[Unit quantity]]),"")</f>
        <v/>
      </c>
      <c r="O43" s="238" t="str">
        <f>IF(TableOpenSpace[[#This Row],[Type of infrastructure]]&lt;&gt;"",Summary!$F$8,"")</f>
        <v/>
      </c>
      <c r="P43" s="239" t="str">
        <f>IF(TableOpenSpace[[#This Row],[Type of infrastructure]]&lt;&gt;"",Summary!$F$9,"")</f>
        <v/>
      </c>
      <c r="Q43" s="302"/>
      <c r="R43" s="188"/>
      <c r="S43" s="301"/>
      <c r="T43" s="188"/>
      <c r="U43" s="301"/>
      <c r="V43" s="338" t="str" cm="1">
        <f t="array" ref="V43">IF(N43&lt;&gt;"",_xlfn.IFS(AND(N43&gt;='Variable index'!$K$35,N43&lt;'Variable index'!$K$36),'Variable index'!$L$35,AND(N43&gt;='Variable index'!$K$36,N43&lt;'Variable index'!$K$37),'Variable index'!$L$36,AND(N43&gt;='Variable index'!$K$37,N43&lt;'Variable index'!$K$38),'Variable index'!$L$37,N43&gt;='Variable index'!$K$38,'Variable index'!$L$38),"")</f>
        <v/>
      </c>
      <c r="W43" s="240"/>
      <c r="X43" s="336" t="str" cm="1">
        <f t="array" ref="X43">IF(AND(W43&lt;&gt;"",N43&lt;&gt;""),_xlfn.IFS(W43="Yes",_xlfn.IFS(AND(N43&gt;='Variable index'!$K$35,N43&lt;'Variable index'!$K$36),'Variable index'!$M$35,AND(N43&gt;='Variable index'!$K$36,N43&lt;'Variable index'!$K$37),'Variable index'!$M$36,AND(N43&gt;='Variable index'!$K$37,N43&lt;'Variable index'!$K$38),'Variable index'!$M$37,N43&gt;='Variable index'!$K$38,'Variable index'!$M$38),W43="No",0),"")</f>
        <v/>
      </c>
      <c r="Y43" s="189"/>
      <c r="Z43" s="336" t="str" cm="1">
        <f t="array" ref="Z43">IF(Y43&lt;&gt;"",_xlfn.IFS(Y43='Variable index'!$J$53,SUM('Variable index'!$K$50:$M$50),Y43='Variable index'!$J$54,SUM('Variable index'!$L$50:$M$50),Y43='Variable index'!$J$55,SUM('Variable index'!$M$50)),"")</f>
        <v/>
      </c>
      <c r="AA43" s="339" t="str" cm="1">
        <f t="array" ref="AA43">IFERROR(N43*(1+_xlfn.XLOOKUP(O43,'Rawlinsons regional indices'!$A$2:$A$63,'Rawlinsons regional indices'!$C$2:$C$63)+Q43)+(IF(R43&lt;&gt;"",INDEX('Variable index'!$E$57:$F$65,MATCH($R43,'Variable index'!$C$57:$C$65,0),$F$12),0)*S43)+(IF(T43&lt;&gt;"",INDEX('Variable index'!$E$68:$F$73,MATCH($T43,'Variable index'!$C$68:$C$73,0),$F$12),0)*U43)+(N43*V43)+(N43*X43)+(N43*Z43),"")</f>
        <v/>
      </c>
      <c r="AB43" s="303"/>
      <c r="AC43" s="337" t="str">
        <f t="shared" si="1"/>
        <v/>
      </c>
      <c r="AD43" s="340" t="str">
        <f t="shared" si="2"/>
        <v/>
      </c>
    </row>
    <row r="44" spans="4:30" ht="12" x14ac:dyDescent="0.25">
      <c r="D44" s="216">
        <f t="shared" si="0"/>
        <v>28</v>
      </c>
      <c r="E44" s="312"/>
      <c r="F44" s="187"/>
      <c r="G44" s="185"/>
      <c r="H44" s="299">
        <f>IFERROR(_xlfn.XLOOKUP(F44,Lists!$C$69:$C$99,Lists!$D$69:$D$99),0)</f>
        <v>0</v>
      </c>
      <c r="I44" s="185"/>
      <c r="J44" s="185"/>
      <c r="K44" s="333" t="str" cm="1">
        <f t="array" ref="K44">IFERROR(IF($H44=0,INDEX('Variable index'!$E$132:$F$215,MATCH($F44,'Variable index'!$C$132:$C$215,0),$F$12),INDEX('Variable index'!$E$132:$F$215,MATCH(_xlfn.CONCAT($F44," - ",$G44),'Variable index'!$C$132:$C$215,0),$F$12)),"")</f>
        <v/>
      </c>
      <c r="L44" s="334" t="str">
        <f>IFERROR(_xlfn.CONCAT("$ per ",IF($H44=0,_xlfn.XLOOKUP($F44,'Variable index'!$C$132:$C$215,'Variable index'!$D$132:$D$215),_xlfn.XLOOKUP(_xlfn.CONCAT($F44," - ",$G44),'Variable index'!$C$132:$C$215,'Variable index'!$D$132:$D$215))),"")</f>
        <v/>
      </c>
      <c r="M44" s="301"/>
      <c r="N44" s="343" t="str">
        <f>IFERROR(IF(TableOpenSpace[[#This Row],[Unit quantity]]="","",TableOpenSpace[[#This Row],[Unit rate]]*TableOpenSpace[[#This Row],[Unit quantity]]),"")</f>
        <v/>
      </c>
      <c r="O44" s="238" t="str">
        <f>IF(TableOpenSpace[[#This Row],[Type of infrastructure]]&lt;&gt;"",Summary!$F$8,"")</f>
        <v/>
      </c>
      <c r="P44" s="239" t="str">
        <f>IF(TableOpenSpace[[#This Row],[Type of infrastructure]]&lt;&gt;"",Summary!$F$9,"")</f>
        <v/>
      </c>
      <c r="Q44" s="302"/>
      <c r="R44" s="188"/>
      <c r="S44" s="301"/>
      <c r="T44" s="188"/>
      <c r="U44" s="301"/>
      <c r="V44" s="338" t="str" cm="1">
        <f t="array" ref="V44">IF(N44&lt;&gt;"",_xlfn.IFS(AND(N44&gt;='Variable index'!$K$35,N44&lt;'Variable index'!$K$36),'Variable index'!$L$35,AND(N44&gt;='Variable index'!$K$36,N44&lt;'Variable index'!$K$37),'Variable index'!$L$36,AND(N44&gt;='Variable index'!$K$37,N44&lt;'Variable index'!$K$38),'Variable index'!$L$37,N44&gt;='Variable index'!$K$38,'Variable index'!$L$38),"")</f>
        <v/>
      </c>
      <c r="W44" s="240"/>
      <c r="X44" s="336" t="str" cm="1">
        <f t="array" ref="X44">IF(AND(W44&lt;&gt;"",N44&lt;&gt;""),_xlfn.IFS(W44="Yes",_xlfn.IFS(AND(N44&gt;='Variable index'!$K$35,N44&lt;'Variable index'!$K$36),'Variable index'!$M$35,AND(N44&gt;='Variable index'!$K$36,N44&lt;'Variable index'!$K$37),'Variable index'!$M$36,AND(N44&gt;='Variable index'!$K$37,N44&lt;'Variable index'!$K$38),'Variable index'!$M$37,N44&gt;='Variable index'!$K$38,'Variable index'!$M$38),W44="No",0),"")</f>
        <v/>
      </c>
      <c r="Y44" s="189"/>
      <c r="Z44" s="336" t="str" cm="1">
        <f t="array" ref="Z44">IF(Y44&lt;&gt;"",_xlfn.IFS(Y44='Variable index'!$J$53,SUM('Variable index'!$K$50:$M$50),Y44='Variable index'!$J$54,SUM('Variable index'!$L$50:$M$50),Y44='Variable index'!$J$55,SUM('Variable index'!$M$50)),"")</f>
        <v/>
      </c>
      <c r="AA44" s="339" t="str" cm="1">
        <f t="array" ref="AA44">IFERROR(N44*(1+_xlfn.XLOOKUP(O44,'Rawlinsons regional indices'!$A$2:$A$63,'Rawlinsons regional indices'!$C$2:$C$63)+Q44)+(IF(R44&lt;&gt;"",INDEX('Variable index'!$E$57:$F$65,MATCH($R44,'Variable index'!$C$57:$C$65,0),$F$12),0)*S44)+(IF(T44&lt;&gt;"",INDEX('Variable index'!$E$68:$F$73,MATCH($T44,'Variable index'!$C$68:$C$73,0),$F$12),0)*U44)+(N44*V44)+(N44*X44)+(N44*Z44),"")</f>
        <v/>
      </c>
      <c r="AB44" s="303"/>
      <c r="AC44" s="337" t="str">
        <f t="shared" si="1"/>
        <v/>
      </c>
      <c r="AD44" s="340" t="str">
        <f t="shared" si="2"/>
        <v/>
      </c>
    </row>
    <row r="45" spans="4:30" ht="12" x14ac:dyDescent="0.25">
      <c r="D45" s="216">
        <f t="shared" si="0"/>
        <v>29</v>
      </c>
      <c r="E45" s="312"/>
      <c r="F45" s="187"/>
      <c r="G45" s="185"/>
      <c r="H45" s="299">
        <f>IFERROR(_xlfn.XLOOKUP(F45,Lists!$C$69:$C$99,Lists!$D$69:$D$99),0)</f>
        <v>0</v>
      </c>
      <c r="I45" s="185"/>
      <c r="J45" s="185"/>
      <c r="K45" s="333" t="str" cm="1">
        <f t="array" ref="K45">IFERROR(IF($H45=0,INDEX('Variable index'!$E$132:$F$215,MATCH($F45,'Variable index'!$C$132:$C$215,0),$F$12),INDEX('Variable index'!$E$132:$F$215,MATCH(_xlfn.CONCAT($F45," - ",$G45),'Variable index'!$C$132:$C$215,0),$F$12)),"")</f>
        <v/>
      </c>
      <c r="L45" s="334" t="str">
        <f>IFERROR(_xlfn.CONCAT("$ per ",IF($H45=0,_xlfn.XLOOKUP($F45,'Variable index'!$C$132:$C$215,'Variable index'!$D$132:$D$215),_xlfn.XLOOKUP(_xlfn.CONCAT($F45," - ",$G45),'Variable index'!$C$132:$C$215,'Variable index'!$D$132:$D$215))),"")</f>
        <v/>
      </c>
      <c r="M45" s="301"/>
      <c r="N45" s="343" t="str">
        <f>IFERROR(IF(TableOpenSpace[[#This Row],[Unit quantity]]="","",TableOpenSpace[[#This Row],[Unit rate]]*TableOpenSpace[[#This Row],[Unit quantity]]),"")</f>
        <v/>
      </c>
      <c r="O45" s="238" t="str">
        <f>IF(TableOpenSpace[[#This Row],[Type of infrastructure]]&lt;&gt;"",Summary!$F$8,"")</f>
        <v/>
      </c>
      <c r="P45" s="239" t="str">
        <f>IF(TableOpenSpace[[#This Row],[Type of infrastructure]]&lt;&gt;"",Summary!$F$9,"")</f>
        <v/>
      </c>
      <c r="Q45" s="302"/>
      <c r="R45" s="188"/>
      <c r="S45" s="301"/>
      <c r="T45" s="188"/>
      <c r="U45" s="301"/>
      <c r="V45" s="338" t="str" cm="1">
        <f t="array" ref="V45">IF(N45&lt;&gt;"",_xlfn.IFS(AND(N45&gt;='Variable index'!$K$35,N45&lt;'Variable index'!$K$36),'Variable index'!$L$35,AND(N45&gt;='Variable index'!$K$36,N45&lt;'Variable index'!$K$37),'Variable index'!$L$36,AND(N45&gt;='Variable index'!$K$37,N45&lt;'Variable index'!$K$38),'Variable index'!$L$37,N45&gt;='Variable index'!$K$38,'Variable index'!$L$38),"")</f>
        <v/>
      </c>
      <c r="W45" s="240"/>
      <c r="X45" s="336" t="str" cm="1">
        <f t="array" ref="X45">IF(AND(W45&lt;&gt;"",N45&lt;&gt;""),_xlfn.IFS(W45="Yes",_xlfn.IFS(AND(N45&gt;='Variable index'!$K$35,N45&lt;'Variable index'!$K$36),'Variable index'!$M$35,AND(N45&gt;='Variable index'!$K$36,N45&lt;'Variable index'!$K$37),'Variable index'!$M$36,AND(N45&gt;='Variable index'!$K$37,N45&lt;'Variable index'!$K$38),'Variable index'!$M$37,N45&gt;='Variable index'!$K$38,'Variable index'!$M$38),W45="No",0),"")</f>
        <v/>
      </c>
      <c r="Y45" s="189"/>
      <c r="Z45" s="336" t="str" cm="1">
        <f t="array" ref="Z45">IF(Y45&lt;&gt;"",_xlfn.IFS(Y45='Variable index'!$J$53,SUM('Variable index'!$K$50:$M$50),Y45='Variable index'!$J$54,SUM('Variable index'!$L$50:$M$50),Y45='Variable index'!$J$55,SUM('Variable index'!$M$50)),"")</f>
        <v/>
      </c>
      <c r="AA45" s="339" t="str" cm="1">
        <f t="array" ref="AA45">IFERROR(N45*(1+_xlfn.XLOOKUP(O45,'Rawlinsons regional indices'!$A$2:$A$63,'Rawlinsons regional indices'!$C$2:$C$63)+Q45)+(IF(R45&lt;&gt;"",INDEX('Variable index'!$E$57:$F$65,MATCH($R45,'Variable index'!$C$57:$C$65,0),$F$12),0)*S45)+(IF(T45&lt;&gt;"",INDEX('Variable index'!$E$68:$F$73,MATCH($T45,'Variable index'!$C$68:$C$73,0),$F$12),0)*U45)+(N45*V45)+(N45*X45)+(N45*Z45),"")</f>
        <v/>
      </c>
      <c r="AB45" s="303"/>
      <c r="AC45" s="337" t="str">
        <f t="shared" si="1"/>
        <v/>
      </c>
      <c r="AD45" s="340" t="str">
        <f t="shared" si="2"/>
        <v/>
      </c>
    </row>
    <row r="46" spans="4:30" ht="12" x14ac:dyDescent="0.25">
      <c r="D46" s="216">
        <f t="shared" si="0"/>
        <v>30</v>
      </c>
      <c r="E46" s="312"/>
      <c r="F46" s="187"/>
      <c r="G46" s="185"/>
      <c r="H46" s="299">
        <f>IFERROR(_xlfn.XLOOKUP(F46,Lists!$C$69:$C$99,Lists!$D$69:$D$99),0)</f>
        <v>0</v>
      </c>
      <c r="I46" s="185"/>
      <c r="J46" s="185"/>
      <c r="K46" s="333" t="str" cm="1">
        <f t="array" ref="K46">IFERROR(IF($H46=0,INDEX('Variable index'!$E$132:$F$215,MATCH($F46,'Variable index'!$C$132:$C$215,0),$F$12),INDEX('Variable index'!$E$132:$F$215,MATCH(_xlfn.CONCAT($F46," - ",$G46),'Variable index'!$C$132:$C$215,0),$F$12)),"")</f>
        <v/>
      </c>
      <c r="L46" s="334" t="str">
        <f>IFERROR(_xlfn.CONCAT("$ per ",IF($H46=0,_xlfn.XLOOKUP($F46,'Variable index'!$C$132:$C$215,'Variable index'!$D$132:$D$215),_xlfn.XLOOKUP(_xlfn.CONCAT($F46," - ",$G46),'Variable index'!$C$132:$C$215,'Variable index'!$D$132:$D$215))),"")</f>
        <v/>
      </c>
      <c r="M46" s="301"/>
      <c r="N46" s="343" t="str">
        <f>IFERROR(IF(TableOpenSpace[[#This Row],[Unit quantity]]="","",TableOpenSpace[[#This Row],[Unit rate]]*TableOpenSpace[[#This Row],[Unit quantity]]),"")</f>
        <v/>
      </c>
      <c r="O46" s="238" t="str">
        <f>IF(TableOpenSpace[[#This Row],[Type of infrastructure]]&lt;&gt;"",Summary!$F$8,"")</f>
        <v/>
      </c>
      <c r="P46" s="239" t="str">
        <f>IF(TableOpenSpace[[#This Row],[Type of infrastructure]]&lt;&gt;"",Summary!$F$9,"")</f>
        <v/>
      </c>
      <c r="Q46" s="302"/>
      <c r="R46" s="188"/>
      <c r="S46" s="301"/>
      <c r="T46" s="188"/>
      <c r="U46" s="301"/>
      <c r="V46" s="338" t="str" cm="1">
        <f t="array" ref="V46">IF(N46&lt;&gt;"",_xlfn.IFS(AND(N46&gt;='Variable index'!$K$35,N46&lt;'Variable index'!$K$36),'Variable index'!$L$35,AND(N46&gt;='Variable index'!$K$36,N46&lt;'Variable index'!$K$37),'Variable index'!$L$36,AND(N46&gt;='Variable index'!$K$37,N46&lt;'Variable index'!$K$38),'Variable index'!$L$37,N46&gt;='Variable index'!$K$38,'Variable index'!$L$38),"")</f>
        <v/>
      </c>
      <c r="W46" s="240"/>
      <c r="X46" s="336" t="str" cm="1">
        <f t="array" ref="X46">IF(AND(W46&lt;&gt;"",N46&lt;&gt;""),_xlfn.IFS(W46="Yes",_xlfn.IFS(AND(N46&gt;='Variable index'!$K$35,N46&lt;'Variable index'!$K$36),'Variable index'!$M$35,AND(N46&gt;='Variable index'!$K$36,N46&lt;'Variable index'!$K$37),'Variable index'!$M$36,AND(N46&gt;='Variable index'!$K$37,N46&lt;'Variable index'!$K$38),'Variable index'!$M$37,N46&gt;='Variable index'!$K$38,'Variable index'!$M$38),W46="No",0),"")</f>
        <v/>
      </c>
      <c r="Y46" s="189"/>
      <c r="Z46" s="336" t="str" cm="1">
        <f t="array" ref="Z46">IF(Y46&lt;&gt;"",_xlfn.IFS(Y46='Variable index'!$J$53,SUM('Variable index'!$K$50:$M$50),Y46='Variable index'!$J$54,SUM('Variable index'!$L$50:$M$50),Y46='Variable index'!$J$55,SUM('Variable index'!$M$50)),"")</f>
        <v/>
      </c>
      <c r="AA46" s="339" t="str" cm="1">
        <f t="array" ref="AA46">IFERROR(N46*(1+_xlfn.XLOOKUP(O46,'Rawlinsons regional indices'!$A$2:$A$63,'Rawlinsons regional indices'!$C$2:$C$63)+Q46)+(IF(R46&lt;&gt;"",INDEX('Variable index'!$E$57:$F$65,MATCH($R46,'Variable index'!$C$57:$C$65,0),$F$12),0)*S46)+(IF(T46&lt;&gt;"",INDEX('Variable index'!$E$68:$F$73,MATCH($T46,'Variable index'!$C$68:$C$73,0),$F$12),0)*U46)+(N46*V46)+(N46*X46)+(N46*Z46),"")</f>
        <v/>
      </c>
      <c r="AB46" s="303"/>
      <c r="AC46" s="337" t="str">
        <f t="shared" si="1"/>
        <v/>
      </c>
      <c r="AD46" s="340" t="str">
        <f t="shared" si="2"/>
        <v/>
      </c>
    </row>
    <row r="47" spans="4:30" ht="12" x14ac:dyDescent="0.25">
      <c r="D47" s="216">
        <f t="shared" si="0"/>
        <v>31</v>
      </c>
      <c r="E47" s="312"/>
      <c r="F47" s="187"/>
      <c r="G47" s="185"/>
      <c r="H47" s="299">
        <f>IFERROR(_xlfn.XLOOKUP(F47,Lists!$C$69:$C$99,Lists!$D$69:$D$99),0)</f>
        <v>0</v>
      </c>
      <c r="I47" s="185"/>
      <c r="J47" s="185"/>
      <c r="K47" s="333" t="str" cm="1">
        <f t="array" ref="K47">IFERROR(IF($H47=0,INDEX('Variable index'!$E$132:$F$215,MATCH($F47,'Variable index'!$C$132:$C$215,0),$F$12),INDEX('Variable index'!$E$132:$F$215,MATCH(_xlfn.CONCAT($F47," - ",$G47),'Variable index'!$C$132:$C$215,0),$F$12)),"")</f>
        <v/>
      </c>
      <c r="L47" s="334" t="str">
        <f>IFERROR(_xlfn.CONCAT("$ per ",IF($H47=0,_xlfn.XLOOKUP($F47,'Variable index'!$C$132:$C$215,'Variable index'!$D$132:$D$215),_xlfn.XLOOKUP(_xlfn.CONCAT($F47," - ",$G47),'Variable index'!$C$132:$C$215,'Variable index'!$D$132:$D$215))),"")</f>
        <v/>
      </c>
      <c r="M47" s="301"/>
      <c r="N47" s="343" t="str">
        <f>IFERROR(IF(TableOpenSpace[[#This Row],[Unit quantity]]="","",TableOpenSpace[[#This Row],[Unit rate]]*TableOpenSpace[[#This Row],[Unit quantity]]),"")</f>
        <v/>
      </c>
      <c r="O47" s="238" t="str">
        <f>IF(TableOpenSpace[[#This Row],[Type of infrastructure]]&lt;&gt;"",Summary!$F$8,"")</f>
        <v/>
      </c>
      <c r="P47" s="239" t="str">
        <f>IF(TableOpenSpace[[#This Row],[Type of infrastructure]]&lt;&gt;"",Summary!$F$9,"")</f>
        <v/>
      </c>
      <c r="Q47" s="302"/>
      <c r="R47" s="188"/>
      <c r="S47" s="301"/>
      <c r="T47" s="188"/>
      <c r="U47" s="301"/>
      <c r="V47" s="338" t="str" cm="1">
        <f t="array" ref="V47">IF(N47&lt;&gt;"",_xlfn.IFS(AND(N47&gt;='Variable index'!$K$35,N47&lt;'Variable index'!$K$36),'Variable index'!$L$35,AND(N47&gt;='Variable index'!$K$36,N47&lt;'Variable index'!$K$37),'Variable index'!$L$36,AND(N47&gt;='Variable index'!$K$37,N47&lt;'Variable index'!$K$38),'Variable index'!$L$37,N47&gt;='Variable index'!$K$38,'Variable index'!$L$38),"")</f>
        <v/>
      </c>
      <c r="W47" s="240"/>
      <c r="X47" s="336" t="str" cm="1">
        <f t="array" ref="X47">IF(AND(W47&lt;&gt;"",N47&lt;&gt;""),_xlfn.IFS(W47="Yes",_xlfn.IFS(AND(N47&gt;='Variable index'!$K$35,N47&lt;'Variable index'!$K$36),'Variable index'!$M$35,AND(N47&gt;='Variable index'!$K$36,N47&lt;'Variable index'!$K$37),'Variable index'!$M$36,AND(N47&gt;='Variable index'!$K$37,N47&lt;'Variable index'!$K$38),'Variable index'!$M$37,N47&gt;='Variable index'!$K$38,'Variable index'!$M$38),W47="No",0),"")</f>
        <v/>
      </c>
      <c r="Y47" s="189"/>
      <c r="Z47" s="336" t="str" cm="1">
        <f t="array" ref="Z47">IF(Y47&lt;&gt;"",_xlfn.IFS(Y47='Variable index'!$J$53,SUM('Variable index'!$K$50:$M$50),Y47='Variable index'!$J$54,SUM('Variable index'!$L$50:$M$50),Y47='Variable index'!$J$55,SUM('Variable index'!$M$50)),"")</f>
        <v/>
      </c>
      <c r="AA47" s="339" t="str" cm="1">
        <f t="array" ref="AA47">IFERROR(N47*(1+_xlfn.XLOOKUP(O47,'Rawlinsons regional indices'!$A$2:$A$63,'Rawlinsons regional indices'!$C$2:$C$63)+Q47)+(IF(R47&lt;&gt;"",INDEX('Variable index'!$E$57:$F$65,MATCH($R47,'Variable index'!$C$57:$C$65,0),$F$12),0)*S47)+(IF(T47&lt;&gt;"",INDEX('Variable index'!$E$68:$F$73,MATCH($T47,'Variable index'!$C$68:$C$73,0),$F$12),0)*U47)+(N47*V47)+(N47*X47)+(N47*Z47),"")</f>
        <v/>
      </c>
      <c r="AB47" s="303"/>
      <c r="AC47" s="337" t="str">
        <f t="shared" si="1"/>
        <v/>
      </c>
      <c r="AD47" s="340" t="str">
        <f t="shared" si="2"/>
        <v/>
      </c>
    </row>
    <row r="48" spans="4:30" ht="12" x14ac:dyDescent="0.25">
      <c r="D48" s="216">
        <f t="shared" si="0"/>
        <v>32</v>
      </c>
      <c r="E48" s="312"/>
      <c r="F48" s="187"/>
      <c r="G48" s="185"/>
      <c r="H48" s="299">
        <f>IFERROR(_xlfn.XLOOKUP(F48,Lists!$C$69:$C$99,Lists!$D$69:$D$99),0)</f>
        <v>0</v>
      </c>
      <c r="I48" s="185"/>
      <c r="J48" s="185"/>
      <c r="K48" s="333" t="str" cm="1">
        <f t="array" ref="K48">IFERROR(IF($H48=0,INDEX('Variable index'!$E$132:$F$215,MATCH($F48,'Variable index'!$C$132:$C$215,0),$F$12),INDEX('Variable index'!$E$132:$F$215,MATCH(_xlfn.CONCAT($F48," - ",$G48),'Variable index'!$C$132:$C$215,0),$F$12)),"")</f>
        <v/>
      </c>
      <c r="L48" s="334" t="str">
        <f>IFERROR(_xlfn.CONCAT("$ per ",IF($H48=0,_xlfn.XLOOKUP($F48,'Variable index'!$C$132:$C$215,'Variable index'!$D$132:$D$215),_xlfn.XLOOKUP(_xlfn.CONCAT($F48," - ",$G48),'Variable index'!$C$132:$C$215,'Variable index'!$D$132:$D$215))),"")</f>
        <v/>
      </c>
      <c r="M48" s="301"/>
      <c r="N48" s="343" t="str">
        <f>IFERROR(IF(TableOpenSpace[[#This Row],[Unit quantity]]="","",TableOpenSpace[[#This Row],[Unit rate]]*TableOpenSpace[[#This Row],[Unit quantity]]),"")</f>
        <v/>
      </c>
      <c r="O48" s="238" t="str">
        <f>IF(TableOpenSpace[[#This Row],[Type of infrastructure]]&lt;&gt;"",Summary!$F$8,"")</f>
        <v/>
      </c>
      <c r="P48" s="239" t="str">
        <f>IF(TableOpenSpace[[#This Row],[Type of infrastructure]]&lt;&gt;"",Summary!$F$9,"")</f>
        <v/>
      </c>
      <c r="Q48" s="302"/>
      <c r="R48" s="188"/>
      <c r="S48" s="301"/>
      <c r="T48" s="188"/>
      <c r="U48" s="301"/>
      <c r="V48" s="338" t="str" cm="1">
        <f t="array" ref="V48">IF(N48&lt;&gt;"",_xlfn.IFS(AND(N48&gt;='Variable index'!$K$35,N48&lt;'Variable index'!$K$36),'Variable index'!$L$35,AND(N48&gt;='Variable index'!$K$36,N48&lt;'Variable index'!$K$37),'Variable index'!$L$36,AND(N48&gt;='Variable index'!$K$37,N48&lt;'Variable index'!$K$38),'Variable index'!$L$37,N48&gt;='Variable index'!$K$38,'Variable index'!$L$38),"")</f>
        <v/>
      </c>
      <c r="W48" s="240"/>
      <c r="X48" s="336" t="str" cm="1">
        <f t="array" ref="X48">IF(AND(W48&lt;&gt;"",N48&lt;&gt;""),_xlfn.IFS(W48="Yes",_xlfn.IFS(AND(N48&gt;='Variable index'!$K$35,N48&lt;'Variable index'!$K$36),'Variable index'!$M$35,AND(N48&gt;='Variable index'!$K$36,N48&lt;'Variable index'!$K$37),'Variable index'!$M$36,AND(N48&gt;='Variable index'!$K$37,N48&lt;'Variable index'!$K$38),'Variable index'!$M$37,N48&gt;='Variable index'!$K$38,'Variable index'!$M$38),W48="No",0),"")</f>
        <v/>
      </c>
      <c r="Y48" s="189"/>
      <c r="Z48" s="336" t="str" cm="1">
        <f t="array" ref="Z48">IF(Y48&lt;&gt;"",_xlfn.IFS(Y48='Variable index'!$J$53,SUM('Variable index'!$K$50:$M$50),Y48='Variable index'!$J$54,SUM('Variable index'!$L$50:$M$50),Y48='Variable index'!$J$55,SUM('Variable index'!$M$50)),"")</f>
        <v/>
      </c>
      <c r="AA48" s="339" t="str" cm="1">
        <f t="array" ref="AA48">IFERROR(N48*(1+_xlfn.XLOOKUP(O48,'Rawlinsons regional indices'!$A$2:$A$63,'Rawlinsons regional indices'!$C$2:$C$63)+Q48)+(IF(R48&lt;&gt;"",INDEX('Variable index'!$E$57:$F$65,MATCH($R48,'Variable index'!$C$57:$C$65,0),$F$12),0)*S48)+(IF(T48&lt;&gt;"",INDEX('Variable index'!$E$68:$F$73,MATCH($T48,'Variable index'!$C$68:$C$73,0),$F$12),0)*U48)+(N48*V48)+(N48*X48)+(N48*Z48),"")</f>
        <v/>
      </c>
      <c r="AB48" s="303"/>
      <c r="AC48" s="337" t="str">
        <f t="shared" si="1"/>
        <v/>
      </c>
      <c r="AD48" s="340" t="str">
        <f t="shared" si="2"/>
        <v/>
      </c>
    </row>
    <row r="49" spans="4:30" ht="12" x14ac:dyDescent="0.25">
      <c r="D49" s="216">
        <f t="shared" si="0"/>
        <v>33</v>
      </c>
      <c r="E49" s="312"/>
      <c r="F49" s="187"/>
      <c r="G49" s="185"/>
      <c r="H49" s="299">
        <f>IFERROR(_xlfn.XLOOKUP(F49,Lists!$C$69:$C$99,Lists!$D$69:$D$99),0)</f>
        <v>0</v>
      </c>
      <c r="I49" s="185"/>
      <c r="J49" s="185"/>
      <c r="K49" s="333" t="str" cm="1">
        <f t="array" ref="K49">IFERROR(IF($H49=0,INDEX('Variable index'!$E$132:$F$215,MATCH($F49,'Variable index'!$C$132:$C$215,0),$F$12),INDEX('Variable index'!$E$132:$F$215,MATCH(_xlfn.CONCAT($F49," - ",$G49),'Variable index'!$C$132:$C$215,0),$F$12)),"")</f>
        <v/>
      </c>
      <c r="L49" s="334" t="str">
        <f>IFERROR(_xlfn.CONCAT("$ per ",IF($H49=0,_xlfn.XLOOKUP($F49,'Variable index'!$C$132:$C$215,'Variable index'!$D$132:$D$215),_xlfn.XLOOKUP(_xlfn.CONCAT($F49," - ",$G49),'Variable index'!$C$132:$C$215,'Variable index'!$D$132:$D$215))),"")</f>
        <v/>
      </c>
      <c r="M49" s="301"/>
      <c r="N49" s="343" t="str">
        <f>IFERROR(IF(TableOpenSpace[[#This Row],[Unit quantity]]="","",TableOpenSpace[[#This Row],[Unit rate]]*TableOpenSpace[[#This Row],[Unit quantity]]),"")</f>
        <v/>
      </c>
      <c r="O49" s="238" t="str">
        <f>IF(TableOpenSpace[[#This Row],[Type of infrastructure]]&lt;&gt;"",Summary!$F$8,"")</f>
        <v/>
      </c>
      <c r="P49" s="239" t="str">
        <f>IF(TableOpenSpace[[#This Row],[Type of infrastructure]]&lt;&gt;"",Summary!$F$9,"")</f>
        <v/>
      </c>
      <c r="Q49" s="302"/>
      <c r="R49" s="188"/>
      <c r="S49" s="301"/>
      <c r="T49" s="188"/>
      <c r="U49" s="301"/>
      <c r="V49" s="338" t="str" cm="1">
        <f t="array" ref="V49">IF(N49&lt;&gt;"",_xlfn.IFS(AND(N49&gt;='Variable index'!$K$35,N49&lt;'Variable index'!$K$36),'Variable index'!$L$35,AND(N49&gt;='Variable index'!$K$36,N49&lt;'Variable index'!$K$37),'Variable index'!$L$36,AND(N49&gt;='Variable index'!$K$37,N49&lt;'Variable index'!$K$38),'Variable index'!$L$37,N49&gt;='Variable index'!$K$38,'Variable index'!$L$38),"")</f>
        <v/>
      </c>
      <c r="W49" s="240"/>
      <c r="X49" s="336" t="str" cm="1">
        <f t="array" ref="X49">IF(AND(W49&lt;&gt;"",N49&lt;&gt;""),_xlfn.IFS(W49="Yes",_xlfn.IFS(AND(N49&gt;='Variable index'!$K$35,N49&lt;'Variable index'!$K$36),'Variable index'!$M$35,AND(N49&gt;='Variable index'!$K$36,N49&lt;'Variable index'!$K$37),'Variable index'!$M$36,AND(N49&gt;='Variable index'!$K$37,N49&lt;'Variable index'!$K$38),'Variable index'!$M$37,N49&gt;='Variable index'!$K$38,'Variable index'!$M$38),W49="No",0),"")</f>
        <v/>
      </c>
      <c r="Y49" s="189"/>
      <c r="Z49" s="336" t="str" cm="1">
        <f t="array" ref="Z49">IF(Y49&lt;&gt;"",_xlfn.IFS(Y49='Variable index'!$J$53,SUM('Variable index'!$K$50:$M$50),Y49='Variable index'!$J$54,SUM('Variable index'!$L$50:$M$50),Y49='Variable index'!$J$55,SUM('Variable index'!$M$50)),"")</f>
        <v/>
      </c>
      <c r="AA49" s="339" t="str" cm="1">
        <f t="array" ref="AA49">IFERROR(N49*(1+_xlfn.XLOOKUP(O49,'Rawlinsons regional indices'!$A$2:$A$63,'Rawlinsons regional indices'!$C$2:$C$63)+Q49)+(IF(R49&lt;&gt;"",INDEX('Variable index'!$E$57:$F$65,MATCH($R49,'Variable index'!$C$57:$C$65,0),$F$12),0)*S49)+(IF(T49&lt;&gt;"",INDEX('Variable index'!$E$68:$F$73,MATCH($T49,'Variable index'!$C$68:$C$73,0),$F$12),0)*U49)+(N49*V49)+(N49*X49)+(N49*Z49),"")</f>
        <v/>
      </c>
      <c r="AB49" s="303"/>
      <c r="AC49" s="337" t="str">
        <f t="shared" si="1"/>
        <v/>
      </c>
      <c r="AD49" s="340" t="str">
        <f t="shared" si="2"/>
        <v/>
      </c>
    </row>
    <row r="50" spans="4:30" ht="12" x14ac:dyDescent="0.25">
      <c r="D50" s="216">
        <f t="shared" si="0"/>
        <v>34</v>
      </c>
      <c r="E50" s="312"/>
      <c r="F50" s="187"/>
      <c r="G50" s="185"/>
      <c r="H50" s="299">
        <f>IFERROR(_xlfn.XLOOKUP(F50,Lists!$C$69:$C$99,Lists!$D$69:$D$99),0)</f>
        <v>0</v>
      </c>
      <c r="I50" s="185"/>
      <c r="J50" s="185"/>
      <c r="K50" s="333" t="str" cm="1">
        <f t="array" ref="K50">IFERROR(IF($H50=0,INDEX('Variable index'!$E$132:$F$215,MATCH($F50,'Variable index'!$C$132:$C$215,0),$F$12),INDEX('Variable index'!$E$132:$F$215,MATCH(_xlfn.CONCAT($F50," - ",$G50),'Variable index'!$C$132:$C$215,0),$F$12)),"")</f>
        <v/>
      </c>
      <c r="L50" s="334" t="str">
        <f>IFERROR(_xlfn.CONCAT("$ per ",IF($H50=0,_xlfn.XLOOKUP($F50,'Variable index'!$C$132:$C$215,'Variable index'!$D$132:$D$215),_xlfn.XLOOKUP(_xlfn.CONCAT($F50," - ",$G50),'Variable index'!$C$132:$C$215,'Variable index'!$D$132:$D$215))),"")</f>
        <v/>
      </c>
      <c r="M50" s="301"/>
      <c r="N50" s="343" t="str">
        <f>IFERROR(IF(TableOpenSpace[[#This Row],[Unit quantity]]="","",TableOpenSpace[[#This Row],[Unit rate]]*TableOpenSpace[[#This Row],[Unit quantity]]),"")</f>
        <v/>
      </c>
      <c r="O50" s="238" t="str">
        <f>IF(TableOpenSpace[[#This Row],[Type of infrastructure]]&lt;&gt;"",Summary!$F$8,"")</f>
        <v/>
      </c>
      <c r="P50" s="239" t="str">
        <f>IF(TableOpenSpace[[#This Row],[Type of infrastructure]]&lt;&gt;"",Summary!$F$9,"")</f>
        <v/>
      </c>
      <c r="Q50" s="302"/>
      <c r="R50" s="188"/>
      <c r="S50" s="301"/>
      <c r="T50" s="188"/>
      <c r="U50" s="301"/>
      <c r="V50" s="338" t="str" cm="1">
        <f t="array" ref="V50">IF(N50&lt;&gt;"",_xlfn.IFS(AND(N50&gt;='Variable index'!$K$35,N50&lt;'Variable index'!$K$36),'Variable index'!$L$35,AND(N50&gt;='Variable index'!$K$36,N50&lt;'Variable index'!$K$37),'Variable index'!$L$36,AND(N50&gt;='Variable index'!$K$37,N50&lt;'Variable index'!$K$38),'Variable index'!$L$37,N50&gt;='Variable index'!$K$38,'Variable index'!$L$38),"")</f>
        <v/>
      </c>
      <c r="W50" s="240"/>
      <c r="X50" s="336" t="str" cm="1">
        <f t="array" ref="X50">IF(AND(W50&lt;&gt;"",N50&lt;&gt;""),_xlfn.IFS(W50="Yes",_xlfn.IFS(AND(N50&gt;='Variable index'!$K$35,N50&lt;'Variable index'!$K$36),'Variable index'!$M$35,AND(N50&gt;='Variable index'!$K$36,N50&lt;'Variable index'!$K$37),'Variable index'!$M$36,AND(N50&gt;='Variable index'!$K$37,N50&lt;'Variable index'!$K$38),'Variable index'!$M$37,N50&gt;='Variable index'!$K$38,'Variable index'!$M$38),W50="No",0),"")</f>
        <v/>
      </c>
      <c r="Y50" s="189"/>
      <c r="Z50" s="336" t="str" cm="1">
        <f t="array" ref="Z50">IF(Y50&lt;&gt;"",_xlfn.IFS(Y50='Variable index'!$J$53,SUM('Variable index'!$K$50:$M$50),Y50='Variable index'!$J$54,SUM('Variable index'!$L$50:$M$50),Y50='Variable index'!$J$55,SUM('Variable index'!$M$50)),"")</f>
        <v/>
      </c>
      <c r="AA50" s="339" t="str" cm="1">
        <f t="array" ref="AA50">IFERROR(N50*(1+_xlfn.XLOOKUP(O50,'Rawlinsons regional indices'!$A$2:$A$63,'Rawlinsons regional indices'!$C$2:$C$63)+Q50)+(IF(R50&lt;&gt;"",INDEX('Variable index'!$E$57:$F$65,MATCH($R50,'Variable index'!$C$57:$C$65,0),$F$12),0)*S50)+(IF(T50&lt;&gt;"",INDEX('Variable index'!$E$68:$F$73,MATCH($T50,'Variable index'!$C$68:$C$73,0),$F$12),0)*U50)+(N50*V50)+(N50*X50)+(N50*Z50),"")</f>
        <v/>
      </c>
      <c r="AB50" s="303"/>
      <c r="AC50" s="337" t="str">
        <f t="shared" si="1"/>
        <v/>
      </c>
      <c r="AD50" s="340" t="str">
        <f t="shared" si="2"/>
        <v/>
      </c>
    </row>
    <row r="51" spans="4:30" ht="12" x14ac:dyDescent="0.25">
      <c r="D51" s="216">
        <f t="shared" si="0"/>
        <v>35</v>
      </c>
      <c r="E51" s="312"/>
      <c r="F51" s="187"/>
      <c r="G51" s="185"/>
      <c r="H51" s="299">
        <f>IFERROR(_xlfn.XLOOKUP(F51,Lists!$C$69:$C$99,Lists!$D$69:$D$99),0)</f>
        <v>0</v>
      </c>
      <c r="I51" s="185"/>
      <c r="J51" s="185"/>
      <c r="K51" s="333" t="str" cm="1">
        <f t="array" ref="K51">IFERROR(IF($H51=0,INDEX('Variable index'!$E$132:$F$215,MATCH($F51,'Variable index'!$C$132:$C$215,0),$F$12),INDEX('Variable index'!$E$132:$F$215,MATCH(_xlfn.CONCAT($F51," - ",$G51),'Variable index'!$C$132:$C$215,0),$F$12)),"")</f>
        <v/>
      </c>
      <c r="L51" s="334" t="str">
        <f>IFERROR(_xlfn.CONCAT("$ per ",IF($H51=0,_xlfn.XLOOKUP($F51,'Variable index'!$C$132:$C$215,'Variable index'!$D$132:$D$215),_xlfn.XLOOKUP(_xlfn.CONCAT($F51," - ",$G51),'Variable index'!$C$132:$C$215,'Variable index'!$D$132:$D$215))),"")</f>
        <v/>
      </c>
      <c r="M51" s="301"/>
      <c r="N51" s="343" t="str">
        <f>IFERROR(IF(TableOpenSpace[[#This Row],[Unit quantity]]="","",TableOpenSpace[[#This Row],[Unit rate]]*TableOpenSpace[[#This Row],[Unit quantity]]),"")</f>
        <v/>
      </c>
      <c r="O51" s="238" t="str">
        <f>IF(TableOpenSpace[[#This Row],[Type of infrastructure]]&lt;&gt;"",Summary!$F$8,"")</f>
        <v/>
      </c>
      <c r="P51" s="239" t="str">
        <f>IF(TableOpenSpace[[#This Row],[Type of infrastructure]]&lt;&gt;"",Summary!$F$9,"")</f>
        <v/>
      </c>
      <c r="Q51" s="302"/>
      <c r="R51" s="188"/>
      <c r="S51" s="301"/>
      <c r="T51" s="188"/>
      <c r="U51" s="301"/>
      <c r="V51" s="338" t="str" cm="1">
        <f t="array" ref="V51">IF(N51&lt;&gt;"",_xlfn.IFS(AND(N51&gt;='Variable index'!$K$35,N51&lt;'Variable index'!$K$36),'Variable index'!$L$35,AND(N51&gt;='Variable index'!$K$36,N51&lt;'Variable index'!$K$37),'Variable index'!$L$36,AND(N51&gt;='Variable index'!$K$37,N51&lt;'Variable index'!$K$38),'Variable index'!$L$37,N51&gt;='Variable index'!$K$38,'Variable index'!$L$38),"")</f>
        <v/>
      </c>
      <c r="W51" s="240"/>
      <c r="X51" s="336" t="str" cm="1">
        <f t="array" ref="X51">IF(AND(W51&lt;&gt;"",N51&lt;&gt;""),_xlfn.IFS(W51="Yes",_xlfn.IFS(AND(N51&gt;='Variable index'!$K$35,N51&lt;'Variable index'!$K$36),'Variable index'!$M$35,AND(N51&gt;='Variable index'!$K$36,N51&lt;'Variable index'!$K$37),'Variable index'!$M$36,AND(N51&gt;='Variable index'!$K$37,N51&lt;'Variable index'!$K$38),'Variable index'!$M$37,N51&gt;='Variable index'!$K$38,'Variable index'!$M$38),W51="No",0),"")</f>
        <v/>
      </c>
      <c r="Y51" s="189"/>
      <c r="Z51" s="336" t="str" cm="1">
        <f t="array" ref="Z51">IF(Y51&lt;&gt;"",_xlfn.IFS(Y51='Variable index'!$J$53,SUM('Variable index'!$K$50:$M$50),Y51='Variable index'!$J$54,SUM('Variable index'!$L$50:$M$50),Y51='Variable index'!$J$55,SUM('Variable index'!$M$50)),"")</f>
        <v/>
      </c>
      <c r="AA51" s="339" t="str" cm="1">
        <f t="array" ref="AA51">IFERROR(N51*(1+_xlfn.XLOOKUP(O51,'Rawlinsons regional indices'!$A$2:$A$63,'Rawlinsons regional indices'!$C$2:$C$63)+Q51)+(IF(R51&lt;&gt;"",INDEX('Variable index'!$E$57:$F$65,MATCH($R51,'Variable index'!$C$57:$C$65,0),$F$12),0)*S51)+(IF(T51&lt;&gt;"",INDEX('Variable index'!$E$68:$F$73,MATCH($T51,'Variable index'!$C$68:$C$73,0),$F$12),0)*U51)+(N51*V51)+(N51*X51)+(N51*Z51),"")</f>
        <v/>
      </c>
      <c r="AB51" s="303"/>
      <c r="AC51" s="337" t="str">
        <f t="shared" si="1"/>
        <v/>
      </c>
      <c r="AD51" s="340" t="str">
        <f t="shared" si="2"/>
        <v/>
      </c>
    </row>
    <row r="52" spans="4:30" ht="12" x14ac:dyDescent="0.25">
      <c r="D52" s="216">
        <f t="shared" si="0"/>
        <v>36</v>
      </c>
      <c r="E52" s="312"/>
      <c r="F52" s="187"/>
      <c r="G52" s="185"/>
      <c r="H52" s="299">
        <f>IFERROR(_xlfn.XLOOKUP(F52,Lists!$C$69:$C$99,Lists!$D$69:$D$99),0)</f>
        <v>0</v>
      </c>
      <c r="I52" s="185"/>
      <c r="J52" s="185"/>
      <c r="K52" s="333" t="str" cm="1">
        <f t="array" ref="K52">IFERROR(IF($H52=0,INDEX('Variable index'!$E$132:$F$215,MATCH($F52,'Variable index'!$C$132:$C$215,0),$F$12),INDEX('Variable index'!$E$132:$F$215,MATCH(_xlfn.CONCAT($F52," - ",$G52),'Variable index'!$C$132:$C$215,0),$F$12)),"")</f>
        <v/>
      </c>
      <c r="L52" s="334" t="str">
        <f>IFERROR(_xlfn.CONCAT("$ per ",IF($H52=0,_xlfn.XLOOKUP($F52,'Variable index'!$C$132:$C$215,'Variable index'!$D$132:$D$215),_xlfn.XLOOKUP(_xlfn.CONCAT($F52," - ",$G52),'Variable index'!$C$132:$C$215,'Variable index'!$D$132:$D$215))),"")</f>
        <v/>
      </c>
      <c r="M52" s="301"/>
      <c r="N52" s="343" t="str">
        <f>IFERROR(IF(TableOpenSpace[[#This Row],[Unit quantity]]="","",TableOpenSpace[[#This Row],[Unit rate]]*TableOpenSpace[[#This Row],[Unit quantity]]),"")</f>
        <v/>
      </c>
      <c r="O52" s="238" t="str">
        <f>IF(TableOpenSpace[[#This Row],[Type of infrastructure]]&lt;&gt;"",Summary!$F$8,"")</f>
        <v/>
      </c>
      <c r="P52" s="239" t="str">
        <f>IF(TableOpenSpace[[#This Row],[Type of infrastructure]]&lt;&gt;"",Summary!$F$9,"")</f>
        <v/>
      </c>
      <c r="Q52" s="302"/>
      <c r="R52" s="188"/>
      <c r="S52" s="301"/>
      <c r="T52" s="188"/>
      <c r="U52" s="301"/>
      <c r="V52" s="338" t="str" cm="1">
        <f t="array" ref="V52">IF(N52&lt;&gt;"",_xlfn.IFS(AND(N52&gt;='Variable index'!$K$35,N52&lt;'Variable index'!$K$36),'Variable index'!$L$35,AND(N52&gt;='Variable index'!$K$36,N52&lt;'Variable index'!$K$37),'Variable index'!$L$36,AND(N52&gt;='Variable index'!$K$37,N52&lt;'Variable index'!$K$38),'Variable index'!$L$37,N52&gt;='Variable index'!$K$38,'Variable index'!$L$38),"")</f>
        <v/>
      </c>
      <c r="W52" s="240"/>
      <c r="X52" s="336" t="str" cm="1">
        <f t="array" ref="X52">IF(AND(W52&lt;&gt;"",N52&lt;&gt;""),_xlfn.IFS(W52="Yes",_xlfn.IFS(AND(N52&gt;='Variable index'!$K$35,N52&lt;'Variable index'!$K$36),'Variable index'!$M$35,AND(N52&gt;='Variable index'!$K$36,N52&lt;'Variable index'!$K$37),'Variable index'!$M$36,AND(N52&gt;='Variable index'!$K$37,N52&lt;'Variable index'!$K$38),'Variable index'!$M$37,N52&gt;='Variable index'!$K$38,'Variable index'!$M$38),W52="No",0),"")</f>
        <v/>
      </c>
      <c r="Y52" s="189"/>
      <c r="Z52" s="336" t="str" cm="1">
        <f t="array" ref="Z52">IF(Y52&lt;&gt;"",_xlfn.IFS(Y52='Variable index'!$J$53,SUM('Variable index'!$K$50:$M$50),Y52='Variable index'!$J$54,SUM('Variable index'!$L$50:$M$50),Y52='Variable index'!$J$55,SUM('Variable index'!$M$50)),"")</f>
        <v/>
      </c>
      <c r="AA52" s="339" t="str" cm="1">
        <f t="array" ref="AA52">IFERROR(N52*(1+_xlfn.XLOOKUP(O52,'Rawlinsons regional indices'!$A$2:$A$63,'Rawlinsons regional indices'!$C$2:$C$63)+Q52)+(IF(R52&lt;&gt;"",INDEX('Variable index'!$E$57:$F$65,MATCH($R52,'Variable index'!$C$57:$C$65,0),$F$12),0)*S52)+(IF(T52&lt;&gt;"",INDEX('Variable index'!$E$68:$F$73,MATCH($T52,'Variable index'!$C$68:$C$73,0),$F$12),0)*U52)+(N52*V52)+(N52*X52)+(N52*Z52),"")</f>
        <v/>
      </c>
      <c r="AB52" s="303"/>
      <c r="AC52" s="337" t="str">
        <f t="shared" si="1"/>
        <v/>
      </c>
      <c r="AD52" s="340" t="str">
        <f t="shared" si="2"/>
        <v/>
      </c>
    </row>
    <row r="53" spans="4:30" ht="12" x14ac:dyDescent="0.25">
      <c r="D53" s="216">
        <f t="shared" si="0"/>
        <v>37</v>
      </c>
      <c r="E53" s="312"/>
      <c r="F53" s="187"/>
      <c r="G53" s="185"/>
      <c r="H53" s="299">
        <f>IFERROR(_xlfn.XLOOKUP(F53,Lists!$C$69:$C$99,Lists!$D$69:$D$99),0)</f>
        <v>0</v>
      </c>
      <c r="I53" s="185"/>
      <c r="J53" s="185"/>
      <c r="K53" s="333" t="str" cm="1">
        <f t="array" ref="K53">IFERROR(IF($H53=0,INDEX('Variable index'!$E$132:$F$215,MATCH($F53,'Variable index'!$C$132:$C$215,0),$F$12),INDEX('Variable index'!$E$132:$F$215,MATCH(_xlfn.CONCAT($F53," - ",$G53),'Variable index'!$C$132:$C$215,0),$F$12)),"")</f>
        <v/>
      </c>
      <c r="L53" s="334" t="str">
        <f>IFERROR(_xlfn.CONCAT("$ per ",IF($H53=0,_xlfn.XLOOKUP($F53,'Variable index'!$C$132:$C$215,'Variable index'!$D$132:$D$215),_xlfn.XLOOKUP(_xlfn.CONCAT($F53," - ",$G53),'Variable index'!$C$132:$C$215,'Variable index'!$D$132:$D$215))),"")</f>
        <v/>
      </c>
      <c r="M53" s="301"/>
      <c r="N53" s="343" t="str">
        <f>IFERROR(IF(TableOpenSpace[[#This Row],[Unit quantity]]="","",TableOpenSpace[[#This Row],[Unit rate]]*TableOpenSpace[[#This Row],[Unit quantity]]),"")</f>
        <v/>
      </c>
      <c r="O53" s="238" t="str">
        <f>IF(TableOpenSpace[[#This Row],[Type of infrastructure]]&lt;&gt;"",Summary!$F$8,"")</f>
        <v/>
      </c>
      <c r="P53" s="239" t="str">
        <f>IF(TableOpenSpace[[#This Row],[Type of infrastructure]]&lt;&gt;"",Summary!$F$9,"")</f>
        <v/>
      </c>
      <c r="Q53" s="302"/>
      <c r="R53" s="188"/>
      <c r="S53" s="301"/>
      <c r="T53" s="188"/>
      <c r="U53" s="301"/>
      <c r="V53" s="338" t="str" cm="1">
        <f t="array" ref="V53">IF(N53&lt;&gt;"",_xlfn.IFS(AND(N53&gt;='Variable index'!$K$35,N53&lt;'Variable index'!$K$36),'Variable index'!$L$35,AND(N53&gt;='Variable index'!$K$36,N53&lt;'Variable index'!$K$37),'Variable index'!$L$36,AND(N53&gt;='Variable index'!$K$37,N53&lt;'Variable index'!$K$38),'Variable index'!$L$37,N53&gt;='Variable index'!$K$38,'Variable index'!$L$38),"")</f>
        <v/>
      </c>
      <c r="W53" s="240"/>
      <c r="X53" s="336" t="str" cm="1">
        <f t="array" ref="X53">IF(AND(W53&lt;&gt;"",N53&lt;&gt;""),_xlfn.IFS(W53="Yes",_xlfn.IFS(AND(N53&gt;='Variable index'!$K$35,N53&lt;'Variable index'!$K$36),'Variable index'!$M$35,AND(N53&gt;='Variable index'!$K$36,N53&lt;'Variable index'!$K$37),'Variable index'!$M$36,AND(N53&gt;='Variable index'!$K$37,N53&lt;'Variable index'!$K$38),'Variable index'!$M$37,N53&gt;='Variable index'!$K$38,'Variable index'!$M$38),W53="No",0),"")</f>
        <v/>
      </c>
      <c r="Y53" s="189"/>
      <c r="Z53" s="336" t="str" cm="1">
        <f t="array" ref="Z53">IF(Y53&lt;&gt;"",_xlfn.IFS(Y53='Variable index'!$J$53,SUM('Variable index'!$K$50:$M$50),Y53='Variable index'!$J$54,SUM('Variable index'!$L$50:$M$50),Y53='Variable index'!$J$55,SUM('Variable index'!$M$50)),"")</f>
        <v/>
      </c>
      <c r="AA53" s="339" t="str" cm="1">
        <f t="array" ref="AA53">IFERROR(N53*(1+_xlfn.XLOOKUP(O53,'Rawlinsons regional indices'!$A$2:$A$63,'Rawlinsons regional indices'!$C$2:$C$63)+Q53)+(IF(R53&lt;&gt;"",INDEX('Variable index'!$E$57:$F$65,MATCH($R53,'Variable index'!$C$57:$C$65,0),$F$12),0)*S53)+(IF(T53&lt;&gt;"",INDEX('Variable index'!$E$68:$F$73,MATCH($T53,'Variable index'!$C$68:$C$73,0),$F$12),0)*U53)+(N53*V53)+(N53*X53)+(N53*Z53),"")</f>
        <v/>
      </c>
      <c r="AB53" s="303"/>
      <c r="AC53" s="337" t="str">
        <f t="shared" si="1"/>
        <v/>
      </c>
      <c r="AD53" s="340" t="str">
        <f t="shared" si="2"/>
        <v/>
      </c>
    </row>
    <row r="54" spans="4:30" ht="12" x14ac:dyDescent="0.25">
      <c r="D54" s="216">
        <f t="shared" si="0"/>
        <v>38</v>
      </c>
      <c r="E54" s="312"/>
      <c r="F54" s="187"/>
      <c r="G54" s="185"/>
      <c r="H54" s="299">
        <f>IFERROR(_xlfn.XLOOKUP(F54,Lists!$C$69:$C$99,Lists!$D$69:$D$99),0)</f>
        <v>0</v>
      </c>
      <c r="I54" s="185"/>
      <c r="J54" s="185"/>
      <c r="K54" s="333" t="str" cm="1">
        <f t="array" ref="K54">IFERROR(IF($H54=0,INDEX('Variable index'!$E$132:$F$215,MATCH($F54,'Variable index'!$C$132:$C$215,0),$F$12),INDEX('Variable index'!$E$132:$F$215,MATCH(_xlfn.CONCAT($F54," - ",$G54),'Variable index'!$C$132:$C$215,0),$F$12)),"")</f>
        <v/>
      </c>
      <c r="L54" s="334" t="str">
        <f>IFERROR(_xlfn.CONCAT("$ per ",IF($H54=0,_xlfn.XLOOKUP($F54,'Variable index'!$C$132:$C$215,'Variable index'!$D$132:$D$215),_xlfn.XLOOKUP(_xlfn.CONCAT($F54," - ",$G54),'Variable index'!$C$132:$C$215,'Variable index'!$D$132:$D$215))),"")</f>
        <v/>
      </c>
      <c r="M54" s="301"/>
      <c r="N54" s="343" t="str">
        <f>IFERROR(IF(TableOpenSpace[[#This Row],[Unit quantity]]="","",TableOpenSpace[[#This Row],[Unit rate]]*TableOpenSpace[[#This Row],[Unit quantity]]),"")</f>
        <v/>
      </c>
      <c r="O54" s="238" t="str">
        <f>IF(TableOpenSpace[[#This Row],[Type of infrastructure]]&lt;&gt;"",Summary!$F$8,"")</f>
        <v/>
      </c>
      <c r="P54" s="239" t="str">
        <f>IF(TableOpenSpace[[#This Row],[Type of infrastructure]]&lt;&gt;"",Summary!$F$9,"")</f>
        <v/>
      </c>
      <c r="Q54" s="302"/>
      <c r="R54" s="188"/>
      <c r="S54" s="301"/>
      <c r="T54" s="188"/>
      <c r="U54" s="301"/>
      <c r="V54" s="338" t="str" cm="1">
        <f t="array" ref="V54">IF(N54&lt;&gt;"",_xlfn.IFS(AND(N54&gt;='Variable index'!$K$35,N54&lt;'Variable index'!$K$36),'Variable index'!$L$35,AND(N54&gt;='Variable index'!$K$36,N54&lt;'Variable index'!$K$37),'Variable index'!$L$36,AND(N54&gt;='Variable index'!$K$37,N54&lt;'Variable index'!$K$38),'Variable index'!$L$37,N54&gt;='Variable index'!$K$38,'Variable index'!$L$38),"")</f>
        <v/>
      </c>
      <c r="W54" s="240"/>
      <c r="X54" s="336" t="str" cm="1">
        <f t="array" ref="X54">IF(AND(W54&lt;&gt;"",N54&lt;&gt;""),_xlfn.IFS(W54="Yes",_xlfn.IFS(AND(N54&gt;='Variable index'!$K$35,N54&lt;'Variable index'!$K$36),'Variable index'!$M$35,AND(N54&gt;='Variable index'!$K$36,N54&lt;'Variable index'!$K$37),'Variable index'!$M$36,AND(N54&gt;='Variable index'!$K$37,N54&lt;'Variable index'!$K$38),'Variable index'!$M$37,N54&gt;='Variable index'!$K$38,'Variable index'!$M$38),W54="No",0),"")</f>
        <v/>
      </c>
      <c r="Y54" s="189"/>
      <c r="Z54" s="336" t="str" cm="1">
        <f t="array" ref="Z54">IF(Y54&lt;&gt;"",_xlfn.IFS(Y54='Variable index'!$J$53,SUM('Variable index'!$K$50:$M$50),Y54='Variable index'!$J$54,SUM('Variable index'!$L$50:$M$50),Y54='Variable index'!$J$55,SUM('Variable index'!$M$50)),"")</f>
        <v/>
      </c>
      <c r="AA54" s="339" t="str" cm="1">
        <f t="array" ref="AA54">IFERROR(N54*(1+_xlfn.XLOOKUP(O54,'Rawlinsons regional indices'!$A$2:$A$63,'Rawlinsons regional indices'!$C$2:$C$63)+Q54)+(IF(R54&lt;&gt;"",INDEX('Variable index'!$E$57:$F$65,MATCH($R54,'Variable index'!$C$57:$C$65,0),$F$12),0)*S54)+(IF(T54&lt;&gt;"",INDEX('Variable index'!$E$68:$F$73,MATCH($T54,'Variable index'!$C$68:$C$73,0),$F$12),0)*U54)+(N54*V54)+(N54*X54)+(N54*Z54),"")</f>
        <v/>
      </c>
      <c r="AB54" s="303"/>
      <c r="AC54" s="337" t="str">
        <f t="shared" si="1"/>
        <v/>
      </c>
      <c r="AD54" s="340" t="str">
        <f t="shared" si="2"/>
        <v/>
      </c>
    </row>
    <row r="55" spans="4:30" ht="12" x14ac:dyDescent="0.25">
      <c r="D55" s="216">
        <f t="shared" si="0"/>
        <v>39</v>
      </c>
      <c r="E55" s="312"/>
      <c r="F55" s="187"/>
      <c r="G55" s="185"/>
      <c r="H55" s="299">
        <f>IFERROR(_xlfn.XLOOKUP(F55,Lists!$C$69:$C$99,Lists!$D$69:$D$99),0)</f>
        <v>0</v>
      </c>
      <c r="I55" s="185"/>
      <c r="J55" s="185"/>
      <c r="K55" s="333" t="str" cm="1">
        <f t="array" ref="K55">IFERROR(IF($H55=0,INDEX('Variable index'!$E$132:$F$215,MATCH($F55,'Variable index'!$C$132:$C$215,0),$F$12),INDEX('Variable index'!$E$132:$F$215,MATCH(_xlfn.CONCAT($F55," - ",$G55),'Variable index'!$C$132:$C$215,0),$F$12)),"")</f>
        <v/>
      </c>
      <c r="L55" s="334" t="str">
        <f>IFERROR(_xlfn.CONCAT("$ per ",IF($H55=0,_xlfn.XLOOKUP($F55,'Variable index'!$C$132:$C$215,'Variable index'!$D$132:$D$215),_xlfn.XLOOKUP(_xlfn.CONCAT($F55," - ",$G55),'Variable index'!$C$132:$C$215,'Variable index'!$D$132:$D$215))),"")</f>
        <v/>
      </c>
      <c r="M55" s="301"/>
      <c r="N55" s="343" t="str">
        <f>IFERROR(IF(TableOpenSpace[[#This Row],[Unit quantity]]="","",TableOpenSpace[[#This Row],[Unit rate]]*TableOpenSpace[[#This Row],[Unit quantity]]),"")</f>
        <v/>
      </c>
      <c r="O55" s="238" t="str">
        <f>IF(TableOpenSpace[[#This Row],[Type of infrastructure]]&lt;&gt;"",Summary!$F$8,"")</f>
        <v/>
      </c>
      <c r="P55" s="239" t="str">
        <f>IF(TableOpenSpace[[#This Row],[Type of infrastructure]]&lt;&gt;"",Summary!$F$9,"")</f>
        <v/>
      </c>
      <c r="Q55" s="302"/>
      <c r="R55" s="188"/>
      <c r="S55" s="301"/>
      <c r="T55" s="188"/>
      <c r="U55" s="301"/>
      <c r="V55" s="338" t="str" cm="1">
        <f t="array" ref="V55">IF(N55&lt;&gt;"",_xlfn.IFS(AND(N55&gt;='Variable index'!$K$35,N55&lt;'Variable index'!$K$36),'Variable index'!$L$35,AND(N55&gt;='Variable index'!$K$36,N55&lt;'Variable index'!$K$37),'Variable index'!$L$36,AND(N55&gt;='Variable index'!$K$37,N55&lt;'Variable index'!$K$38),'Variable index'!$L$37,N55&gt;='Variable index'!$K$38,'Variable index'!$L$38),"")</f>
        <v/>
      </c>
      <c r="W55" s="240"/>
      <c r="X55" s="336" t="str" cm="1">
        <f t="array" ref="X55">IF(AND(W55&lt;&gt;"",N55&lt;&gt;""),_xlfn.IFS(W55="Yes",_xlfn.IFS(AND(N55&gt;='Variable index'!$K$35,N55&lt;'Variable index'!$K$36),'Variable index'!$M$35,AND(N55&gt;='Variable index'!$K$36,N55&lt;'Variable index'!$K$37),'Variable index'!$M$36,AND(N55&gt;='Variable index'!$K$37,N55&lt;'Variable index'!$K$38),'Variable index'!$M$37,N55&gt;='Variable index'!$K$38,'Variable index'!$M$38),W55="No",0),"")</f>
        <v/>
      </c>
      <c r="Y55" s="189"/>
      <c r="Z55" s="336" t="str" cm="1">
        <f t="array" ref="Z55">IF(Y55&lt;&gt;"",_xlfn.IFS(Y55='Variable index'!$J$53,SUM('Variable index'!$K$50:$M$50),Y55='Variable index'!$J$54,SUM('Variable index'!$L$50:$M$50),Y55='Variable index'!$J$55,SUM('Variable index'!$M$50)),"")</f>
        <v/>
      </c>
      <c r="AA55" s="339" t="str" cm="1">
        <f t="array" ref="AA55">IFERROR(N55*(1+_xlfn.XLOOKUP(O55,'Rawlinsons regional indices'!$A$2:$A$63,'Rawlinsons regional indices'!$C$2:$C$63)+Q55)+(IF(R55&lt;&gt;"",INDEX('Variable index'!$E$57:$F$65,MATCH($R55,'Variable index'!$C$57:$C$65,0),$F$12),0)*S55)+(IF(T55&lt;&gt;"",INDEX('Variable index'!$E$68:$F$73,MATCH($T55,'Variable index'!$C$68:$C$73,0),$F$12),0)*U55)+(N55*V55)+(N55*X55)+(N55*Z55),"")</f>
        <v/>
      </c>
      <c r="AB55" s="303"/>
      <c r="AC55" s="337" t="str">
        <f t="shared" si="1"/>
        <v/>
      </c>
      <c r="AD55" s="340" t="str">
        <f t="shared" si="2"/>
        <v/>
      </c>
    </row>
    <row r="56" spans="4:30" ht="12" x14ac:dyDescent="0.25">
      <c r="D56" s="216">
        <f t="shared" si="0"/>
        <v>40</v>
      </c>
      <c r="E56" s="312"/>
      <c r="F56" s="186"/>
      <c r="G56" s="185"/>
      <c r="H56" s="243">
        <f>IFERROR(_xlfn.XLOOKUP(F56,Lists!$C$69:$C$99,Lists!$D$69:$D$99),0)</f>
        <v>0</v>
      </c>
      <c r="I56" s="185"/>
      <c r="J56" s="185"/>
      <c r="K56" s="333" t="str" cm="1">
        <f t="array" ref="K56">IFERROR(IF($H56=0,INDEX('Variable index'!$E$132:$F$215,MATCH($F56,'Variable index'!$C$132:$C$215,0),$F$12),INDEX('Variable index'!$E$132:$F$215,MATCH(_xlfn.CONCAT($F56," - ",$G56),'Variable index'!$C$132:$C$215,0),$F$12)),"")</f>
        <v/>
      </c>
      <c r="L56" s="334" t="str">
        <f>IFERROR(_xlfn.CONCAT("$ per ",IF($H56=0,_xlfn.XLOOKUP($F56,'Variable index'!$C$132:$C$215,'Variable index'!$D$132:$D$215),_xlfn.XLOOKUP(_xlfn.CONCAT($F56," - ",$G56),'Variable index'!$C$132:$C$215,'Variable index'!$D$132:$D$215))),"")</f>
        <v/>
      </c>
      <c r="M56" s="140"/>
      <c r="N56" s="343" t="str">
        <f>IFERROR(IF(TableOpenSpace[[#This Row],[Unit quantity]]="","",TableOpenSpace[[#This Row],[Unit rate]]*TableOpenSpace[[#This Row],[Unit quantity]]),"")</f>
        <v/>
      </c>
      <c r="O56" s="238" t="str">
        <f>IF(TableOpenSpace[[#This Row],[Type of infrastructure]]&lt;&gt;"",Summary!$F$8,"")</f>
        <v/>
      </c>
      <c r="P56" s="239" t="str">
        <f>IF(TableOpenSpace[[#This Row],[Type of infrastructure]]&lt;&gt;"",Summary!$F$9,"")</f>
        <v/>
      </c>
      <c r="Q56" s="241"/>
      <c r="R56" s="188"/>
      <c r="S56" s="140"/>
      <c r="T56" s="188"/>
      <c r="U56" s="140"/>
      <c r="V56" s="338" t="str" cm="1">
        <f t="array" ref="V56">IF(N56&lt;&gt;"",_xlfn.IFS(AND(N56&gt;='Variable index'!$K$35,N56&lt;'Variable index'!$K$36),'Variable index'!$L$35,AND(N56&gt;='Variable index'!$K$36,N56&lt;'Variable index'!$K$37),'Variable index'!$L$36,AND(N56&gt;='Variable index'!$K$37,N56&lt;'Variable index'!$K$38),'Variable index'!$L$37,N56&gt;='Variable index'!$K$38,'Variable index'!$L$38),"")</f>
        <v/>
      </c>
      <c r="W56" s="237"/>
      <c r="X56" s="336" t="str" cm="1">
        <f t="array" ref="X56">IF(AND(W56&lt;&gt;"",N56&lt;&gt;""),_xlfn.IFS(W56="Yes",_xlfn.IFS(AND(N56&gt;='Variable index'!$K$35,N56&lt;'Variable index'!$K$36),'Variable index'!$M$35,AND(N56&gt;='Variable index'!$K$36,N56&lt;'Variable index'!$K$37),'Variable index'!$M$36,AND(N56&gt;='Variable index'!$K$37,N56&lt;'Variable index'!$K$38),'Variable index'!$M$37,N56&gt;='Variable index'!$K$38,'Variable index'!$M$38),W56="No",0),"")</f>
        <v/>
      </c>
      <c r="Y56" s="189"/>
      <c r="Z56" s="336" t="str" cm="1">
        <f t="array" ref="Z56">IF(Y56&lt;&gt;"",_xlfn.IFS(Y56='Variable index'!$J$53,SUM('Variable index'!$K$50:$M$50),Y56='Variable index'!$J$54,SUM('Variable index'!$L$50:$M$50),Y56='Variable index'!$J$55,SUM('Variable index'!$M$50)),"")</f>
        <v/>
      </c>
      <c r="AA56" s="339" t="str" cm="1">
        <f t="array" ref="AA56">IFERROR(N56*(1+_xlfn.XLOOKUP(O56,'Rawlinsons regional indices'!$A$2:$A$63,'Rawlinsons regional indices'!$C$2:$C$63)+Q56)+(IF(R56&lt;&gt;"",INDEX('Variable index'!$E$57:$F$65,MATCH($R56,'Variable index'!$C$57:$C$65,0),$F$12),0)*S56)+(IF(T56&lt;&gt;"",INDEX('Variable index'!$E$68:$F$73,MATCH($T56,'Variable index'!$C$68:$C$73,0),$F$12),0)*U56)+(N56*V56)+(N56*X56)+(N56*Z56),"")</f>
        <v/>
      </c>
      <c r="AB56" s="303"/>
      <c r="AC56" s="337" t="str">
        <f t="shared" si="1"/>
        <v/>
      </c>
      <c r="AD56" s="340" t="str">
        <f t="shared" si="2"/>
        <v/>
      </c>
    </row>
    <row r="57" spans="4:30" ht="12" x14ac:dyDescent="0.25">
      <c r="D57" s="216">
        <f t="shared" si="0"/>
        <v>41</v>
      </c>
      <c r="E57" s="312"/>
      <c r="F57" s="186"/>
      <c r="G57" s="185"/>
      <c r="H57" s="243">
        <f>IFERROR(_xlfn.XLOOKUP(F57,Lists!$C$69:$C$99,Lists!$D$69:$D$99),0)</f>
        <v>0</v>
      </c>
      <c r="I57" s="185"/>
      <c r="J57" s="185"/>
      <c r="K57" s="333" t="str" cm="1">
        <f t="array" ref="K57">IFERROR(IF($H57=0,INDEX('Variable index'!$E$132:$F$215,MATCH($F57,'Variable index'!$C$132:$C$215,0),$F$12),INDEX('Variable index'!$E$132:$F$215,MATCH(_xlfn.CONCAT($F57," - ",$G57),'Variable index'!$C$132:$C$215,0),$F$12)),"")</f>
        <v/>
      </c>
      <c r="L57" s="334" t="str">
        <f>IFERROR(_xlfn.CONCAT("$ per ",IF($H57=0,_xlfn.XLOOKUP($F57,'Variable index'!$C$132:$C$215,'Variable index'!$D$132:$D$215),_xlfn.XLOOKUP(_xlfn.CONCAT($F57," - ",$G57),'Variable index'!$C$132:$C$215,'Variable index'!$D$132:$D$215))),"")</f>
        <v/>
      </c>
      <c r="M57" s="140"/>
      <c r="N57" s="343" t="str">
        <f>IFERROR(IF(TableOpenSpace[[#This Row],[Unit quantity]]="","",TableOpenSpace[[#This Row],[Unit rate]]*TableOpenSpace[[#This Row],[Unit quantity]]),"")</f>
        <v/>
      </c>
      <c r="O57" s="238" t="str">
        <f>IF(TableOpenSpace[[#This Row],[Type of infrastructure]]&lt;&gt;"",Summary!$F$8,"")</f>
        <v/>
      </c>
      <c r="P57" s="239" t="str">
        <f>IF(TableOpenSpace[[#This Row],[Type of infrastructure]]&lt;&gt;"",Summary!$F$9,"")</f>
        <v/>
      </c>
      <c r="Q57" s="241"/>
      <c r="R57" s="188"/>
      <c r="S57" s="140"/>
      <c r="T57" s="188"/>
      <c r="U57" s="140"/>
      <c r="V57" s="338" t="str" cm="1">
        <f t="array" ref="V57">IF(N57&lt;&gt;"",_xlfn.IFS(AND(N57&gt;='Variable index'!$K$35,N57&lt;'Variable index'!$K$36),'Variable index'!$L$35,AND(N57&gt;='Variable index'!$K$36,N57&lt;'Variable index'!$K$37),'Variable index'!$L$36,AND(N57&gt;='Variable index'!$K$37,N57&lt;'Variable index'!$K$38),'Variable index'!$L$37,N57&gt;='Variable index'!$K$38,'Variable index'!$L$38),"")</f>
        <v/>
      </c>
      <c r="W57" s="237"/>
      <c r="X57" s="336" t="str" cm="1">
        <f t="array" ref="X57">IF(AND(W57&lt;&gt;"",N57&lt;&gt;""),_xlfn.IFS(W57="Yes",_xlfn.IFS(AND(N57&gt;='Variable index'!$K$35,N57&lt;'Variable index'!$K$36),'Variable index'!$M$35,AND(N57&gt;='Variable index'!$K$36,N57&lt;'Variable index'!$K$37),'Variable index'!$M$36,AND(N57&gt;='Variable index'!$K$37,N57&lt;'Variable index'!$K$38),'Variable index'!$M$37,N57&gt;='Variable index'!$K$38,'Variable index'!$M$38),W57="No",0),"")</f>
        <v/>
      </c>
      <c r="Y57" s="189"/>
      <c r="Z57" s="336" t="str" cm="1">
        <f t="array" ref="Z57">IF(Y57&lt;&gt;"",_xlfn.IFS(Y57='Variable index'!$J$53,SUM('Variable index'!$K$50:$M$50),Y57='Variable index'!$J$54,SUM('Variable index'!$L$50:$M$50),Y57='Variable index'!$J$55,SUM('Variable index'!$M$50)),"")</f>
        <v/>
      </c>
      <c r="AA57" s="339" t="str" cm="1">
        <f t="array" ref="AA57">IFERROR(N57*(1+_xlfn.XLOOKUP(O57,'Rawlinsons regional indices'!$A$2:$A$63,'Rawlinsons regional indices'!$C$2:$C$63)+Q57)+(IF(R57&lt;&gt;"",INDEX('Variable index'!$E$57:$F$65,MATCH($R57,'Variable index'!$C$57:$C$65,0),$F$12),0)*S57)+(IF(T57&lt;&gt;"",INDEX('Variable index'!$E$68:$F$73,MATCH($T57,'Variable index'!$C$68:$C$73,0),$F$12),0)*U57)+(N57*V57)+(N57*X57)+(N57*Z57),"")</f>
        <v/>
      </c>
      <c r="AB57" s="303"/>
      <c r="AC57" s="337" t="str">
        <f t="shared" si="1"/>
        <v/>
      </c>
      <c r="AD57" s="340" t="str">
        <f t="shared" si="2"/>
        <v/>
      </c>
    </row>
    <row r="58" spans="4:30" ht="12" x14ac:dyDescent="0.25">
      <c r="D58" s="216">
        <f t="shared" si="0"/>
        <v>42</v>
      </c>
      <c r="E58" s="312"/>
      <c r="F58" s="186"/>
      <c r="G58" s="185"/>
      <c r="H58" s="243">
        <f>IFERROR(_xlfn.XLOOKUP(F58,Lists!$C$69:$C$99,Lists!$D$69:$D$99),0)</f>
        <v>0</v>
      </c>
      <c r="I58" s="185"/>
      <c r="J58" s="185"/>
      <c r="K58" s="333" t="str" cm="1">
        <f t="array" ref="K58">IFERROR(IF($H58=0,INDEX('Variable index'!$E$132:$F$215,MATCH($F58,'Variable index'!$C$132:$C$215,0),$F$12),INDEX('Variable index'!$E$132:$F$215,MATCH(_xlfn.CONCAT($F58," - ",$G58),'Variable index'!$C$132:$C$215,0),$F$12)),"")</f>
        <v/>
      </c>
      <c r="L58" s="334" t="str">
        <f>IFERROR(_xlfn.CONCAT("$ per ",IF($H58=0,_xlfn.XLOOKUP($F58,'Variable index'!$C$132:$C$215,'Variable index'!$D$132:$D$215),_xlfn.XLOOKUP(_xlfn.CONCAT($F58," - ",$G58),'Variable index'!$C$132:$C$215,'Variable index'!$D$132:$D$215))),"")</f>
        <v/>
      </c>
      <c r="M58" s="140"/>
      <c r="N58" s="343" t="str">
        <f>IFERROR(IF(TableOpenSpace[[#This Row],[Unit quantity]]="","",TableOpenSpace[[#This Row],[Unit rate]]*TableOpenSpace[[#This Row],[Unit quantity]]),"")</f>
        <v/>
      </c>
      <c r="O58" s="238" t="str">
        <f>IF(TableOpenSpace[[#This Row],[Type of infrastructure]]&lt;&gt;"",Summary!$F$8,"")</f>
        <v/>
      </c>
      <c r="P58" s="239" t="str">
        <f>IF(TableOpenSpace[[#This Row],[Type of infrastructure]]&lt;&gt;"",Summary!$F$9,"")</f>
        <v/>
      </c>
      <c r="Q58" s="241"/>
      <c r="R58" s="188"/>
      <c r="S58" s="140"/>
      <c r="T58" s="188"/>
      <c r="U58" s="140"/>
      <c r="V58" s="338" t="str" cm="1">
        <f t="array" ref="V58">IF(N58&lt;&gt;"",_xlfn.IFS(AND(N58&gt;='Variable index'!$K$35,N58&lt;'Variable index'!$K$36),'Variable index'!$L$35,AND(N58&gt;='Variable index'!$K$36,N58&lt;'Variable index'!$K$37),'Variable index'!$L$36,AND(N58&gt;='Variable index'!$K$37,N58&lt;'Variable index'!$K$38),'Variable index'!$L$37,N58&gt;='Variable index'!$K$38,'Variable index'!$L$38),"")</f>
        <v/>
      </c>
      <c r="W58" s="237"/>
      <c r="X58" s="336" t="str" cm="1">
        <f t="array" ref="X58">IF(AND(W58&lt;&gt;"",N58&lt;&gt;""),_xlfn.IFS(W58="Yes",_xlfn.IFS(AND(N58&gt;='Variable index'!$K$35,N58&lt;'Variable index'!$K$36),'Variable index'!$M$35,AND(N58&gt;='Variable index'!$K$36,N58&lt;'Variable index'!$K$37),'Variable index'!$M$36,AND(N58&gt;='Variable index'!$K$37,N58&lt;'Variable index'!$K$38),'Variable index'!$M$37,N58&gt;='Variable index'!$K$38,'Variable index'!$M$38),W58="No",0),"")</f>
        <v/>
      </c>
      <c r="Y58" s="189"/>
      <c r="Z58" s="336" t="str" cm="1">
        <f t="array" ref="Z58">IF(Y58&lt;&gt;"",_xlfn.IFS(Y58='Variable index'!$J$53,SUM('Variable index'!$K$50:$M$50),Y58='Variable index'!$J$54,SUM('Variable index'!$L$50:$M$50),Y58='Variable index'!$J$55,SUM('Variable index'!$M$50)),"")</f>
        <v/>
      </c>
      <c r="AA58" s="339" t="str" cm="1">
        <f t="array" ref="AA58">IFERROR(N58*(1+_xlfn.XLOOKUP(O58,'Rawlinsons regional indices'!$A$2:$A$63,'Rawlinsons regional indices'!$C$2:$C$63)+Q58)+(IF(R58&lt;&gt;"",INDEX('Variable index'!$E$57:$F$65,MATCH($R58,'Variable index'!$C$57:$C$65,0),$F$12),0)*S58)+(IF(T58&lt;&gt;"",INDEX('Variable index'!$E$68:$F$73,MATCH($T58,'Variable index'!$C$68:$C$73,0),$F$12),0)*U58)+(N58*V58)+(N58*X58)+(N58*Z58),"")</f>
        <v/>
      </c>
      <c r="AB58" s="303"/>
      <c r="AC58" s="337" t="str">
        <f t="shared" si="1"/>
        <v/>
      </c>
      <c r="AD58" s="340" t="str">
        <f t="shared" si="2"/>
        <v/>
      </c>
    </row>
    <row r="59" spans="4:30" ht="12" x14ac:dyDescent="0.25">
      <c r="D59" s="216">
        <f t="shared" si="0"/>
        <v>43</v>
      </c>
      <c r="E59" s="312"/>
      <c r="F59" s="186"/>
      <c r="G59" s="185"/>
      <c r="H59" s="243">
        <f>IFERROR(_xlfn.XLOOKUP(F59,Lists!$C$69:$C$99,Lists!$D$69:$D$99),0)</f>
        <v>0</v>
      </c>
      <c r="I59" s="185"/>
      <c r="J59" s="185"/>
      <c r="K59" s="333" t="str" cm="1">
        <f t="array" ref="K59">IFERROR(IF($H59=0,INDEX('Variable index'!$E$132:$F$215,MATCH($F59,'Variable index'!$C$132:$C$215,0),$F$12),INDEX('Variable index'!$E$132:$F$215,MATCH(_xlfn.CONCAT($F59," - ",$G59),'Variable index'!$C$132:$C$215,0),$F$12)),"")</f>
        <v/>
      </c>
      <c r="L59" s="334" t="str">
        <f>IFERROR(_xlfn.CONCAT("$ per ",IF($H59=0,_xlfn.XLOOKUP($F59,'Variable index'!$C$132:$C$215,'Variable index'!$D$132:$D$215),_xlfn.XLOOKUP(_xlfn.CONCAT($F59," - ",$G59),'Variable index'!$C$132:$C$215,'Variable index'!$D$132:$D$215))),"")</f>
        <v/>
      </c>
      <c r="M59" s="140"/>
      <c r="N59" s="343" t="str">
        <f>IFERROR(IF(TableOpenSpace[[#This Row],[Unit quantity]]="","",TableOpenSpace[[#This Row],[Unit rate]]*TableOpenSpace[[#This Row],[Unit quantity]]),"")</f>
        <v/>
      </c>
      <c r="O59" s="238" t="str">
        <f>IF(TableOpenSpace[[#This Row],[Type of infrastructure]]&lt;&gt;"",Summary!$F$8,"")</f>
        <v/>
      </c>
      <c r="P59" s="239" t="str">
        <f>IF(TableOpenSpace[[#This Row],[Type of infrastructure]]&lt;&gt;"",Summary!$F$9,"")</f>
        <v/>
      </c>
      <c r="Q59" s="241"/>
      <c r="R59" s="188"/>
      <c r="S59" s="140"/>
      <c r="T59" s="188"/>
      <c r="U59" s="140"/>
      <c r="V59" s="338" t="str" cm="1">
        <f t="array" ref="V59">IF(N59&lt;&gt;"",_xlfn.IFS(AND(N59&gt;='Variable index'!$K$35,N59&lt;'Variable index'!$K$36),'Variable index'!$L$35,AND(N59&gt;='Variable index'!$K$36,N59&lt;'Variable index'!$K$37),'Variable index'!$L$36,AND(N59&gt;='Variable index'!$K$37,N59&lt;'Variable index'!$K$38),'Variable index'!$L$37,N59&gt;='Variable index'!$K$38,'Variable index'!$L$38),"")</f>
        <v/>
      </c>
      <c r="W59" s="237"/>
      <c r="X59" s="336" t="str" cm="1">
        <f t="array" ref="X59">IF(AND(W59&lt;&gt;"",N59&lt;&gt;""),_xlfn.IFS(W59="Yes",_xlfn.IFS(AND(N59&gt;='Variable index'!$K$35,N59&lt;'Variable index'!$K$36),'Variable index'!$M$35,AND(N59&gt;='Variable index'!$K$36,N59&lt;'Variable index'!$K$37),'Variable index'!$M$36,AND(N59&gt;='Variable index'!$K$37,N59&lt;'Variable index'!$K$38),'Variable index'!$M$37,N59&gt;='Variable index'!$K$38,'Variable index'!$M$38),W59="No",0),"")</f>
        <v/>
      </c>
      <c r="Y59" s="189"/>
      <c r="Z59" s="336" t="str" cm="1">
        <f t="array" ref="Z59">IF(Y59&lt;&gt;"",_xlfn.IFS(Y59='Variable index'!$J$53,SUM('Variable index'!$K$50:$M$50),Y59='Variable index'!$J$54,SUM('Variable index'!$L$50:$M$50),Y59='Variable index'!$J$55,SUM('Variable index'!$M$50)),"")</f>
        <v/>
      </c>
      <c r="AA59" s="339" t="str" cm="1">
        <f t="array" ref="AA59">IFERROR(N59*(1+_xlfn.XLOOKUP(O59,'Rawlinsons regional indices'!$A$2:$A$63,'Rawlinsons regional indices'!$C$2:$C$63)+Q59)+(IF(R59&lt;&gt;"",INDEX('Variable index'!$E$57:$F$65,MATCH($R59,'Variable index'!$C$57:$C$65,0),$F$12),0)*S59)+(IF(T59&lt;&gt;"",INDEX('Variable index'!$E$68:$F$73,MATCH($T59,'Variable index'!$C$68:$C$73,0),$F$12),0)*U59)+(N59*V59)+(N59*X59)+(N59*Z59),"")</f>
        <v/>
      </c>
      <c r="AB59" s="303"/>
      <c r="AC59" s="337" t="str">
        <f t="shared" si="1"/>
        <v/>
      </c>
      <c r="AD59" s="340" t="str">
        <f t="shared" si="2"/>
        <v/>
      </c>
    </row>
    <row r="60" spans="4:30" ht="12" x14ac:dyDescent="0.25">
      <c r="D60" s="216">
        <f t="shared" si="0"/>
        <v>44</v>
      </c>
      <c r="E60" s="312"/>
      <c r="F60" s="186"/>
      <c r="G60" s="185"/>
      <c r="H60" s="243">
        <f>IFERROR(_xlfn.XLOOKUP(F60,Lists!$C$69:$C$99,Lists!$D$69:$D$99),0)</f>
        <v>0</v>
      </c>
      <c r="I60" s="185"/>
      <c r="J60" s="185"/>
      <c r="K60" s="333" t="str" cm="1">
        <f t="array" ref="K60">IFERROR(IF($H60=0,INDEX('Variable index'!$E$132:$F$215,MATCH($F60,'Variable index'!$C$132:$C$215,0),$F$12),INDEX('Variable index'!$E$132:$F$215,MATCH(_xlfn.CONCAT($F60," - ",$G60),'Variable index'!$C$132:$C$215,0),$F$12)),"")</f>
        <v/>
      </c>
      <c r="L60" s="334" t="str">
        <f>IFERROR(_xlfn.CONCAT("$ per ",IF($H60=0,_xlfn.XLOOKUP($F60,'Variable index'!$C$132:$C$215,'Variable index'!$D$132:$D$215),_xlfn.XLOOKUP(_xlfn.CONCAT($F60," - ",$G60),'Variable index'!$C$132:$C$215,'Variable index'!$D$132:$D$215))),"")</f>
        <v/>
      </c>
      <c r="M60" s="140"/>
      <c r="N60" s="343" t="str">
        <f>IFERROR(IF(TableOpenSpace[[#This Row],[Unit quantity]]="","",TableOpenSpace[[#This Row],[Unit rate]]*TableOpenSpace[[#This Row],[Unit quantity]]),"")</f>
        <v/>
      </c>
      <c r="O60" s="238" t="str">
        <f>IF(TableOpenSpace[[#This Row],[Type of infrastructure]]&lt;&gt;"",Summary!$F$8,"")</f>
        <v/>
      </c>
      <c r="P60" s="239" t="str">
        <f>IF(TableOpenSpace[[#This Row],[Type of infrastructure]]&lt;&gt;"",Summary!$F$9,"")</f>
        <v/>
      </c>
      <c r="Q60" s="241"/>
      <c r="R60" s="188"/>
      <c r="S60" s="140"/>
      <c r="T60" s="188"/>
      <c r="U60" s="140"/>
      <c r="V60" s="338" t="str" cm="1">
        <f t="array" ref="V60">IF(N60&lt;&gt;"",_xlfn.IFS(AND(N60&gt;='Variable index'!$K$35,N60&lt;'Variable index'!$K$36),'Variable index'!$L$35,AND(N60&gt;='Variable index'!$K$36,N60&lt;'Variable index'!$K$37),'Variable index'!$L$36,AND(N60&gt;='Variable index'!$K$37,N60&lt;'Variable index'!$K$38),'Variable index'!$L$37,N60&gt;='Variable index'!$K$38,'Variable index'!$L$38),"")</f>
        <v/>
      </c>
      <c r="W60" s="237"/>
      <c r="X60" s="336" t="str" cm="1">
        <f t="array" ref="X60">IF(AND(W60&lt;&gt;"",N60&lt;&gt;""),_xlfn.IFS(W60="Yes",_xlfn.IFS(AND(N60&gt;='Variable index'!$K$35,N60&lt;'Variable index'!$K$36),'Variable index'!$M$35,AND(N60&gt;='Variable index'!$K$36,N60&lt;'Variable index'!$K$37),'Variable index'!$M$36,AND(N60&gt;='Variable index'!$K$37,N60&lt;'Variable index'!$K$38),'Variable index'!$M$37,N60&gt;='Variable index'!$K$38,'Variable index'!$M$38),W60="No",0),"")</f>
        <v/>
      </c>
      <c r="Y60" s="189"/>
      <c r="Z60" s="336" t="str" cm="1">
        <f t="array" ref="Z60">IF(Y60&lt;&gt;"",_xlfn.IFS(Y60='Variable index'!$J$53,SUM('Variable index'!$K$50:$M$50),Y60='Variable index'!$J$54,SUM('Variable index'!$L$50:$M$50),Y60='Variable index'!$J$55,SUM('Variable index'!$M$50)),"")</f>
        <v/>
      </c>
      <c r="AA60" s="339" t="str" cm="1">
        <f t="array" ref="AA60">IFERROR(N60*(1+_xlfn.XLOOKUP(O60,'Rawlinsons regional indices'!$A$2:$A$63,'Rawlinsons regional indices'!$C$2:$C$63)+Q60)+(IF(R60&lt;&gt;"",INDEX('Variable index'!$E$57:$F$65,MATCH($R60,'Variable index'!$C$57:$C$65,0),$F$12),0)*S60)+(IF(T60&lt;&gt;"",INDEX('Variable index'!$E$68:$F$73,MATCH($T60,'Variable index'!$C$68:$C$73,0),$F$12),0)*U60)+(N60*V60)+(N60*X60)+(N60*Z60),"")</f>
        <v/>
      </c>
      <c r="AB60" s="303"/>
      <c r="AC60" s="337" t="str">
        <f t="shared" si="1"/>
        <v/>
      </c>
      <c r="AD60" s="340" t="str">
        <f t="shared" si="2"/>
        <v/>
      </c>
    </row>
    <row r="61" spans="4:30" ht="12" x14ac:dyDescent="0.25">
      <c r="D61" s="216">
        <f t="shared" si="0"/>
        <v>45</v>
      </c>
      <c r="E61" s="312"/>
      <c r="F61" s="186"/>
      <c r="G61" s="185"/>
      <c r="H61" s="244">
        <f>IFERROR(_xlfn.XLOOKUP(F61,Lists!$C$69:$C$99,Lists!$D$69:$D$99),0)</f>
        <v>0</v>
      </c>
      <c r="I61" s="96"/>
      <c r="J61" s="96"/>
      <c r="K61" s="333" t="str" cm="1">
        <f t="array" ref="K61">IFERROR(IF($H61=0,INDEX('Variable index'!$E$132:$F$215,MATCH($F61,'Variable index'!$C$132:$C$215,0),$F$12),INDEX('Variable index'!$E$132:$F$215,MATCH(_xlfn.CONCAT($F61," - ",$G61),'Variable index'!$C$132:$C$215,0),$F$12)),"")</f>
        <v/>
      </c>
      <c r="L61" s="334" t="str">
        <f>IFERROR(_xlfn.CONCAT("$ per ",IF($H61=0,_xlfn.XLOOKUP($F61,'Variable index'!$C$132:$C$215,'Variable index'!$D$132:$D$215),_xlfn.XLOOKUP(_xlfn.CONCAT($F61," - ",$G61),'Variable index'!$C$132:$C$215,'Variable index'!$D$132:$D$215))),"")</f>
        <v/>
      </c>
      <c r="M61" s="140"/>
      <c r="N61" s="343" t="str">
        <f>IFERROR(IF(TableOpenSpace[[#This Row],[Unit quantity]]="","",TableOpenSpace[[#This Row],[Unit rate]]*TableOpenSpace[[#This Row],[Unit quantity]]),"")</f>
        <v/>
      </c>
      <c r="O61" s="238" t="str">
        <f>IF(TableOpenSpace[[#This Row],[Type of infrastructure]]&lt;&gt;"",Summary!$F$8,"")</f>
        <v/>
      </c>
      <c r="P61" s="239" t="str">
        <f>IF(TableOpenSpace[[#This Row],[Type of infrastructure]]&lt;&gt;"",Summary!$F$9,"")</f>
        <v/>
      </c>
      <c r="Q61" s="241"/>
      <c r="R61" s="188"/>
      <c r="S61" s="140"/>
      <c r="T61" s="188"/>
      <c r="U61" s="140"/>
      <c r="V61" s="338" t="str" cm="1">
        <f t="array" ref="V61">IF(N61&lt;&gt;"",_xlfn.IFS(AND(N61&gt;='Variable index'!$K$35,N61&lt;'Variable index'!$K$36),'Variable index'!$L$35,AND(N61&gt;='Variable index'!$K$36,N61&lt;'Variable index'!$K$37),'Variable index'!$L$36,AND(N61&gt;='Variable index'!$K$37,N61&lt;'Variable index'!$K$38),'Variable index'!$L$37,N61&gt;='Variable index'!$K$38,'Variable index'!$L$38),"")</f>
        <v/>
      </c>
      <c r="W61" s="237"/>
      <c r="X61" s="336" t="str" cm="1">
        <f t="array" ref="X61">IF(AND(W61&lt;&gt;"",N61&lt;&gt;""),_xlfn.IFS(W61="Yes",_xlfn.IFS(AND(N61&gt;='Variable index'!$K$35,N61&lt;'Variable index'!$K$36),'Variable index'!$M$35,AND(N61&gt;='Variable index'!$K$36,N61&lt;'Variable index'!$K$37),'Variable index'!$M$36,AND(N61&gt;='Variable index'!$K$37,N61&lt;'Variable index'!$K$38),'Variable index'!$M$37,N61&gt;='Variable index'!$K$38,'Variable index'!$M$38),W61="No",0),"")</f>
        <v/>
      </c>
      <c r="Y61" s="189"/>
      <c r="Z61" s="336" t="str" cm="1">
        <f t="array" ref="Z61">IF(Y61&lt;&gt;"",_xlfn.IFS(Y61='Variable index'!$J$53,SUM('Variable index'!$K$50:$M$50),Y61='Variable index'!$J$54,SUM('Variable index'!$L$50:$M$50),Y61='Variable index'!$J$55,SUM('Variable index'!$M$50)),"")</f>
        <v/>
      </c>
      <c r="AA61" s="339" t="str" cm="1">
        <f t="array" ref="AA61">IFERROR(N61*(1+_xlfn.XLOOKUP(O61,'Rawlinsons regional indices'!$A$2:$A$63,'Rawlinsons regional indices'!$C$2:$C$63)+Q61)+(IF(R61&lt;&gt;"",INDEX('Variable index'!$E$57:$F$65,MATCH($R61,'Variable index'!$C$57:$C$65,0),$F$12),0)*S61)+(IF(T61&lt;&gt;"",INDEX('Variable index'!$E$68:$F$73,MATCH($T61,'Variable index'!$C$68:$C$73,0),$F$12),0)*U61)+(N61*V61)+(N61*X61)+(N61*Z61),"")</f>
        <v/>
      </c>
      <c r="AB61" s="303"/>
      <c r="AC61" s="337" t="str">
        <f t="shared" si="1"/>
        <v/>
      </c>
      <c r="AD61" s="340" t="str">
        <f t="shared" si="2"/>
        <v/>
      </c>
    </row>
    <row r="62" spans="4:30" ht="12" x14ac:dyDescent="0.25">
      <c r="D62" s="216">
        <f t="shared" si="0"/>
        <v>46</v>
      </c>
      <c r="E62" s="312"/>
      <c r="F62" s="186"/>
      <c r="G62" s="185"/>
      <c r="H62" s="244">
        <f>IFERROR(_xlfn.XLOOKUP(F62,Lists!$C$69:$C$99,Lists!$D$69:$D$99),0)</f>
        <v>0</v>
      </c>
      <c r="I62" s="96"/>
      <c r="J62" s="96"/>
      <c r="K62" s="333" t="str" cm="1">
        <f t="array" ref="K62">IFERROR(IF($H62=0,INDEX('Variable index'!$E$132:$F$215,MATCH($F62,'Variable index'!$C$132:$C$215,0),$F$12),INDEX('Variable index'!$E$132:$F$215,MATCH(_xlfn.CONCAT($F62," - ",$G62),'Variable index'!$C$132:$C$215,0),$F$12)),"")</f>
        <v/>
      </c>
      <c r="L62" s="332" t="str">
        <f>IFERROR(_xlfn.CONCAT("$ per ",IF($H62=0,_xlfn.XLOOKUP($F62,'Variable index'!$C$132:$C$215,'Variable index'!$D$132:$D$215),_xlfn.XLOOKUP(_xlfn.CONCAT($F62," - ",$G62),'Variable index'!$C$132:$C$215,'Variable index'!$D$132:$D$215))),"")</f>
        <v/>
      </c>
      <c r="M62" s="140"/>
      <c r="N62" s="343" t="str">
        <f>IFERROR(IF(TableOpenSpace[[#This Row],[Unit quantity]]="","",TableOpenSpace[[#This Row],[Unit rate]]*TableOpenSpace[[#This Row],[Unit quantity]]),"")</f>
        <v/>
      </c>
      <c r="O62" s="238" t="str">
        <f>IF(TableOpenSpace[[#This Row],[Type of infrastructure]]&lt;&gt;"",Summary!$F$8,"")</f>
        <v/>
      </c>
      <c r="P62" s="239" t="str">
        <f>IF(TableOpenSpace[[#This Row],[Type of infrastructure]]&lt;&gt;"",Summary!$F$9,"")</f>
        <v/>
      </c>
      <c r="Q62" s="241"/>
      <c r="R62" s="188"/>
      <c r="S62" s="140"/>
      <c r="T62" s="188"/>
      <c r="U62" s="140"/>
      <c r="V62" s="338" t="str" cm="1">
        <f t="array" ref="V62">IF(N62&lt;&gt;"",_xlfn.IFS(AND(N62&gt;='Variable index'!$K$35,N62&lt;'Variable index'!$K$36),'Variable index'!$L$35,AND(N62&gt;='Variable index'!$K$36,N62&lt;'Variable index'!$K$37),'Variable index'!$L$36,AND(N62&gt;='Variable index'!$K$37,N62&lt;'Variable index'!$K$38),'Variable index'!$L$37,N62&gt;='Variable index'!$K$38,'Variable index'!$L$38),"")</f>
        <v/>
      </c>
      <c r="W62" s="237"/>
      <c r="X62" s="336" t="str" cm="1">
        <f t="array" ref="X62">IF(AND(W62&lt;&gt;"",N62&lt;&gt;""),_xlfn.IFS(W62="Yes",_xlfn.IFS(AND(N62&gt;='Variable index'!$K$35,N62&lt;'Variable index'!$K$36),'Variable index'!$M$35,AND(N62&gt;='Variable index'!$K$36,N62&lt;'Variable index'!$K$37),'Variable index'!$M$36,AND(N62&gt;='Variable index'!$K$37,N62&lt;'Variable index'!$K$38),'Variable index'!$M$37,N62&gt;='Variable index'!$K$38,'Variable index'!$M$38),W62="No",0),"")</f>
        <v/>
      </c>
      <c r="Y62" s="189"/>
      <c r="Z62" s="336" t="str" cm="1">
        <f t="array" ref="Z62">IF(Y62&lt;&gt;"",_xlfn.IFS(Y62='Variable index'!$J$53,SUM('Variable index'!$K$50:$M$50),Y62='Variable index'!$J$54,SUM('Variable index'!$L$50:$M$50),Y62='Variable index'!$J$55,SUM('Variable index'!$M$50)),"")</f>
        <v/>
      </c>
      <c r="AA62" s="339" t="str" cm="1">
        <f t="array" ref="AA62">IFERROR(N62*(1+_xlfn.XLOOKUP(O62,'Rawlinsons regional indices'!$A$2:$A$63,'Rawlinsons regional indices'!$C$2:$C$63)+Q62)+(IF(R62&lt;&gt;"",INDEX('Variable index'!$E$57:$F$65,MATCH($R62,'Variable index'!$C$57:$C$65,0),$F$12),0)*S62)+(IF(T62&lt;&gt;"",INDEX('Variable index'!$E$68:$F$73,MATCH($T62,'Variable index'!$C$68:$C$73,0),$F$12),0)*U62)+(N62*V62)+(N62*X62)+(N62*Z62),"")</f>
        <v/>
      </c>
      <c r="AB62" s="303"/>
      <c r="AC62" s="337" t="str">
        <f t="shared" si="1"/>
        <v/>
      </c>
      <c r="AD62" s="340" t="str">
        <f t="shared" si="2"/>
        <v/>
      </c>
    </row>
    <row r="63" spans="4:30" ht="12" x14ac:dyDescent="0.25">
      <c r="D63" s="216">
        <f t="shared" si="0"/>
        <v>47</v>
      </c>
      <c r="E63" s="312"/>
      <c r="F63" s="186"/>
      <c r="G63" s="185"/>
      <c r="H63" s="244">
        <f>IFERROR(_xlfn.XLOOKUP(F63,Lists!$C$69:$C$99,Lists!$D$69:$D$99),0)</f>
        <v>0</v>
      </c>
      <c r="I63" s="96"/>
      <c r="J63" s="96"/>
      <c r="K63" s="331" t="str" cm="1">
        <f t="array" ref="K63">IFERROR(IF($H63=0,INDEX('Variable index'!$E$132:$F$215,MATCH($F63,'Variable index'!$C$132:$C$215,0),$F$12),INDEX('Variable index'!$E$132:$F$215,MATCH(_xlfn.CONCAT($F63," - ",$G63),'Variable index'!$C$132:$C$215,0),$F$12)),"")</f>
        <v/>
      </c>
      <c r="L63" s="332" t="str">
        <f>IFERROR(_xlfn.CONCAT("$ per ",IF($H63=0,_xlfn.XLOOKUP($F63,'Variable index'!$C$132:$C$215,'Variable index'!$D$132:$D$215),_xlfn.XLOOKUP(_xlfn.CONCAT($F63," - ",$G63),'Variable index'!$C$132:$C$215,'Variable index'!$D$132:$D$215))),"")</f>
        <v/>
      </c>
      <c r="M63" s="140"/>
      <c r="N63" s="343" t="str">
        <f>IFERROR(IF(TableOpenSpace[[#This Row],[Unit quantity]]="","",TableOpenSpace[[#This Row],[Unit rate]]*TableOpenSpace[[#This Row],[Unit quantity]]),"")</f>
        <v/>
      </c>
      <c r="O63" s="238" t="str">
        <f>IF(TableOpenSpace[[#This Row],[Type of infrastructure]]&lt;&gt;"",Summary!$F$8,"")</f>
        <v/>
      </c>
      <c r="P63" s="239" t="str">
        <f>IF(TableOpenSpace[[#This Row],[Type of infrastructure]]&lt;&gt;"",Summary!$F$9,"")</f>
        <v/>
      </c>
      <c r="Q63" s="241"/>
      <c r="R63" s="188"/>
      <c r="S63" s="140"/>
      <c r="T63" s="188"/>
      <c r="U63" s="140"/>
      <c r="V63" s="338" t="str" cm="1">
        <f t="array" ref="V63">IF(N63&lt;&gt;"",_xlfn.IFS(AND(N63&gt;='Variable index'!$K$35,N63&lt;'Variable index'!$K$36),'Variable index'!$L$35,AND(N63&gt;='Variable index'!$K$36,N63&lt;'Variable index'!$K$37),'Variable index'!$L$36,AND(N63&gt;='Variable index'!$K$37,N63&lt;'Variable index'!$K$38),'Variable index'!$L$37,N63&gt;='Variable index'!$K$38,'Variable index'!$L$38),"")</f>
        <v/>
      </c>
      <c r="W63" s="237"/>
      <c r="X63" s="336" t="str" cm="1">
        <f t="array" ref="X63">IF(AND(W63&lt;&gt;"",N63&lt;&gt;""),_xlfn.IFS(W63="Yes",_xlfn.IFS(AND(N63&gt;='Variable index'!$K$35,N63&lt;'Variable index'!$K$36),'Variable index'!$M$35,AND(N63&gt;='Variable index'!$K$36,N63&lt;'Variable index'!$K$37),'Variable index'!$M$36,AND(N63&gt;='Variable index'!$K$37,N63&lt;'Variable index'!$K$38),'Variable index'!$M$37,N63&gt;='Variable index'!$K$38,'Variable index'!$M$38),W63="No",0),"")</f>
        <v/>
      </c>
      <c r="Y63" s="189"/>
      <c r="Z63" s="336" t="str" cm="1">
        <f t="array" ref="Z63">IF(Y63&lt;&gt;"",_xlfn.IFS(Y63='Variable index'!$J$53,SUM('Variable index'!$K$50:$M$50),Y63='Variable index'!$J$54,SUM('Variable index'!$L$50:$M$50),Y63='Variable index'!$J$55,SUM('Variable index'!$M$50)),"")</f>
        <v/>
      </c>
      <c r="AA63" s="339" t="str" cm="1">
        <f t="array" ref="AA63">IFERROR(N63*(1+_xlfn.XLOOKUP(O63,'Rawlinsons regional indices'!$A$2:$A$63,'Rawlinsons regional indices'!$C$2:$C$63)+Q63)+(IF(R63&lt;&gt;"",INDEX('Variable index'!$E$57:$F$65,MATCH($R63,'Variable index'!$C$57:$C$65,0),$F$12),0)*S63)+(IF(T63&lt;&gt;"",INDEX('Variable index'!$E$68:$F$73,MATCH($T63,'Variable index'!$C$68:$C$73,0),$F$12),0)*U63)+(N63*V63)+(N63*X63)+(N63*Z63),"")</f>
        <v/>
      </c>
      <c r="AB63" s="303"/>
      <c r="AC63" s="337" t="str">
        <f t="shared" si="1"/>
        <v/>
      </c>
      <c r="AD63" s="340" t="str">
        <f t="shared" si="2"/>
        <v/>
      </c>
    </row>
    <row r="64" spans="4:30" ht="12" x14ac:dyDescent="0.25">
      <c r="D64" s="216">
        <f t="shared" si="0"/>
        <v>48</v>
      </c>
      <c r="E64" s="312"/>
      <c r="F64" s="186"/>
      <c r="G64" s="185"/>
      <c r="H64" s="244">
        <f>IFERROR(_xlfn.XLOOKUP(F64,Lists!$C$69:$C$99,Lists!$D$69:$D$99),0)</f>
        <v>0</v>
      </c>
      <c r="I64" s="96"/>
      <c r="J64" s="96"/>
      <c r="K64" s="333" t="str" cm="1">
        <f t="array" ref="K64">IFERROR(IF($H64=0,INDEX('Variable index'!$E$132:$F$215,MATCH($F64,'Variable index'!$C$132:$C$215,0),$F$12),INDEX('Variable index'!$E$132:$F$215,MATCH(_xlfn.CONCAT($F64," - ",$G64),'Variable index'!$C$132:$C$215,0),$F$12)),"")</f>
        <v/>
      </c>
      <c r="L64" s="334" t="str">
        <f>IFERROR(_xlfn.CONCAT("$ per ",IF($H64=0,_xlfn.XLOOKUP($F64,'Variable index'!$C$132:$C$215,'Variable index'!$D$132:$D$215),_xlfn.XLOOKUP(_xlfn.CONCAT($F64," - ",$G64),'Variable index'!$C$132:$C$215,'Variable index'!$D$132:$D$215))),"")</f>
        <v/>
      </c>
      <c r="M64" s="140"/>
      <c r="N64" s="343" t="str">
        <f>IFERROR(IF(TableOpenSpace[[#This Row],[Unit quantity]]="","",TableOpenSpace[[#This Row],[Unit rate]]*TableOpenSpace[[#This Row],[Unit quantity]]),"")</f>
        <v/>
      </c>
      <c r="O64" s="238" t="str">
        <f>IF(TableOpenSpace[[#This Row],[Type of infrastructure]]&lt;&gt;"",Summary!$F$8,"")</f>
        <v/>
      </c>
      <c r="P64" s="239" t="str">
        <f>IF(TableOpenSpace[[#This Row],[Type of infrastructure]]&lt;&gt;"",Summary!$F$9,"")</f>
        <v/>
      </c>
      <c r="Q64" s="241"/>
      <c r="R64" s="188"/>
      <c r="S64" s="140"/>
      <c r="T64" s="188"/>
      <c r="U64" s="140"/>
      <c r="V64" s="338" t="str" cm="1">
        <f t="array" ref="V64">IF(N64&lt;&gt;"",_xlfn.IFS(AND(N64&gt;='Variable index'!$K$35,N64&lt;'Variable index'!$K$36),'Variable index'!$L$35,AND(N64&gt;='Variable index'!$K$36,N64&lt;'Variable index'!$K$37),'Variable index'!$L$36,AND(N64&gt;='Variable index'!$K$37,N64&lt;'Variable index'!$K$38),'Variable index'!$L$37,N64&gt;='Variable index'!$K$38,'Variable index'!$L$38),"")</f>
        <v/>
      </c>
      <c r="W64" s="237"/>
      <c r="X64" s="336" t="str" cm="1">
        <f t="array" ref="X64">IF(AND(W64&lt;&gt;"",N64&lt;&gt;""),_xlfn.IFS(W64="Yes",_xlfn.IFS(AND(N64&gt;='Variable index'!$K$35,N64&lt;'Variable index'!$K$36),'Variable index'!$M$35,AND(N64&gt;='Variable index'!$K$36,N64&lt;'Variable index'!$K$37),'Variable index'!$M$36,AND(N64&gt;='Variable index'!$K$37,N64&lt;'Variable index'!$K$38),'Variable index'!$M$37,N64&gt;='Variable index'!$K$38,'Variable index'!$M$38),W64="No",0),"")</f>
        <v/>
      </c>
      <c r="Y64" s="189"/>
      <c r="Z64" s="336" t="str" cm="1">
        <f t="array" ref="Z64">IF(Y64&lt;&gt;"",_xlfn.IFS(Y64='Variable index'!$J$53,SUM('Variable index'!$K$50:$M$50),Y64='Variable index'!$J$54,SUM('Variable index'!$L$50:$M$50),Y64='Variable index'!$J$55,SUM('Variable index'!$M$50)),"")</f>
        <v/>
      </c>
      <c r="AA64" s="339" t="str" cm="1">
        <f t="array" ref="AA64">IFERROR(N64*(1+_xlfn.XLOOKUP(O64,'Rawlinsons regional indices'!$A$2:$A$63,'Rawlinsons regional indices'!$C$2:$C$63)+Q64)+(IF(R64&lt;&gt;"",INDEX('Variable index'!$E$57:$F$65,MATCH($R64,'Variable index'!$C$57:$C$65,0),$F$12),0)*S64)+(IF(T64&lt;&gt;"",INDEX('Variable index'!$E$68:$F$73,MATCH($T64,'Variable index'!$C$68:$C$73,0),$F$12),0)*U64)+(N64*V64)+(N64*X64)+(N64*Z64),"")</f>
        <v/>
      </c>
      <c r="AB64" s="303"/>
      <c r="AC64" s="337" t="str">
        <f t="shared" si="1"/>
        <v/>
      </c>
      <c r="AD64" s="340" t="str">
        <f t="shared" si="2"/>
        <v/>
      </c>
    </row>
    <row r="65" spans="4:30" ht="12" x14ac:dyDescent="0.25">
      <c r="D65" s="216">
        <f t="shared" si="0"/>
        <v>49</v>
      </c>
      <c r="E65" s="312"/>
      <c r="F65" s="186"/>
      <c r="G65" s="185"/>
      <c r="H65" s="244">
        <f>IFERROR(_xlfn.XLOOKUP(F65,Lists!$C$69:$C$99,Lists!$D$69:$D$99),0)</f>
        <v>0</v>
      </c>
      <c r="I65" s="96"/>
      <c r="J65" s="96"/>
      <c r="K65" s="331" t="str" cm="1">
        <f t="array" ref="K65">IFERROR(IF($H65=0,INDEX('Variable index'!$E$132:$F$215,MATCH($F65,'Variable index'!$C$132:$C$215,0),$F$12),INDEX('Variable index'!$E$132:$F$215,MATCH(_xlfn.CONCAT($F65," - ",$G65),'Variable index'!$C$132:$C$215,0),$F$12)),"")</f>
        <v/>
      </c>
      <c r="L65" s="332" t="str">
        <f>IFERROR(_xlfn.CONCAT("$ per ",IF($H65=0,_xlfn.XLOOKUP($F65,'Variable index'!$C$132:$C$215,'Variable index'!$D$132:$D$215),_xlfn.XLOOKUP(_xlfn.CONCAT($F65," - ",$G65),'Variable index'!$C$132:$C$215,'Variable index'!$D$132:$D$215))),"")</f>
        <v/>
      </c>
      <c r="M65" s="140"/>
      <c r="N65" s="343" t="str">
        <f>IFERROR(IF(TableOpenSpace[[#This Row],[Unit quantity]]="","",TableOpenSpace[[#This Row],[Unit rate]]*TableOpenSpace[[#This Row],[Unit quantity]]),"")</f>
        <v/>
      </c>
      <c r="O65" s="238" t="str">
        <f>IF(TableOpenSpace[[#This Row],[Type of infrastructure]]&lt;&gt;"",Summary!$F$8,"")</f>
        <v/>
      </c>
      <c r="P65" s="239" t="str">
        <f>IF(TableOpenSpace[[#This Row],[Type of infrastructure]]&lt;&gt;"",Summary!$F$9,"")</f>
        <v/>
      </c>
      <c r="Q65" s="241"/>
      <c r="R65" s="188"/>
      <c r="S65" s="140"/>
      <c r="T65" s="188"/>
      <c r="U65" s="140"/>
      <c r="V65" s="338" t="str" cm="1">
        <f t="array" ref="V65">IF(N65&lt;&gt;"",_xlfn.IFS(AND(N65&gt;='Variable index'!$K$35,N65&lt;'Variable index'!$K$36),'Variable index'!$L$35,AND(N65&gt;='Variable index'!$K$36,N65&lt;'Variable index'!$K$37),'Variable index'!$L$36,AND(N65&gt;='Variable index'!$K$37,N65&lt;'Variable index'!$K$38),'Variable index'!$L$37,N65&gt;='Variable index'!$K$38,'Variable index'!$L$38),"")</f>
        <v/>
      </c>
      <c r="W65" s="237"/>
      <c r="X65" s="336" t="str" cm="1">
        <f t="array" ref="X65">IF(AND(W65&lt;&gt;"",N65&lt;&gt;""),_xlfn.IFS(W65="Yes",_xlfn.IFS(AND(N65&gt;='Variable index'!$K$35,N65&lt;'Variable index'!$K$36),'Variable index'!$M$35,AND(N65&gt;='Variable index'!$K$36,N65&lt;'Variable index'!$K$37),'Variable index'!$M$36,AND(N65&gt;='Variable index'!$K$37,N65&lt;'Variable index'!$K$38),'Variable index'!$M$37,N65&gt;='Variable index'!$K$38,'Variable index'!$M$38),W65="No",0),"")</f>
        <v/>
      </c>
      <c r="Y65" s="189"/>
      <c r="Z65" s="336" t="str" cm="1">
        <f t="array" ref="Z65">IF(Y65&lt;&gt;"",_xlfn.IFS(Y65='Variable index'!$J$53,SUM('Variable index'!$K$50:$M$50),Y65='Variable index'!$J$54,SUM('Variable index'!$L$50:$M$50),Y65='Variable index'!$J$55,SUM('Variable index'!$M$50)),"")</f>
        <v/>
      </c>
      <c r="AA65" s="339" t="str" cm="1">
        <f t="array" ref="AA65">IFERROR(N65*(1+_xlfn.XLOOKUP(O65,'Rawlinsons regional indices'!$A$2:$A$63,'Rawlinsons regional indices'!$C$2:$C$63)+Q65)+(IF(R65&lt;&gt;"",INDEX('Variable index'!$E$57:$F$65,MATCH($R65,'Variable index'!$C$57:$C$65,0),$F$12),0)*S65)+(IF(T65&lt;&gt;"",INDEX('Variable index'!$E$68:$F$73,MATCH($T65,'Variable index'!$C$68:$C$73,0),$F$12),0)*U65)+(N65*V65)+(N65*X65)+(N65*Z65),"")</f>
        <v/>
      </c>
      <c r="AB65" s="303"/>
      <c r="AC65" s="337" t="str">
        <f t="shared" si="1"/>
        <v/>
      </c>
      <c r="AD65" s="340" t="str">
        <f t="shared" si="2"/>
        <v/>
      </c>
    </row>
    <row r="66" spans="4:30" ht="12" x14ac:dyDescent="0.25">
      <c r="D66" s="216">
        <f t="shared" si="0"/>
        <v>50</v>
      </c>
      <c r="E66" s="312"/>
      <c r="F66" s="186"/>
      <c r="G66" s="185"/>
      <c r="H66" s="244">
        <f>IFERROR(_xlfn.XLOOKUP(F66,Lists!$C$69:$C$99,Lists!$D$69:$D$99),0)</f>
        <v>0</v>
      </c>
      <c r="I66" s="96"/>
      <c r="J66" s="96"/>
      <c r="K66" s="331" t="str" cm="1">
        <f t="array" ref="K66">IFERROR(IF($H66=0,INDEX('Variable index'!$E$132:$F$215,MATCH($F66,'Variable index'!$C$132:$C$215,0),$F$12),INDEX('Variable index'!$E$132:$F$215,MATCH(_xlfn.CONCAT($F66," - ",$G66),'Variable index'!$C$132:$C$215,0),$F$12)),"")</f>
        <v/>
      </c>
      <c r="L66" s="332" t="str">
        <f>IFERROR(_xlfn.CONCAT("$ per ",IF($H66=0,_xlfn.XLOOKUP($F66,'Variable index'!$C$132:$C$215,'Variable index'!$D$132:$D$215),_xlfn.XLOOKUP(_xlfn.CONCAT($F66," - ",$G66),'Variable index'!$C$132:$C$215,'Variable index'!$D$132:$D$215))),"")</f>
        <v/>
      </c>
      <c r="M66" s="140"/>
      <c r="N66" s="343" t="str">
        <f>IFERROR(IF(TableOpenSpace[[#This Row],[Unit quantity]]="","",TableOpenSpace[[#This Row],[Unit rate]]*TableOpenSpace[[#This Row],[Unit quantity]]),"")</f>
        <v/>
      </c>
      <c r="O66" s="238" t="str">
        <f>IF(TableOpenSpace[[#This Row],[Type of infrastructure]]&lt;&gt;"",Summary!$F$8,"")</f>
        <v/>
      </c>
      <c r="P66" s="239" t="str">
        <f>IF(TableOpenSpace[[#This Row],[Type of infrastructure]]&lt;&gt;"",Summary!$F$9,"")</f>
        <v/>
      </c>
      <c r="Q66" s="241"/>
      <c r="R66" s="188"/>
      <c r="S66" s="140"/>
      <c r="T66" s="188"/>
      <c r="U66" s="140"/>
      <c r="V66" s="338" t="str" cm="1">
        <f t="array" ref="V66">IF(N66&lt;&gt;"",_xlfn.IFS(AND(N66&gt;='Variable index'!$K$35,N66&lt;'Variable index'!$K$36),'Variable index'!$L$35,AND(N66&gt;='Variable index'!$K$36,N66&lt;'Variable index'!$K$37),'Variable index'!$L$36,AND(N66&gt;='Variable index'!$K$37,N66&lt;'Variable index'!$K$38),'Variable index'!$L$37,N66&gt;='Variable index'!$K$38,'Variable index'!$L$38),"")</f>
        <v/>
      </c>
      <c r="W66" s="237"/>
      <c r="X66" s="336" t="str" cm="1">
        <f t="array" ref="X66">IF(AND(W66&lt;&gt;"",N66&lt;&gt;""),_xlfn.IFS(W66="Yes",_xlfn.IFS(AND(N66&gt;='Variable index'!$K$35,N66&lt;'Variable index'!$K$36),'Variable index'!$M$35,AND(N66&gt;='Variable index'!$K$36,N66&lt;'Variable index'!$K$37),'Variable index'!$M$36,AND(N66&gt;='Variable index'!$K$37,N66&lt;'Variable index'!$K$38),'Variable index'!$M$37,N66&gt;='Variable index'!$K$38,'Variable index'!$M$38),W66="No",0),"")</f>
        <v/>
      </c>
      <c r="Y66" s="189"/>
      <c r="Z66" s="336" t="str" cm="1">
        <f t="array" ref="Z66">IF(Y66&lt;&gt;"",_xlfn.IFS(Y66='Variable index'!$J$53,SUM('Variable index'!$K$50:$M$50),Y66='Variable index'!$J$54,SUM('Variable index'!$L$50:$M$50),Y66='Variable index'!$J$55,SUM('Variable index'!$M$50)),"")</f>
        <v/>
      </c>
      <c r="AA66" s="339" t="str" cm="1">
        <f t="array" ref="AA66">IFERROR(N66*(1+_xlfn.XLOOKUP(O66,'Rawlinsons regional indices'!$A$2:$A$63,'Rawlinsons regional indices'!$C$2:$C$63)+Q66)+(IF(R66&lt;&gt;"",INDEX('Variable index'!$E$57:$F$65,MATCH($R66,'Variable index'!$C$57:$C$65,0),$F$12),0)*S66)+(IF(T66&lt;&gt;"",INDEX('Variable index'!$E$68:$F$73,MATCH($T66,'Variable index'!$C$68:$C$73,0),$F$12),0)*U66)+(N66*V66)+(N66*X66)+(N66*Z66),"")</f>
        <v/>
      </c>
      <c r="AB66" s="303"/>
      <c r="AC66" s="337" t="str">
        <f t="shared" si="1"/>
        <v/>
      </c>
      <c r="AD66" s="340" t="str">
        <f t="shared" si="2"/>
        <v/>
      </c>
    </row>
    <row r="67" spans="4:30" ht="12" x14ac:dyDescent="0.25">
      <c r="F67" s="27"/>
    </row>
  </sheetData>
  <sheetProtection algorithmName="SHA-512" hashValue="SOZGsb71JZm9YXU4HIlig7SLMTjwdAkWvj/PI932Jv7M5c39kJn2ftKMPblbXFbLobwKUsrtALYmdnoQJvutzQ==" saltValue="243EXC/0WFs/nRoDTcatRg==" spinCount="100000" sheet="1" objects="1" scenarios="1"/>
  <phoneticPr fontId="45" type="noConversion"/>
  <dataValidations xWindow="229" yWindow="572" count="19">
    <dataValidation allowBlank="1" showInputMessage="1" showErrorMessage="1" promptTitle="On costs" prompt="On cost percentage will appear once the local infrastructure item's benchmark base construction cost has been calculated (Column N). The on cost percentage is based on the base construction cost of the item." sqref="V17:V66" xr:uid="{A85D7647-1BC2-4A6D-BCD6-E545AFA5A07F}"/>
    <dataValidation allowBlank="1" showInputMessage="1" showErrorMessage="1" promptTitle="Cultural heritage allowance" prompt="A cultural heritage allowance will appear once the item's benchmark base construction cost has been calculated (Column N) and 'Yes' or 'No' is selected from the drop-down in Column W. The allowance is based on the base construction cost of the item." sqref="X17:X66" xr:uid="{69202DF4-4922-4686-9AFB-D1F5A04A3A2C}"/>
    <dataValidation allowBlank="1" showInputMessage="1" showErrorMessage="1" promptTitle="Contingency" prompt="Contingency percentage for the local infrastructure item will appear once a selection is made from the drop-down in Column Y. The contingency percentage is based on the base construction cost of the item." sqref="Z17:Z66" xr:uid="{7F9DD95C-F74D-4D7B-8A39-6EDB84CA27F4}"/>
    <dataValidation allowBlank="1" showInputMessage="1" showErrorMessage="1" promptTitle="Total benchmark cost" prompt="This is the total benchmark cost for this local infrastructure item, based on the unit quantity entered. This includes all applicable adjustment factors." sqref="AA17:AA66" xr:uid="{D0775775-C686-409A-8592-02838E1601BC}"/>
    <dataValidation allowBlank="1" showInputMessage="1" showErrorMessage="1" promptTitle="Percentage cost comparison" prompt="This is the difference between your works schedule's cost and IPART's benchmark cost for the infrastructure item as a percentage." sqref="AD17:AD66" xr:uid="{A27D5B52-3532-4AB2-95AF-BD2A7149E45C}"/>
    <dataValidation allowBlank="1" showInputMessage="1" showErrorMessage="1" promptTitle="Dollar cost comparison" prompt="This is the difference between your works schedule's cost and IPART's benchmark cost for the infrastructure item in dollars." sqref="AC17:AC66" xr:uid="{49D63BB8-FEF6-49A4-B2EA-8ACF019E7E37}"/>
    <dataValidation allowBlank="1" showInputMessage="1" showErrorMessage="1" promptTitle="Council costing" prompt="Type in the cost that has been quoted to council from a quantity surveyor report or other supporting cost evidence. Note that this cost will be compared to the total benchmark cost, which includes all adjustment factors." sqref="AB17:AB66" xr:uid="{5DFF5999-BB67-45FA-9AEC-99525093A65F}"/>
    <dataValidation type="decimal" operator="greaterThan" allowBlank="1" showInputMessage="1" showErrorMessage="1" promptTitle="Enter contaminated land area" prompt="Type in the area of contaminated land remediation in square metres. For example, type in '20' for 20 square metres of contaminated land remediation. Leave blank if not applicable." sqref="U17:U66" xr:uid="{84DC7C99-94BC-4192-A63A-987B573045B0}">
      <formula1>0</formula1>
    </dataValidation>
    <dataValidation type="decimal" operator="greaterThan" allowBlank="1" showInputMessage="1" showErrorMessage="1" promptTitle="Enter disposal quantity" prompt="Type in the quantity of waste to be disposed in tonnes. For example, type in '5' for 5 tonnes of waste disposal. Leave blank if not applicable." sqref="S17:S66" xr:uid="{BC84165E-3FA1-4E2A-A51F-55DD68B6246F}">
      <formula1>0</formula1>
    </dataValidation>
    <dataValidation type="decimal" operator="lessThanOrEqual" allowBlank="1" showInputMessage="1" showErrorMessage="1" promptTitle="Enter site constraint" prompt="Type in the site constraint factor for this item as a percentage. For infill works, the maximum percentage is 40%. For greenfield works, the maximum percentage is 15%. Evidence of the site constraint will be required." sqref="Q17:Q66" xr:uid="{EC2666D6-2A87-4430-A258-CD04543701D1}">
      <formula1>0.4</formula1>
    </dataValidation>
    <dataValidation allowBlank="1" showInputMessage="1" showErrorMessage="1" promptTitle="Proximity to raw materials" prompt="Proximity to raw materials in kilometres is taken from distance entered in the Summary page." sqref="P17:P66" xr:uid="{D09483AF-679B-433D-B659-9D6E31DB0766}"/>
    <dataValidation allowBlank="1" showInputMessage="1" showErrorMessage="1" promptTitle="Benchmark base cost" prompt="This is the benchmark base construction cost for this local infrastructure item, based on the unit quantity entered. This does not include any adjustment factors." sqref="N17:N66" xr:uid="{6C316106-7AA7-4653-9322-2B340FADF42F}"/>
    <dataValidation type="decimal" operator="greaterThan" allowBlank="1" showInputMessage="1" showErrorMessage="1" promptTitle="Enter unit quantity" prompt="Type in the unit quantity for the type of infrastructure selected. For example, type in '100' for a new local road of 100 metres, or type in '6' for 6 bus shelters." sqref="M17:M66" xr:uid="{7D1555E2-CD74-484C-932C-254A81451668}">
      <formula1>0</formula1>
    </dataValidation>
    <dataValidation allowBlank="1" showInputMessage="1" showErrorMessage="1" promptTitle="Unit" prompt="This is the unit that the local infrastructure item's benchmark cost is based on." sqref="L17:L66" xr:uid="{D3C1450F-4823-4B61-AA78-AAD0EB60B44D}"/>
    <dataValidation type="list" allowBlank="1" showInputMessage="1" showErrorMessage="1" promptTitle="Select sub-item" prompt="Select the local infrastructure sub-item from the drop-down list. If the type of infrastructure does not have an applicable sub-item, a drop-down list will not appear." sqref="G17:G66" xr:uid="{50C7F540-3E3C-4C8B-A640-1E62F69F8F01}">
      <formula1>INDIRECT($H17)</formula1>
    </dataValidation>
    <dataValidation allowBlank="1" showInputMessage="1" showErrorMessage="1" promptTitle="Enter item description" prompt="Type in an optional description for the local infrastructure item." sqref="I17:I66" xr:uid="{1CFCE230-1398-4A87-BD78-FD9752DE4724}"/>
    <dataValidation type="list" allowBlank="1" showInputMessage="1" showErrorMessage="1" promptTitle="Select work project" prompt="Select the overarching project that the local infrastructure item is part of. The dropdown list is pulled from the 'Total project costs' worksheet, where the costs for individual items are rolled up to the project level." sqref="J17:J66" xr:uid="{BB55EDF6-06B7-4705-AFA8-6252C84C2F95}">
      <formula1>WorkProjects</formula1>
    </dataValidation>
    <dataValidation allowBlank="1" showInputMessage="1" showErrorMessage="1" promptTitle="Enter item reference" prompt="Type in the reference/identifier for the local infrastructure item." sqref="E17:E66" xr:uid="{521C0A23-6EC1-40F4-A369-8CEDB2BE16B6}"/>
    <dataValidation allowBlank="1" showInputMessage="1" showErrorMessage="1" promptTitle="Unit rate" prompt="Benchmark unit rate for an infrastructure item will appear once an item is selected in Column F and, if applicable, a sub-item is selected in Column G." sqref="K17:K66" xr:uid="{62DCAD59-66FB-4CE4-A0B0-D1C4DE3FF7A9}"/>
  </dataValidations>
  <pageMargins left="0.7" right="0.7" top="0.75" bottom="0.75" header="0.3" footer="0.3"/>
  <pageSetup paperSize="9"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xWindow="229" yWindow="572" count="6">
        <x14:dataValidation type="list" allowBlank="1" showInputMessage="1" showErrorMessage="1" promptTitle="Cultural heritage" prompt="Select 'Yes' or 'No' from the drop-down list if further costs are expected to be incurred on the site for this work due to cultural heritage." xr:uid="{99BBA38F-8362-4812-8EB4-B9DF78452CA0}">
          <x14:formula1>
            <xm:f>'Variable index'!$J$41:$J$42</xm:f>
          </x14:formula1>
          <xm:sqref>W17:W66</xm:sqref>
        </x14:dataValidation>
        <x14:dataValidation type="list" allowBlank="1" showInputMessage="1" showErrorMessage="1" promptTitle="Select stage of development" prompt="Select the stage of development that the infrastructure item is at from the drop-down list. This will allow for the appropriate contingency factor to be applied." xr:uid="{294A58D8-3758-4816-9908-4C6D3F4807EA}">
          <x14:formula1>
            <xm:f>'Variable index'!$K$47:$M$47</xm:f>
          </x14:formula1>
          <xm:sqref>Y17:Y66</xm:sqref>
        </x14:dataValidation>
        <x14:dataValidation type="list" allowBlank="1" showInputMessage="1" showErrorMessage="1" promptTitle="Select land contamination" prompt="Only if applicable, select the type of land contamination remediation required for the item from the drop-down list. Leave blank if not applicable." xr:uid="{155A359E-F1F4-44CB-956D-CB93438C3AE2}">
          <x14:formula1>
            <xm:f>'Variable index'!$C$68:$C$72</xm:f>
          </x14:formula1>
          <xm:sqref>T17:T66</xm:sqref>
        </x14:dataValidation>
        <x14:dataValidation type="list" allowBlank="1" showInputMessage="1" showErrorMessage="1" promptTitle="Select waste disposal" prompt="Only if applicable, select the type of waste disposal required for the item from the drop-down list. Leave blank if not applicable." xr:uid="{740D5168-A5CF-4DA8-B3E1-AC7C01AA4F1D}">
          <x14:formula1>
            <xm:f>'Variable index'!$C$57:$C$64</xm:f>
          </x14:formula1>
          <xm:sqref>R17:R66</xm:sqref>
        </x14:dataValidation>
        <x14:dataValidation type="list" errorStyle="warning" allowBlank="1" showInputMessage="1" showErrorMessage="1" errorTitle="Choose from drop-down" error="Select infrastructure item from drop-down list." promptTitle="Select item" prompt="Select the local infrastructure item from the drop-down list." xr:uid="{85FEF501-D325-4831-A771-43D737799EF8}">
          <x14:formula1>
            <xm:f>Lists!$C$69:$C$99</xm:f>
          </x14:formula1>
          <xm:sqref>F17:F66</xm:sqref>
        </x14:dataValidation>
        <x14:dataValidation type="list" allowBlank="1" showInputMessage="1" showErrorMessage="1" promptTitle="Location" prompt="Relevant Rawlinsons regional indices factor is taken from the location selected in the Summary page." xr:uid="{408CA2B2-2E09-4D99-A2FD-5041E13C1666}">
          <x14:formula1>
            <xm:f>'Rawlinsons regional indices'!$A$2:$A$63</xm:f>
          </x14:formula1>
          <xm:sqref>O17:O66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E705F-D173-486F-BEFA-21D083DA3FEB}">
  <sheetPr codeName="Sheet15">
    <tabColor rgb="FF93B9FF"/>
  </sheetPr>
  <dimension ref="D4:GW41"/>
  <sheetViews>
    <sheetView showGridLines="0" zoomScaleNormal="100" workbookViewId="0">
      <pane xSplit="4" topLeftCell="E1" activePane="topRight" state="frozen"/>
      <selection pane="topRight"/>
    </sheetView>
  </sheetViews>
  <sheetFormatPr defaultRowHeight="11.4" x14ac:dyDescent="0.2"/>
  <cols>
    <col min="1" max="3" width="3.25" customWidth="1"/>
    <col min="4" max="4" width="40.375" customWidth="1"/>
    <col min="5" max="5" width="4" customWidth="1"/>
    <col min="6" max="6" width="34.125" customWidth="1"/>
    <col min="7" max="7" width="11.125" customWidth="1"/>
    <col min="8" max="8" width="12.25" customWidth="1"/>
    <col min="9" max="9" width="4" customWidth="1"/>
    <col min="10" max="10" width="34.125" customWidth="1"/>
    <col min="11" max="11" width="11.25" customWidth="1"/>
    <col min="12" max="12" width="12.25" customWidth="1"/>
    <col min="13" max="13" width="4" customWidth="1"/>
    <col min="14" max="14" width="34.125" customWidth="1"/>
    <col min="15" max="15" width="11.25" customWidth="1"/>
    <col min="16" max="16" width="12.25" customWidth="1"/>
    <col min="17" max="17" width="4" customWidth="1"/>
    <col min="18" max="18" width="34.125" customWidth="1"/>
    <col min="19" max="19" width="11.25" customWidth="1"/>
    <col min="20" max="20" width="12.25" customWidth="1"/>
    <col min="21" max="21" width="4" customWidth="1"/>
    <col min="22" max="22" width="34.125" customWidth="1"/>
    <col min="23" max="23" width="11.25" customWidth="1"/>
    <col min="24" max="24" width="12.25" customWidth="1"/>
    <col min="25" max="25" width="4" customWidth="1"/>
    <col min="26" max="26" width="34.125" customWidth="1"/>
    <col min="27" max="27" width="11.25" customWidth="1"/>
    <col min="28" max="28" width="12.25" customWidth="1"/>
    <col min="29" max="29" width="4" customWidth="1"/>
    <col min="30" max="30" width="34.125" customWidth="1"/>
    <col min="31" max="31" width="11.25" customWidth="1"/>
    <col min="32" max="32" width="12.25" customWidth="1"/>
    <col min="33" max="33" width="4" customWidth="1"/>
    <col min="34" max="34" width="34.125" customWidth="1"/>
    <col min="35" max="35" width="11.25" customWidth="1"/>
    <col min="36" max="36" width="12.25" customWidth="1"/>
    <col min="37" max="37" width="4" customWidth="1"/>
    <col min="38" max="38" width="34.125" customWidth="1"/>
    <col min="39" max="39" width="11.25" customWidth="1"/>
    <col min="40" max="40" width="12.25" customWidth="1"/>
    <col min="41" max="41" width="4" customWidth="1"/>
    <col min="42" max="42" width="34.125" customWidth="1"/>
    <col min="43" max="43" width="11.25" customWidth="1"/>
    <col min="44" max="44" width="12.25" customWidth="1"/>
    <col min="45" max="45" width="4" customWidth="1"/>
    <col min="46" max="46" width="34.125" customWidth="1"/>
    <col min="47" max="47" width="11.25" customWidth="1"/>
    <col min="48" max="48" width="12.25" customWidth="1"/>
    <col min="49" max="49" width="4" customWidth="1"/>
    <col min="50" max="50" width="34.125" customWidth="1"/>
    <col min="51" max="51" width="11.25" customWidth="1"/>
    <col min="52" max="52" width="12.25" customWidth="1"/>
    <col min="53" max="53" width="4" customWidth="1"/>
    <col min="54" max="54" width="34.125" customWidth="1"/>
    <col min="55" max="55" width="11.25" customWidth="1"/>
    <col min="56" max="56" width="12.25" customWidth="1"/>
    <col min="57" max="57" width="4" customWidth="1"/>
    <col min="58" max="58" width="34.125" customWidth="1"/>
    <col min="59" max="59" width="11.25" customWidth="1"/>
    <col min="60" max="60" width="12.25" customWidth="1"/>
    <col min="61" max="61" width="4" customWidth="1"/>
    <col min="62" max="62" width="34.125" customWidth="1"/>
    <col min="63" max="63" width="11.25" customWidth="1"/>
    <col min="64" max="64" width="12.25" customWidth="1"/>
    <col min="65" max="65" width="4" customWidth="1"/>
    <col min="66" max="66" width="34.125" customWidth="1"/>
    <col min="67" max="67" width="11.25" customWidth="1"/>
    <col min="68" max="68" width="12.25" customWidth="1"/>
    <col min="69" max="69" width="4" customWidth="1"/>
    <col min="70" max="70" width="34.125" customWidth="1"/>
    <col min="71" max="71" width="11.25" customWidth="1"/>
    <col min="72" max="72" width="12.25" customWidth="1"/>
    <col min="73" max="73" width="4" customWidth="1"/>
    <col min="74" max="74" width="34.125" customWidth="1"/>
    <col min="75" max="75" width="11.25" customWidth="1"/>
    <col min="76" max="76" width="12.25" customWidth="1"/>
    <col min="77" max="77" width="4" customWidth="1"/>
    <col min="78" max="78" width="34.125" customWidth="1"/>
    <col min="79" max="79" width="11.25" customWidth="1"/>
    <col min="80" max="80" width="12.25" customWidth="1"/>
    <col min="81" max="81" width="4" customWidth="1"/>
    <col min="82" max="82" width="34.125" customWidth="1"/>
    <col min="83" max="83" width="11.25" customWidth="1"/>
    <col min="84" max="84" width="12.25" customWidth="1"/>
    <col min="85" max="85" width="4" customWidth="1"/>
    <col min="86" max="86" width="34.125" customWidth="1"/>
    <col min="87" max="87" width="11.25" customWidth="1"/>
    <col min="88" max="88" width="12.25" customWidth="1"/>
    <col min="89" max="89" width="4" customWidth="1"/>
    <col min="90" max="90" width="34.125" customWidth="1"/>
    <col min="91" max="91" width="11.25" customWidth="1"/>
    <col min="92" max="92" width="12.25" customWidth="1"/>
    <col min="93" max="93" width="4" customWidth="1"/>
    <col min="94" max="94" width="34.125" customWidth="1"/>
    <col min="95" max="95" width="11.25" customWidth="1"/>
    <col min="96" max="96" width="12.25" customWidth="1"/>
    <col min="97" max="97" width="4" customWidth="1"/>
    <col min="98" max="98" width="34.125" customWidth="1"/>
    <col min="99" max="99" width="11.25" customWidth="1"/>
    <col min="100" max="100" width="12.25" customWidth="1"/>
    <col min="101" max="101" width="4" customWidth="1"/>
    <col min="102" max="102" width="34.125" customWidth="1"/>
    <col min="103" max="103" width="11.25" customWidth="1"/>
    <col min="104" max="104" width="12.25" customWidth="1"/>
    <col min="105" max="105" width="4" customWidth="1"/>
    <col min="106" max="106" width="34.125" customWidth="1"/>
    <col min="107" max="107" width="11.25" customWidth="1"/>
    <col min="108" max="108" width="12.25" customWidth="1"/>
    <col min="109" max="109" width="4" customWidth="1"/>
    <col min="110" max="110" width="34.125" customWidth="1"/>
    <col min="111" max="111" width="11.25" customWidth="1"/>
    <col min="112" max="112" width="12.25" customWidth="1"/>
    <col min="113" max="113" width="4" customWidth="1"/>
    <col min="114" max="114" width="34.125" customWidth="1"/>
    <col min="115" max="115" width="11.25" customWidth="1"/>
    <col min="116" max="116" width="12.25" customWidth="1"/>
    <col min="117" max="117" width="4" customWidth="1"/>
    <col min="118" max="118" width="34.125" customWidth="1"/>
    <col min="119" max="119" width="11.25" customWidth="1"/>
    <col min="120" max="120" width="12.25" customWidth="1"/>
    <col min="121" max="121" width="4" customWidth="1"/>
    <col min="122" max="122" width="34.125" customWidth="1"/>
    <col min="123" max="123" width="11.25" customWidth="1"/>
    <col min="124" max="124" width="12.25" customWidth="1"/>
    <col min="125" max="125" width="4" customWidth="1"/>
    <col min="126" max="126" width="34.125" customWidth="1"/>
    <col min="127" max="127" width="11.25" customWidth="1"/>
    <col min="128" max="128" width="12.25" customWidth="1"/>
    <col min="129" max="129" width="4" customWidth="1"/>
    <col min="130" max="130" width="34.125" customWidth="1"/>
    <col min="131" max="131" width="11.25" customWidth="1"/>
    <col min="132" max="132" width="12.25" customWidth="1"/>
    <col min="133" max="133" width="4" customWidth="1"/>
    <col min="134" max="134" width="34.125" customWidth="1"/>
    <col min="135" max="135" width="11.25" customWidth="1"/>
    <col min="136" max="136" width="12.25" customWidth="1"/>
    <col min="137" max="137" width="4" customWidth="1"/>
    <col min="138" max="138" width="34.125" customWidth="1"/>
    <col min="139" max="139" width="11.25" customWidth="1"/>
    <col min="140" max="140" width="12.25" customWidth="1"/>
    <col min="141" max="141" width="4" customWidth="1"/>
    <col min="142" max="142" width="34.125" customWidth="1"/>
    <col min="143" max="143" width="11.25" customWidth="1"/>
    <col min="144" max="144" width="12.25" customWidth="1"/>
    <col min="145" max="145" width="4" customWidth="1"/>
    <col min="146" max="146" width="34.125" customWidth="1"/>
    <col min="147" max="147" width="11.25" customWidth="1"/>
    <col min="148" max="148" width="12.25" customWidth="1"/>
    <col min="149" max="149" width="4" customWidth="1"/>
    <col min="150" max="150" width="34.125" customWidth="1"/>
    <col min="151" max="151" width="11.25" customWidth="1"/>
    <col min="152" max="152" width="12.25" customWidth="1"/>
    <col min="153" max="153" width="4" customWidth="1"/>
    <col min="154" max="154" width="34.125" customWidth="1"/>
    <col min="155" max="155" width="11.25" customWidth="1"/>
    <col min="156" max="156" width="12.25" customWidth="1"/>
    <col min="157" max="157" width="4" customWidth="1"/>
    <col min="158" max="158" width="34.125" customWidth="1"/>
    <col min="159" max="159" width="11.25" customWidth="1"/>
    <col min="160" max="160" width="12.25" customWidth="1"/>
    <col min="161" max="161" width="4" customWidth="1"/>
    <col min="162" max="162" width="34.125" customWidth="1"/>
    <col min="163" max="163" width="11.25" customWidth="1"/>
    <col min="164" max="164" width="12.25" customWidth="1"/>
    <col min="165" max="165" width="4" customWidth="1"/>
    <col min="166" max="166" width="34.125" customWidth="1"/>
    <col min="167" max="167" width="11.25" customWidth="1"/>
    <col min="168" max="168" width="12.25" customWidth="1"/>
    <col min="169" max="169" width="4" customWidth="1"/>
    <col min="170" max="170" width="34.125" customWidth="1"/>
    <col min="171" max="171" width="11.25" customWidth="1"/>
    <col min="172" max="172" width="12.25" customWidth="1"/>
    <col min="173" max="173" width="4" customWidth="1"/>
    <col min="174" max="174" width="34.125" customWidth="1"/>
    <col min="175" max="175" width="11.25" customWidth="1"/>
    <col min="176" max="176" width="12.25" customWidth="1"/>
    <col min="177" max="177" width="4" customWidth="1"/>
    <col min="178" max="178" width="34.125" customWidth="1"/>
    <col min="179" max="179" width="11.25" customWidth="1"/>
    <col min="180" max="180" width="12.25" customWidth="1"/>
    <col min="181" max="181" width="4" customWidth="1"/>
    <col min="182" max="182" width="34.125" customWidth="1"/>
    <col min="183" max="183" width="11.25" customWidth="1"/>
    <col min="184" max="184" width="12.25" customWidth="1"/>
    <col min="185" max="185" width="4" customWidth="1"/>
    <col min="186" max="186" width="34.125" customWidth="1"/>
    <col min="187" max="187" width="11.25" customWidth="1"/>
    <col min="188" max="188" width="12.25" customWidth="1"/>
    <col min="189" max="189" width="4" customWidth="1"/>
    <col min="190" max="190" width="34.125" customWidth="1"/>
    <col min="191" max="191" width="11.25" customWidth="1"/>
    <col min="192" max="192" width="12.25" customWidth="1"/>
    <col min="193" max="193" width="4" customWidth="1"/>
    <col min="194" max="194" width="34.125" customWidth="1"/>
    <col min="195" max="195" width="11.25" customWidth="1"/>
    <col min="196" max="196" width="12.25" customWidth="1"/>
    <col min="197" max="197" width="4" customWidth="1"/>
    <col min="198" max="198" width="34.125" customWidth="1"/>
    <col min="199" max="199" width="11.25" customWidth="1"/>
    <col min="200" max="200" width="12.25" customWidth="1"/>
    <col min="201" max="201" width="4" customWidth="1"/>
    <col min="202" max="202" width="34.125" customWidth="1"/>
    <col min="203" max="203" width="11.25" customWidth="1"/>
    <col min="204" max="204" width="12.25" customWidth="1"/>
    <col min="205" max="205" width="4" customWidth="1"/>
  </cols>
  <sheetData>
    <row r="4" spans="4:204" ht="19.8" thickBot="1" x14ac:dyDescent="0.4">
      <c r="D4" s="146" t="s">
        <v>175</v>
      </c>
      <c r="E4" s="146"/>
      <c r="F4" s="146"/>
      <c r="G4" s="146"/>
      <c r="H4" s="146"/>
    </row>
    <row r="5" spans="4:204" ht="12" thickTop="1" x14ac:dyDescent="0.2"/>
    <row r="6" spans="4:204" ht="14.4" x14ac:dyDescent="0.3">
      <c r="D6" s="148" t="s">
        <v>748</v>
      </c>
      <c r="F6" s="148"/>
      <c r="G6" s="148"/>
      <c r="H6" s="148"/>
      <c r="J6" s="148"/>
      <c r="K6" s="148"/>
      <c r="L6" s="148"/>
      <c r="N6" s="148"/>
      <c r="O6" s="148"/>
      <c r="P6" s="148"/>
      <c r="R6" s="148"/>
      <c r="S6" s="148"/>
      <c r="T6" s="148"/>
      <c r="V6" s="148"/>
      <c r="W6" s="148"/>
      <c r="X6" s="148"/>
      <c r="Z6" s="148"/>
      <c r="AA6" s="148"/>
      <c r="AB6" s="148"/>
      <c r="AD6" s="148"/>
      <c r="AE6" s="148"/>
      <c r="AF6" s="148"/>
      <c r="AH6" s="148"/>
      <c r="AI6" s="148"/>
      <c r="AJ6" s="148"/>
      <c r="AL6" s="148"/>
      <c r="AM6" s="148"/>
      <c r="AN6" s="148"/>
      <c r="AP6" s="148"/>
      <c r="AQ6" s="148"/>
      <c r="AR6" s="148"/>
      <c r="AT6" s="148"/>
      <c r="AU6" s="148"/>
      <c r="AV6" s="148"/>
      <c r="AX6" s="148"/>
      <c r="AY6" s="148"/>
      <c r="AZ6" s="148"/>
      <c r="BB6" s="148"/>
      <c r="BC6" s="148"/>
      <c r="BD6" s="148"/>
      <c r="BF6" s="148"/>
      <c r="BG6" s="148"/>
      <c r="BH6" s="148"/>
      <c r="BJ6" s="148"/>
      <c r="BK6" s="148"/>
      <c r="BL6" s="148"/>
      <c r="BN6" s="148"/>
      <c r="BO6" s="148"/>
      <c r="BP6" s="148"/>
      <c r="BR6" s="148"/>
      <c r="BS6" s="148"/>
      <c r="BT6" s="148"/>
      <c r="BV6" s="148"/>
      <c r="BW6" s="148"/>
      <c r="BX6" s="148"/>
      <c r="BZ6" s="148"/>
      <c r="CA6" s="148"/>
      <c r="CB6" s="148"/>
      <c r="CD6" s="148"/>
      <c r="CE6" s="148"/>
      <c r="CF6" s="148"/>
      <c r="CH6" s="148"/>
      <c r="CI6" s="148"/>
      <c r="CJ6" s="148"/>
      <c r="CL6" s="148"/>
      <c r="CM6" s="148"/>
      <c r="CN6" s="148"/>
      <c r="CP6" s="148"/>
      <c r="CQ6" s="148"/>
      <c r="CR6" s="148"/>
      <c r="CT6" s="148"/>
      <c r="CU6" s="148"/>
      <c r="CV6" s="148"/>
      <c r="CX6" s="148"/>
      <c r="CY6" s="148"/>
      <c r="CZ6" s="148"/>
      <c r="DB6" s="148"/>
      <c r="DC6" s="148"/>
      <c r="DD6" s="148"/>
      <c r="DF6" s="148"/>
      <c r="DG6" s="148"/>
      <c r="DH6" s="148"/>
      <c r="DJ6" s="148"/>
      <c r="DK6" s="148"/>
      <c r="DL6" s="148"/>
      <c r="DN6" s="148"/>
      <c r="DO6" s="148"/>
      <c r="DP6" s="148"/>
      <c r="DR6" s="148"/>
      <c r="DS6" s="148"/>
      <c r="DT6" s="148"/>
      <c r="DV6" s="148"/>
      <c r="DW6" s="148"/>
      <c r="DX6" s="148"/>
      <c r="DZ6" s="148"/>
      <c r="EA6" s="148"/>
      <c r="EB6" s="148"/>
      <c r="ED6" s="148"/>
      <c r="EE6" s="148"/>
      <c r="EF6" s="148"/>
      <c r="EH6" s="148"/>
      <c r="EI6" s="148"/>
      <c r="EJ6" s="148"/>
      <c r="EL6" s="148"/>
      <c r="EM6" s="148"/>
      <c r="EN6" s="148"/>
      <c r="EP6" s="148"/>
      <c r="EQ6" s="148"/>
      <c r="ER6" s="148"/>
      <c r="ET6" s="148"/>
      <c r="EU6" s="148"/>
      <c r="EV6" s="148"/>
      <c r="EX6" s="148"/>
      <c r="EY6" s="148"/>
      <c r="EZ6" s="148"/>
      <c r="FB6" s="148"/>
      <c r="FC6" s="148"/>
      <c r="FD6" s="148"/>
      <c r="FF6" s="148"/>
      <c r="FG6" s="148"/>
      <c r="FH6" s="148"/>
      <c r="FJ6" s="148"/>
      <c r="FK6" s="148"/>
      <c r="FL6" s="148"/>
      <c r="FN6" s="148"/>
      <c r="FO6" s="148"/>
      <c r="FP6" s="148"/>
      <c r="FR6" s="148"/>
      <c r="FS6" s="148"/>
      <c r="FT6" s="148"/>
      <c r="FV6" s="148"/>
      <c r="FW6" s="148"/>
      <c r="FX6" s="148"/>
      <c r="FZ6" s="148"/>
      <c r="GA6" s="148"/>
      <c r="GB6" s="148"/>
      <c r="GD6" s="148"/>
      <c r="GE6" s="148"/>
      <c r="GF6" s="148"/>
      <c r="GH6" s="148"/>
      <c r="GI6" s="148"/>
      <c r="GJ6" s="148"/>
      <c r="GL6" s="148"/>
      <c r="GM6" s="148"/>
      <c r="GN6" s="148"/>
      <c r="GP6" s="148"/>
      <c r="GQ6" s="148"/>
      <c r="GR6" s="148"/>
      <c r="GT6" s="148"/>
      <c r="GU6" s="148"/>
      <c r="GV6" s="148"/>
    </row>
    <row r="7" spans="4:204" ht="14.4" x14ac:dyDescent="0.3">
      <c r="D7" s="148" t="s">
        <v>749</v>
      </c>
      <c r="F7" s="148"/>
      <c r="G7" s="148"/>
      <c r="H7" s="148"/>
      <c r="J7" s="148"/>
      <c r="K7" s="148"/>
      <c r="L7" s="148"/>
      <c r="N7" s="148"/>
      <c r="O7" s="148"/>
      <c r="P7" s="148"/>
      <c r="R7" s="148"/>
      <c r="S7" s="148"/>
      <c r="T7" s="148"/>
      <c r="V7" s="148"/>
      <c r="W7" s="148"/>
      <c r="X7" s="148"/>
      <c r="Z7" s="148"/>
      <c r="AA7" s="148"/>
      <c r="AB7" s="148"/>
      <c r="AD7" s="148"/>
      <c r="AE7" s="148"/>
      <c r="AF7" s="148"/>
      <c r="AH7" s="148"/>
      <c r="AI7" s="148"/>
      <c r="AJ7" s="148"/>
      <c r="AL7" s="148"/>
      <c r="AM7" s="148"/>
      <c r="AN7" s="148"/>
      <c r="AP7" s="148"/>
      <c r="AQ7" s="148"/>
      <c r="AR7" s="148"/>
      <c r="AT7" s="148"/>
      <c r="AU7" s="148"/>
      <c r="AV7" s="148"/>
      <c r="AX7" s="148"/>
      <c r="AY7" s="148"/>
      <c r="AZ7" s="148"/>
      <c r="BB7" s="148"/>
      <c r="BC7" s="148"/>
      <c r="BD7" s="148"/>
      <c r="BF7" s="148"/>
      <c r="BG7" s="148"/>
      <c r="BH7" s="148"/>
      <c r="BJ7" s="148"/>
      <c r="BK7" s="148"/>
      <c r="BL7" s="148"/>
      <c r="BN7" s="148"/>
      <c r="BO7" s="148"/>
      <c r="BP7" s="148"/>
      <c r="BR7" s="148"/>
      <c r="BS7" s="148"/>
      <c r="BT7" s="148"/>
      <c r="BV7" s="148"/>
      <c r="BW7" s="148"/>
      <c r="BX7" s="148"/>
      <c r="BZ7" s="148"/>
      <c r="CA7" s="148"/>
      <c r="CB7" s="148"/>
      <c r="CD7" s="148"/>
      <c r="CE7" s="148"/>
      <c r="CF7" s="148"/>
      <c r="CH7" s="148"/>
      <c r="CI7" s="148"/>
      <c r="CJ7" s="148"/>
      <c r="CL7" s="148"/>
      <c r="CM7" s="148"/>
      <c r="CN7" s="148"/>
      <c r="CP7" s="148"/>
      <c r="CQ7" s="148"/>
      <c r="CR7" s="148"/>
      <c r="CT7" s="148"/>
      <c r="CU7" s="148"/>
      <c r="CV7" s="148"/>
      <c r="CX7" s="148"/>
      <c r="CY7" s="148"/>
      <c r="CZ7" s="148"/>
      <c r="DB7" s="148"/>
      <c r="DC7" s="148"/>
      <c r="DD7" s="148"/>
      <c r="DF7" s="148"/>
      <c r="DG7" s="148"/>
      <c r="DH7" s="148"/>
      <c r="DJ7" s="148"/>
      <c r="DK7" s="148"/>
      <c r="DL7" s="148"/>
      <c r="DN7" s="148"/>
      <c r="DO7" s="148"/>
      <c r="DP7" s="148"/>
      <c r="DR7" s="148"/>
      <c r="DS7" s="148"/>
      <c r="DT7" s="148"/>
      <c r="DV7" s="148"/>
      <c r="DW7" s="148"/>
      <c r="DX7" s="148"/>
      <c r="DZ7" s="148"/>
      <c r="EA7" s="148"/>
      <c r="EB7" s="148"/>
      <c r="ED7" s="148"/>
      <c r="EE7" s="148"/>
      <c r="EF7" s="148"/>
      <c r="EH7" s="148"/>
      <c r="EI7" s="148"/>
      <c r="EJ7" s="148"/>
      <c r="EL7" s="148"/>
      <c r="EM7" s="148"/>
      <c r="EN7" s="148"/>
      <c r="EP7" s="148"/>
      <c r="EQ7" s="148"/>
      <c r="ER7" s="148"/>
      <c r="ET7" s="148"/>
      <c r="EU7" s="148"/>
      <c r="EV7" s="148"/>
      <c r="EX7" s="148"/>
      <c r="EY7" s="148"/>
      <c r="EZ7" s="148"/>
      <c r="FB7" s="148"/>
      <c r="FC7" s="148"/>
      <c r="FD7" s="148"/>
      <c r="FF7" s="148"/>
      <c r="FG7" s="148"/>
      <c r="FH7" s="148"/>
      <c r="FJ7" s="148"/>
      <c r="FK7" s="148"/>
      <c r="FL7" s="148"/>
      <c r="FN7" s="148"/>
      <c r="FO7" s="148"/>
      <c r="FP7" s="148"/>
      <c r="FR7" s="148"/>
      <c r="FS7" s="148"/>
      <c r="FT7" s="148"/>
      <c r="FV7" s="148"/>
      <c r="FW7" s="148"/>
      <c r="FX7" s="148"/>
      <c r="FZ7" s="148"/>
      <c r="GA7" s="148"/>
      <c r="GB7" s="148"/>
      <c r="GD7" s="148"/>
      <c r="GE7" s="148"/>
      <c r="GF7" s="148"/>
      <c r="GH7" s="148"/>
      <c r="GI7" s="148"/>
      <c r="GJ7" s="148"/>
      <c r="GL7" s="148"/>
      <c r="GM7" s="148"/>
      <c r="GN7" s="148"/>
      <c r="GP7" s="148"/>
      <c r="GQ7" s="148"/>
      <c r="GR7" s="148"/>
      <c r="GT7" s="148"/>
      <c r="GU7" s="148"/>
      <c r="GV7" s="148"/>
    </row>
    <row r="8" spans="4:204" ht="14.4" x14ac:dyDescent="0.3">
      <c r="D8" s="148"/>
      <c r="F8" s="148"/>
      <c r="G8" s="148"/>
      <c r="H8" s="148"/>
      <c r="J8" s="148"/>
      <c r="K8" s="148"/>
      <c r="L8" s="148"/>
      <c r="N8" s="148"/>
      <c r="O8" s="148"/>
      <c r="P8" s="148"/>
      <c r="R8" s="148"/>
      <c r="S8" s="148"/>
      <c r="T8" s="148"/>
      <c r="V8" s="148"/>
      <c r="W8" s="148"/>
      <c r="X8" s="148"/>
      <c r="Z8" s="148"/>
      <c r="AA8" s="148"/>
      <c r="AB8" s="148"/>
      <c r="AD8" s="148"/>
      <c r="AE8" s="148"/>
      <c r="AF8" s="148"/>
      <c r="AH8" s="148"/>
      <c r="AI8" s="148"/>
      <c r="AJ8" s="148"/>
      <c r="AL8" s="148"/>
      <c r="AM8" s="148"/>
      <c r="AN8" s="148"/>
      <c r="AP8" s="148"/>
      <c r="AQ8" s="148"/>
      <c r="AR8" s="148"/>
      <c r="AT8" s="148"/>
      <c r="AU8" s="148"/>
      <c r="AV8" s="148"/>
      <c r="AX8" s="148"/>
      <c r="AY8" s="148"/>
      <c r="AZ8" s="148"/>
      <c r="BB8" s="148"/>
      <c r="BC8" s="148"/>
      <c r="BD8" s="148"/>
      <c r="BF8" s="148"/>
      <c r="BG8" s="148"/>
      <c r="BH8" s="148"/>
      <c r="BJ8" s="148"/>
      <c r="BK8" s="148"/>
      <c r="BL8" s="148"/>
      <c r="BN8" s="148"/>
      <c r="BO8" s="148"/>
      <c r="BP8" s="148"/>
      <c r="BR8" s="148"/>
      <c r="BS8" s="148"/>
      <c r="BT8" s="148"/>
      <c r="BV8" s="148"/>
      <c r="BW8" s="148"/>
      <c r="BX8" s="148"/>
      <c r="BZ8" s="148"/>
      <c r="CA8" s="148"/>
      <c r="CB8" s="148"/>
      <c r="CD8" s="148"/>
      <c r="CE8" s="148"/>
      <c r="CF8" s="148"/>
      <c r="CH8" s="148"/>
      <c r="CI8" s="148"/>
      <c r="CJ8" s="148"/>
      <c r="CL8" s="148"/>
      <c r="CM8" s="148"/>
      <c r="CN8" s="148"/>
      <c r="CP8" s="148"/>
      <c r="CQ8" s="148"/>
      <c r="CR8" s="148"/>
      <c r="CT8" s="148"/>
      <c r="CU8" s="148"/>
      <c r="CV8" s="148"/>
      <c r="CX8" s="148"/>
      <c r="CY8" s="148"/>
      <c r="CZ8" s="148"/>
      <c r="DB8" s="148"/>
      <c r="DC8" s="148"/>
      <c r="DD8" s="148"/>
      <c r="DF8" s="148"/>
      <c r="DG8" s="148"/>
      <c r="DH8" s="148"/>
      <c r="DJ8" s="148"/>
      <c r="DK8" s="148"/>
      <c r="DL8" s="148"/>
      <c r="DN8" s="148"/>
      <c r="DO8" s="148"/>
      <c r="DP8" s="148"/>
      <c r="DR8" s="148"/>
      <c r="DS8" s="148"/>
      <c r="DT8" s="148"/>
      <c r="DV8" s="148"/>
      <c r="DW8" s="148"/>
      <c r="DX8" s="148"/>
      <c r="DZ8" s="148"/>
      <c r="EA8" s="148"/>
      <c r="EB8" s="148"/>
      <c r="ED8" s="148"/>
      <c r="EE8" s="148"/>
      <c r="EF8" s="148"/>
      <c r="EH8" s="148"/>
      <c r="EI8" s="148"/>
      <c r="EJ8" s="148"/>
      <c r="EL8" s="148"/>
      <c r="EM8" s="148"/>
      <c r="EN8" s="148"/>
      <c r="EP8" s="148"/>
      <c r="EQ8" s="148"/>
      <c r="ER8" s="148"/>
      <c r="ET8" s="148"/>
      <c r="EU8" s="148"/>
      <c r="EV8" s="148"/>
      <c r="EX8" s="148"/>
      <c r="EY8" s="148"/>
      <c r="EZ8" s="148"/>
      <c r="FB8" s="148"/>
      <c r="FC8" s="148"/>
      <c r="FD8" s="148"/>
      <c r="FF8" s="148"/>
      <c r="FG8" s="148"/>
      <c r="FH8" s="148"/>
      <c r="FJ8" s="148"/>
      <c r="FK8" s="148"/>
      <c r="FL8" s="148"/>
      <c r="FN8" s="148"/>
      <c r="FO8" s="148"/>
      <c r="FP8" s="148"/>
      <c r="FR8" s="148"/>
      <c r="FS8" s="148"/>
      <c r="FT8" s="148"/>
      <c r="FV8" s="148"/>
      <c r="FW8" s="148"/>
      <c r="FX8" s="148"/>
      <c r="FZ8" s="148"/>
      <c r="GA8" s="148"/>
      <c r="GB8" s="148"/>
      <c r="GD8" s="148"/>
      <c r="GE8" s="148"/>
      <c r="GF8" s="148"/>
      <c r="GH8" s="148"/>
      <c r="GI8" s="148"/>
      <c r="GJ8" s="148"/>
      <c r="GL8" s="148"/>
      <c r="GM8" s="148"/>
      <c r="GN8" s="148"/>
      <c r="GP8" s="148"/>
      <c r="GQ8" s="148"/>
      <c r="GR8" s="148"/>
      <c r="GT8" s="148"/>
      <c r="GU8" s="148"/>
      <c r="GV8" s="148"/>
    </row>
    <row r="9" spans="4:204" ht="14.4" x14ac:dyDescent="0.3">
      <c r="D9" s="148"/>
      <c r="F9" s="148"/>
      <c r="G9" s="148"/>
      <c r="H9" s="148"/>
      <c r="J9" s="148"/>
      <c r="K9" s="148"/>
      <c r="L9" s="148"/>
      <c r="N9" s="148"/>
      <c r="O9" s="148"/>
      <c r="P9" s="148"/>
      <c r="R9" s="148"/>
      <c r="S9" s="148"/>
      <c r="T9" s="148"/>
      <c r="V9" s="148"/>
      <c r="W9" s="148"/>
      <c r="X9" s="148"/>
      <c r="Z9" s="148"/>
      <c r="AA9" s="148"/>
      <c r="AB9" s="148"/>
      <c r="AD9" s="148"/>
      <c r="AE9" s="148"/>
      <c r="AF9" s="148"/>
      <c r="AH9" s="148"/>
      <c r="AI9" s="148"/>
      <c r="AJ9" s="148"/>
      <c r="AL9" s="148"/>
      <c r="AM9" s="148"/>
      <c r="AN9" s="148"/>
      <c r="AP9" s="148"/>
      <c r="AQ9" s="148"/>
      <c r="AR9" s="148"/>
      <c r="AT9" s="148"/>
      <c r="AU9" s="148"/>
      <c r="AV9" s="148"/>
      <c r="AX9" s="148"/>
      <c r="AY9" s="148"/>
      <c r="AZ9" s="148"/>
      <c r="BB9" s="148"/>
      <c r="BC9" s="148"/>
      <c r="BD9" s="148"/>
      <c r="BF9" s="148"/>
      <c r="BG9" s="148"/>
      <c r="BH9" s="148"/>
      <c r="BJ9" s="148"/>
      <c r="BK9" s="148"/>
      <c r="BL9" s="148"/>
      <c r="BN9" s="148"/>
      <c r="BO9" s="148"/>
      <c r="BP9" s="148"/>
      <c r="BR9" s="148"/>
      <c r="BS9" s="148"/>
      <c r="BT9" s="148"/>
      <c r="BV9" s="148"/>
      <c r="BW9" s="148"/>
      <c r="BX9" s="148"/>
      <c r="BZ9" s="148"/>
      <c r="CA9" s="148"/>
      <c r="CB9" s="148"/>
      <c r="CD9" s="148"/>
      <c r="CE9" s="148"/>
      <c r="CF9" s="148"/>
      <c r="CH9" s="148"/>
      <c r="CI9" s="148"/>
      <c r="CJ9" s="148"/>
      <c r="CL9" s="148"/>
      <c r="CM9" s="148"/>
      <c r="CN9" s="148"/>
      <c r="CP9" s="148"/>
      <c r="CQ9" s="148"/>
      <c r="CR9" s="148"/>
      <c r="CT9" s="148"/>
      <c r="CU9" s="148"/>
      <c r="CV9" s="148"/>
      <c r="CX9" s="148"/>
      <c r="CY9" s="148"/>
      <c r="CZ9" s="148"/>
      <c r="DB9" s="148"/>
      <c r="DC9" s="148"/>
      <c r="DD9" s="148"/>
      <c r="DF9" s="148"/>
      <c r="DG9" s="148"/>
      <c r="DH9" s="148"/>
      <c r="DJ9" s="148"/>
      <c r="DK9" s="148"/>
      <c r="DL9" s="148"/>
      <c r="DN9" s="148"/>
      <c r="DO9" s="148"/>
      <c r="DP9" s="148"/>
      <c r="DR9" s="148"/>
      <c r="DS9" s="148"/>
      <c r="DT9" s="148"/>
      <c r="DV9" s="148"/>
      <c r="DW9" s="148"/>
      <c r="DX9" s="148"/>
      <c r="DZ9" s="148"/>
      <c r="EA9" s="148"/>
      <c r="EB9" s="148"/>
      <c r="ED9" s="148"/>
      <c r="EE9" s="148"/>
      <c r="EF9" s="148"/>
      <c r="EH9" s="148"/>
      <c r="EI9" s="148"/>
      <c r="EJ9" s="148"/>
      <c r="EL9" s="148"/>
      <c r="EM9" s="148"/>
      <c r="EN9" s="148"/>
      <c r="EP9" s="148"/>
      <c r="EQ9" s="148"/>
      <c r="ER9" s="148"/>
      <c r="ET9" s="148"/>
      <c r="EU9" s="148"/>
      <c r="EV9" s="148"/>
      <c r="EX9" s="148"/>
      <c r="EY9" s="148"/>
      <c r="EZ9" s="148"/>
      <c r="FB9" s="148"/>
      <c r="FC9" s="148"/>
      <c r="FD9" s="148"/>
      <c r="FF9" s="148"/>
      <c r="FG9" s="148"/>
      <c r="FH9" s="148"/>
      <c r="FJ9" s="148"/>
      <c r="FK9" s="148"/>
      <c r="FL9" s="148"/>
      <c r="FN9" s="148"/>
      <c r="FO9" s="148"/>
      <c r="FP9" s="148"/>
      <c r="FR9" s="148"/>
      <c r="FS9" s="148"/>
      <c r="FT9" s="148"/>
      <c r="FV9" s="148"/>
      <c r="FW9" s="148"/>
      <c r="FX9" s="148"/>
      <c r="FZ9" s="148"/>
      <c r="GA9" s="148"/>
      <c r="GB9" s="148"/>
      <c r="GD9" s="148"/>
      <c r="GE9" s="148"/>
      <c r="GF9" s="148"/>
      <c r="GH9" s="148"/>
      <c r="GI9" s="148"/>
      <c r="GJ9" s="148"/>
      <c r="GL9" s="148"/>
      <c r="GM9" s="148"/>
      <c r="GN9" s="148"/>
      <c r="GP9" s="148"/>
      <c r="GQ9" s="148"/>
      <c r="GR9" s="148"/>
      <c r="GT9" s="148"/>
      <c r="GU9" s="148"/>
      <c r="GV9" s="148"/>
    </row>
    <row r="10" spans="4:204" x14ac:dyDescent="0.2">
      <c r="D10" s="190" t="s">
        <v>605</v>
      </c>
    </row>
    <row r="11" spans="4:204" x14ac:dyDescent="0.2">
      <c r="D11" s="206" t="str">
        <f>Summary!$F$11</f>
        <v>$2025-26</v>
      </c>
    </row>
    <row r="12" spans="4:204" x14ac:dyDescent="0.2">
      <c r="D12" s="191">
        <f>MATCH(D11,Lists!$C$3:$C$4,)</f>
        <v>2</v>
      </c>
    </row>
    <row r="13" spans="4:204" x14ac:dyDescent="0.2">
      <c r="D13" s="191"/>
    </row>
    <row r="14" spans="4:204" s="234" customFormat="1" hidden="1" x14ac:dyDescent="0.2">
      <c r="D14" s="234" t="s">
        <v>715</v>
      </c>
      <c r="F14" s="234">
        <v>1</v>
      </c>
      <c r="J14" s="234">
        <f>F14+1</f>
        <v>2</v>
      </c>
      <c r="N14" s="234">
        <f>J14+1</f>
        <v>3</v>
      </c>
      <c r="R14" s="234">
        <f>N14+1</f>
        <v>4</v>
      </c>
      <c r="V14" s="234">
        <f>R14+1</f>
        <v>5</v>
      </c>
      <c r="Z14" s="234">
        <f>V14+1</f>
        <v>6</v>
      </c>
      <c r="AD14" s="234">
        <f>Z14+1</f>
        <v>7</v>
      </c>
      <c r="AH14" s="234">
        <f>AD14+1</f>
        <v>8</v>
      </c>
      <c r="AL14" s="234">
        <f>AH14+1</f>
        <v>9</v>
      </c>
      <c r="AP14" s="234">
        <f>AL14+1</f>
        <v>10</v>
      </c>
      <c r="AT14" s="234">
        <f>AP14+1</f>
        <v>11</v>
      </c>
      <c r="AX14" s="234">
        <f>AT14+1</f>
        <v>12</v>
      </c>
      <c r="BB14" s="234">
        <f>AX14+1</f>
        <v>13</v>
      </c>
      <c r="BF14" s="234">
        <f>BB14+1</f>
        <v>14</v>
      </c>
      <c r="BJ14" s="234">
        <f>BF14+1</f>
        <v>15</v>
      </c>
      <c r="BN14" s="234">
        <f>BJ14+1</f>
        <v>16</v>
      </c>
      <c r="BR14" s="234">
        <f>BN14+1</f>
        <v>17</v>
      </c>
      <c r="BV14" s="234">
        <f>BR14+1</f>
        <v>18</v>
      </c>
      <c r="BZ14" s="234">
        <f>BV14+1</f>
        <v>19</v>
      </c>
      <c r="CD14" s="234">
        <f>BZ14+1</f>
        <v>20</v>
      </c>
      <c r="CH14" s="234">
        <f>CD14+1</f>
        <v>21</v>
      </c>
      <c r="CL14" s="234">
        <f>CH14+1</f>
        <v>22</v>
      </c>
      <c r="CP14" s="234">
        <f>CL14+1</f>
        <v>23</v>
      </c>
      <c r="CT14" s="234">
        <f>CP14+1</f>
        <v>24</v>
      </c>
      <c r="CX14" s="234">
        <f>CT14+1</f>
        <v>25</v>
      </c>
      <c r="DB14" s="234">
        <f>CX14+1</f>
        <v>26</v>
      </c>
      <c r="DF14" s="234">
        <f>DB14+1</f>
        <v>27</v>
      </c>
      <c r="DJ14" s="234">
        <f>DF14+1</f>
        <v>28</v>
      </c>
      <c r="DN14" s="234">
        <f>DJ14+1</f>
        <v>29</v>
      </c>
      <c r="DR14" s="234">
        <f>DN14+1</f>
        <v>30</v>
      </c>
      <c r="DV14" s="234">
        <f>DR14+1</f>
        <v>31</v>
      </c>
      <c r="DZ14" s="234">
        <f>DV14+1</f>
        <v>32</v>
      </c>
      <c r="ED14" s="234">
        <f>DZ14+1</f>
        <v>33</v>
      </c>
      <c r="EH14" s="234">
        <f>ED14+1</f>
        <v>34</v>
      </c>
      <c r="EL14" s="234">
        <f>EH14+1</f>
        <v>35</v>
      </c>
      <c r="EP14" s="234">
        <f>EL14+1</f>
        <v>36</v>
      </c>
      <c r="ET14" s="234">
        <f>EP14+1</f>
        <v>37</v>
      </c>
      <c r="EX14" s="234">
        <f>ET14+1</f>
        <v>38</v>
      </c>
      <c r="FB14" s="234">
        <f>EX14+1</f>
        <v>39</v>
      </c>
      <c r="FF14" s="234">
        <f>FB14+1</f>
        <v>40</v>
      </c>
      <c r="FJ14" s="234">
        <f>FF14+1</f>
        <v>41</v>
      </c>
      <c r="FN14" s="234">
        <f>FJ14+1</f>
        <v>42</v>
      </c>
      <c r="FR14" s="234">
        <f>FN14+1</f>
        <v>43</v>
      </c>
      <c r="FV14" s="234">
        <f>FR14+1</f>
        <v>44</v>
      </c>
      <c r="FZ14" s="234">
        <f>FV14+1</f>
        <v>45</v>
      </c>
      <c r="GD14" s="234">
        <f>FZ14+1</f>
        <v>46</v>
      </c>
      <c r="GH14" s="234">
        <f>GD14+1</f>
        <v>47</v>
      </c>
      <c r="GL14" s="234">
        <f>GH14+1</f>
        <v>48</v>
      </c>
      <c r="GP14" s="234">
        <f>GL14+1</f>
        <v>49</v>
      </c>
      <c r="GT14" s="234">
        <f>GP14+1</f>
        <v>50</v>
      </c>
    </row>
    <row r="15" spans="4:204" ht="30.75" customHeight="1" x14ac:dyDescent="0.2">
      <c r="D15" s="167" t="s">
        <v>146</v>
      </c>
      <c r="F15" s="248" t="str">
        <f>IF(_xlfn.XLOOKUP(F$14,TableOpenSpace['#],TableOpenSpace[Type of infrastructure])&lt;&gt;"",_xlfn.XLOOKUP(F$14,TableOpenSpace['#],TableOpenSpace[Type of infrastructure]),"")</f>
        <v/>
      </c>
      <c r="G15" s="248"/>
      <c r="H15" s="248"/>
      <c r="J15" s="248" t="str">
        <f>IF(_xlfn.XLOOKUP(J$14,TableOpenSpace['#],TableOpenSpace[Type of infrastructure])&lt;&gt;"",_xlfn.XLOOKUP(J$14,TableOpenSpace['#],TableOpenSpace[Type of infrastructure]),"")</f>
        <v/>
      </c>
      <c r="K15" s="248"/>
      <c r="L15" s="248"/>
      <c r="N15" s="248" t="str">
        <f>IF(_xlfn.XLOOKUP(N$14,TableOpenSpace['#],TableOpenSpace[Type of infrastructure])&lt;&gt;"",_xlfn.XLOOKUP(N$14,TableOpenSpace['#],TableOpenSpace[Type of infrastructure]),"")</f>
        <v/>
      </c>
      <c r="O15" s="248"/>
      <c r="P15" s="248"/>
      <c r="R15" s="248" t="str">
        <f>IF(_xlfn.XLOOKUP(R$14,TableOpenSpace['#],TableOpenSpace[Type of infrastructure])&lt;&gt;"",_xlfn.XLOOKUP(R$14,TableOpenSpace['#],TableOpenSpace[Type of infrastructure]),"")</f>
        <v/>
      </c>
      <c r="S15" s="248"/>
      <c r="T15" s="248"/>
      <c r="V15" s="248" t="str">
        <f>IF(_xlfn.XLOOKUP(V$14,TableOpenSpace['#],TableOpenSpace[Type of infrastructure])&lt;&gt;"",_xlfn.XLOOKUP(V$14,TableOpenSpace['#],TableOpenSpace[Type of infrastructure]),"")</f>
        <v/>
      </c>
      <c r="W15" s="248"/>
      <c r="X15" s="248"/>
      <c r="Z15" s="248" t="str">
        <f>IF(_xlfn.XLOOKUP(Z$14,TableOpenSpace['#],TableOpenSpace[Type of infrastructure])&lt;&gt;"",_xlfn.XLOOKUP(Z$14,TableOpenSpace['#],TableOpenSpace[Type of infrastructure]),"")</f>
        <v/>
      </c>
      <c r="AA15" s="248"/>
      <c r="AB15" s="248"/>
      <c r="AD15" s="248" t="str">
        <f>IF(_xlfn.XLOOKUP(AD$14,TableOpenSpace['#],TableOpenSpace[Type of infrastructure])&lt;&gt;"",_xlfn.XLOOKUP(AD$14,TableOpenSpace['#],TableOpenSpace[Type of infrastructure]),"")</f>
        <v/>
      </c>
      <c r="AE15" s="248"/>
      <c r="AF15" s="248"/>
      <c r="AH15" s="248" t="str">
        <f>IF(_xlfn.XLOOKUP(AH$14,TableOpenSpace['#],TableOpenSpace[Type of infrastructure])&lt;&gt;"",_xlfn.XLOOKUP(AH$14,TableOpenSpace['#],TableOpenSpace[Type of infrastructure]),"")</f>
        <v/>
      </c>
      <c r="AI15" s="248"/>
      <c r="AJ15" s="248"/>
      <c r="AL15" s="248" t="str">
        <f>IF(_xlfn.XLOOKUP(AL$14,TableOpenSpace['#],TableOpenSpace[Type of infrastructure])&lt;&gt;"",_xlfn.XLOOKUP(AL$14,TableOpenSpace['#],TableOpenSpace[Type of infrastructure]),"")</f>
        <v/>
      </c>
      <c r="AM15" s="248"/>
      <c r="AN15" s="248"/>
      <c r="AP15" s="248" t="str">
        <f>IF(_xlfn.XLOOKUP(AP$14,TableOpenSpace['#],TableOpenSpace[Type of infrastructure])&lt;&gt;"",_xlfn.XLOOKUP(AP$14,TableOpenSpace['#],TableOpenSpace[Type of infrastructure]),"")</f>
        <v/>
      </c>
      <c r="AQ15" s="248"/>
      <c r="AR15" s="248"/>
      <c r="AT15" s="248" t="str">
        <f>IF(_xlfn.XLOOKUP(AT$14,TableOpenSpace['#],TableOpenSpace[Type of infrastructure])&lt;&gt;"",_xlfn.XLOOKUP(AT$14,TableOpenSpace['#],TableOpenSpace[Type of infrastructure]),"")</f>
        <v/>
      </c>
      <c r="AU15" s="248"/>
      <c r="AV15" s="248"/>
      <c r="AX15" s="248" t="str">
        <f>IF(_xlfn.XLOOKUP(AX$14,TableOpenSpace['#],TableOpenSpace[Type of infrastructure])&lt;&gt;"",_xlfn.XLOOKUP(AX$14,TableOpenSpace['#],TableOpenSpace[Type of infrastructure]),"")</f>
        <v/>
      </c>
      <c r="AY15" s="248"/>
      <c r="AZ15" s="248"/>
      <c r="BB15" s="248" t="str">
        <f>IF(_xlfn.XLOOKUP(BB$14,TableOpenSpace['#],TableOpenSpace[Type of infrastructure])&lt;&gt;"",_xlfn.XLOOKUP(BB$14,TableOpenSpace['#],TableOpenSpace[Type of infrastructure]),"")</f>
        <v/>
      </c>
      <c r="BC15" s="248"/>
      <c r="BD15" s="248"/>
      <c r="BF15" s="248" t="str">
        <f>IF(_xlfn.XLOOKUP(BF$14,TableOpenSpace['#],TableOpenSpace[Type of infrastructure])&lt;&gt;"",_xlfn.XLOOKUP(BF$14,TableOpenSpace['#],TableOpenSpace[Type of infrastructure]),"")</f>
        <v/>
      </c>
      <c r="BG15" s="248"/>
      <c r="BH15" s="248"/>
      <c r="BJ15" s="248" t="str">
        <f>IF(_xlfn.XLOOKUP(BJ$14,TableOpenSpace['#],TableOpenSpace[Type of infrastructure])&lt;&gt;"",_xlfn.XLOOKUP(BJ$14,TableOpenSpace['#],TableOpenSpace[Type of infrastructure]),"")</f>
        <v/>
      </c>
      <c r="BK15" s="248"/>
      <c r="BL15" s="248"/>
      <c r="BN15" s="248" t="str">
        <f>IF(_xlfn.XLOOKUP(BN$14,TableOpenSpace['#],TableOpenSpace[Type of infrastructure])&lt;&gt;"",_xlfn.XLOOKUP(BN$14,TableOpenSpace['#],TableOpenSpace[Type of infrastructure]),"")</f>
        <v/>
      </c>
      <c r="BO15" s="248"/>
      <c r="BP15" s="248"/>
      <c r="BR15" s="248" t="str">
        <f>IF(_xlfn.XLOOKUP(BR$14,TableOpenSpace['#],TableOpenSpace[Type of infrastructure])&lt;&gt;"",_xlfn.XLOOKUP(BR$14,TableOpenSpace['#],TableOpenSpace[Type of infrastructure]),"")</f>
        <v/>
      </c>
      <c r="BS15" s="248"/>
      <c r="BT15" s="248"/>
      <c r="BV15" s="248" t="str">
        <f>IF(_xlfn.XLOOKUP(BV$14,TableOpenSpace['#],TableOpenSpace[Type of infrastructure])&lt;&gt;"",_xlfn.XLOOKUP(BV$14,TableOpenSpace['#],TableOpenSpace[Type of infrastructure]),"")</f>
        <v/>
      </c>
      <c r="BW15" s="248"/>
      <c r="BX15" s="248"/>
      <c r="BZ15" s="248" t="str">
        <f>IF(_xlfn.XLOOKUP(BZ$14,TableOpenSpace['#],TableOpenSpace[Type of infrastructure])&lt;&gt;"",_xlfn.XLOOKUP(BZ$14,TableOpenSpace['#],TableOpenSpace[Type of infrastructure]),"")</f>
        <v/>
      </c>
      <c r="CA15" s="248"/>
      <c r="CB15" s="248"/>
      <c r="CD15" s="248" t="str">
        <f>IF(_xlfn.XLOOKUP(CD$14,TableOpenSpace['#],TableOpenSpace[Type of infrastructure])&lt;&gt;"",_xlfn.XLOOKUP(CD$14,TableOpenSpace['#],TableOpenSpace[Type of infrastructure]),"")</f>
        <v/>
      </c>
      <c r="CE15" s="248"/>
      <c r="CF15" s="248"/>
      <c r="CH15" s="248" t="str">
        <f>IF(_xlfn.XLOOKUP(CH$14,TableOpenSpace['#],TableOpenSpace[Type of infrastructure])&lt;&gt;"",_xlfn.XLOOKUP(CH$14,TableOpenSpace['#],TableOpenSpace[Type of infrastructure]),"")</f>
        <v/>
      </c>
      <c r="CI15" s="248"/>
      <c r="CJ15" s="248"/>
      <c r="CL15" s="248" t="str">
        <f>IF(_xlfn.XLOOKUP(CL$14,TableOpenSpace['#],TableOpenSpace[Type of infrastructure])&lt;&gt;"",_xlfn.XLOOKUP(CL$14,TableOpenSpace['#],TableOpenSpace[Type of infrastructure]),"")</f>
        <v/>
      </c>
      <c r="CM15" s="248"/>
      <c r="CN15" s="248"/>
      <c r="CP15" s="248" t="str">
        <f>IF(_xlfn.XLOOKUP(CP$14,TableOpenSpace['#],TableOpenSpace[Type of infrastructure])&lt;&gt;"",_xlfn.XLOOKUP(CP$14,TableOpenSpace['#],TableOpenSpace[Type of infrastructure]),"")</f>
        <v/>
      </c>
      <c r="CQ15" s="248"/>
      <c r="CR15" s="248"/>
      <c r="CT15" s="248" t="str">
        <f>IF(_xlfn.XLOOKUP(CT$14,TableOpenSpace['#],TableOpenSpace[Type of infrastructure])&lt;&gt;"",_xlfn.XLOOKUP(CT$14,TableOpenSpace['#],TableOpenSpace[Type of infrastructure]),"")</f>
        <v/>
      </c>
      <c r="CU15" s="248"/>
      <c r="CV15" s="248"/>
      <c r="CX15" s="248" t="str">
        <f>IF(_xlfn.XLOOKUP(CX$14,TableOpenSpace['#],TableOpenSpace[Type of infrastructure])&lt;&gt;"",_xlfn.XLOOKUP(CX$14,TableOpenSpace['#],TableOpenSpace[Type of infrastructure]),"")</f>
        <v/>
      </c>
      <c r="CY15" s="248"/>
      <c r="CZ15" s="248"/>
      <c r="DB15" s="248" t="str">
        <f>IF(_xlfn.XLOOKUP(DB$14,TableOpenSpace['#],TableOpenSpace[Type of infrastructure])&lt;&gt;"",_xlfn.XLOOKUP(DB$14,TableOpenSpace['#],TableOpenSpace[Type of infrastructure]),"")</f>
        <v/>
      </c>
      <c r="DC15" s="248"/>
      <c r="DD15" s="248"/>
      <c r="DF15" s="248" t="str">
        <f>IF(_xlfn.XLOOKUP(DF$14,TableOpenSpace['#],TableOpenSpace[Type of infrastructure])&lt;&gt;"",_xlfn.XLOOKUP(DF$14,TableOpenSpace['#],TableOpenSpace[Type of infrastructure]),"")</f>
        <v/>
      </c>
      <c r="DG15" s="248"/>
      <c r="DH15" s="248"/>
      <c r="DJ15" s="248" t="str">
        <f>IF(_xlfn.XLOOKUP(DJ$14,TableOpenSpace['#],TableOpenSpace[Type of infrastructure])&lt;&gt;"",_xlfn.XLOOKUP(DJ$14,TableOpenSpace['#],TableOpenSpace[Type of infrastructure]),"")</f>
        <v/>
      </c>
      <c r="DK15" s="248"/>
      <c r="DL15" s="248"/>
      <c r="DN15" s="248" t="str">
        <f>IF(_xlfn.XLOOKUP(DN$14,TableOpenSpace['#],TableOpenSpace[Type of infrastructure])&lt;&gt;"",_xlfn.XLOOKUP(DN$14,TableOpenSpace['#],TableOpenSpace[Type of infrastructure]),"")</f>
        <v/>
      </c>
      <c r="DO15" s="248"/>
      <c r="DP15" s="248"/>
      <c r="DR15" s="248" t="str">
        <f>IF(_xlfn.XLOOKUP(DR$14,TableOpenSpace['#],TableOpenSpace[Type of infrastructure])&lt;&gt;"",_xlfn.XLOOKUP(DR$14,TableOpenSpace['#],TableOpenSpace[Type of infrastructure]),"")</f>
        <v/>
      </c>
      <c r="DS15" s="248"/>
      <c r="DT15" s="248"/>
      <c r="DV15" s="248" t="str">
        <f>IF(_xlfn.XLOOKUP(DV$14,TableOpenSpace['#],TableOpenSpace[Type of infrastructure])&lt;&gt;"",_xlfn.XLOOKUP(DV$14,TableOpenSpace['#],TableOpenSpace[Type of infrastructure]),"")</f>
        <v/>
      </c>
      <c r="DW15" s="248"/>
      <c r="DX15" s="248"/>
      <c r="DZ15" s="248" t="str">
        <f>IF(_xlfn.XLOOKUP(DZ$14,TableOpenSpace['#],TableOpenSpace[Type of infrastructure])&lt;&gt;"",_xlfn.XLOOKUP(DZ$14,TableOpenSpace['#],TableOpenSpace[Type of infrastructure]),"")</f>
        <v/>
      </c>
      <c r="EA15" s="248"/>
      <c r="EB15" s="248"/>
      <c r="ED15" s="248" t="str">
        <f>IF(_xlfn.XLOOKUP(ED$14,TableOpenSpace['#],TableOpenSpace[Type of infrastructure])&lt;&gt;"",_xlfn.XLOOKUP(ED$14,TableOpenSpace['#],TableOpenSpace[Type of infrastructure]),"")</f>
        <v/>
      </c>
      <c r="EE15" s="248"/>
      <c r="EF15" s="248"/>
      <c r="EH15" s="248" t="str">
        <f>IF(_xlfn.XLOOKUP(EH$14,TableOpenSpace['#],TableOpenSpace[Type of infrastructure])&lt;&gt;"",_xlfn.XLOOKUP(EH$14,TableOpenSpace['#],TableOpenSpace[Type of infrastructure]),"")</f>
        <v/>
      </c>
      <c r="EI15" s="248"/>
      <c r="EJ15" s="248"/>
      <c r="EL15" s="248" t="str">
        <f>IF(_xlfn.XLOOKUP(EL$14,TableOpenSpace['#],TableOpenSpace[Type of infrastructure])&lt;&gt;"",_xlfn.XLOOKUP(EL$14,TableOpenSpace['#],TableOpenSpace[Type of infrastructure]),"")</f>
        <v/>
      </c>
      <c r="EM15" s="248"/>
      <c r="EN15" s="248"/>
      <c r="EP15" s="248" t="str">
        <f>IF(_xlfn.XLOOKUP(EP$14,TableOpenSpace['#],TableOpenSpace[Type of infrastructure])&lt;&gt;"",_xlfn.XLOOKUP(EP$14,TableOpenSpace['#],TableOpenSpace[Type of infrastructure]),"")</f>
        <v/>
      </c>
      <c r="EQ15" s="248"/>
      <c r="ER15" s="248"/>
      <c r="ET15" s="248" t="str">
        <f>IF(_xlfn.XLOOKUP(ET$14,TableOpenSpace['#],TableOpenSpace[Type of infrastructure])&lt;&gt;"",_xlfn.XLOOKUP(ET$14,TableOpenSpace['#],TableOpenSpace[Type of infrastructure]),"")</f>
        <v/>
      </c>
      <c r="EU15" s="248"/>
      <c r="EV15" s="248"/>
      <c r="EX15" s="248" t="str">
        <f>IF(_xlfn.XLOOKUP(EX$14,TableOpenSpace['#],TableOpenSpace[Type of infrastructure])&lt;&gt;"",_xlfn.XLOOKUP(EX$14,TableOpenSpace['#],TableOpenSpace[Type of infrastructure]),"")</f>
        <v/>
      </c>
      <c r="EY15" s="248"/>
      <c r="EZ15" s="248"/>
      <c r="FB15" s="248" t="str">
        <f>IF(_xlfn.XLOOKUP(FB$14,TableOpenSpace['#],TableOpenSpace[Type of infrastructure])&lt;&gt;"",_xlfn.XLOOKUP(FB$14,TableOpenSpace['#],TableOpenSpace[Type of infrastructure]),"")</f>
        <v/>
      </c>
      <c r="FC15" s="248"/>
      <c r="FD15" s="248"/>
      <c r="FF15" s="248" t="str">
        <f>IF(_xlfn.XLOOKUP(FF$14,TableOpenSpace['#],TableOpenSpace[Type of infrastructure])&lt;&gt;"",_xlfn.XLOOKUP(FF$14,TableOpenSpace['#],TableOpenSpace[Type of infrastructure]),"")</f>
        <v/>
      </c>
      <c r="FG15" s="248"/>
      <c r="FH15" s="248"/>
      <c r="FJ15" s="248" t="str">
        <f>IF(_xlfn.XLOOKUP(FJ$14,TableOpenSpace['#],TableOpenSpace[Type of infrastructure])&lt;&gt;"",_xlfn.XLOOKUP(FJ$14,TableOpenSpace['#],TableOpenSpace[Type of infrastructure]),"")</f>
        <v/>
      </c>
      <c r="FK15" s="248"/>
      <c r="FL15" s="248"/>
      <c r="FN15" s="248" t="str">
        <f>IF(_xlfn.XLOOKUP(FN$14,TableOpenSpace['#],TableOpenSpace[Type of infrastructure])&lt;&gt;"",_xlfn.XLOOKUP(FN$14,TableOpenSpace['#],TableOpenSpace[Type of infrastructure]),"")</f>
        <v/>
      </c>
      <c r="FO15" s="248"/>
      <c r="FP15" s="248"/>
      <c r="FR15" s="248" t="str">
        <f>IF(_xlfn.XLOOKUP(FR$14,TableOpenSpace['#],TableOpenSpace[Type of infrastructure])&lt;&gt;"",_xlfn.XLOOKUP(FR$14,TableOpenSpace['#],TableOpenSpace[Type of infrastructure]),"")</f>
        <v/>
      </c>
      <c r="FS15" s="248"/>
      <c r="FT15" s="248"/>
      <c r="FV15" s="248" t="str">
        <f>IF(_xlfn.XLOOKUP(FV$14,TableOpenSpace['#],TableOpenSpace[Type of infrastructure])&lt;&gt;"",_xlfn.XLOOKUP(FV$14,TableOpenSpace['#],TableOpenSpace[Type of infrastructure]),"")</f>
        <v/>
      </c>
      <c r="FW15" s="248"/>
      <c r="FX15" s="248"/>
      <c r="FZ15" s="248" t="str">
        <f>IF(_xlfn.XLOOKUP(FZ$14,TableOpenSpace['#],TableOpenSpace[Type of infrastructure])&lt;&gt;"",_xlfn.XLOOKUP(FZ$14,TableOpenSpace['#],TableOpenSpace[Type of infrastructure]),"")</f>
        <v/>
      </c>
      <c r="GA15" s="248"/>
      <c r="GB15" s="248"/>
      <c r="GD15" s="248" t="str">
        <f>IF(_xlfn.XLOOKUP(GD$14,TableOpenSpace['#],TableOpenSpace[Type of infrastructure])&lt;&gt;"",_xlfn.XLOOKUP(GD$14,TableOpenSpace['#],TableOpenSpace[Type of infrastructure]),"")</f>
        <v/>
      </c>
      <c r="GE15" s="248"/>
      <c r="GF15" s="248"/>
      <c r="GH15" s="248" t="str">
        <f>IF(_xlfn.XLOOKUP(GH$14,TableOpenSpace['#],TableOpenSpace[Type of infrastructure])&lt;&gt;"",_xlfn.XLOOKUP(GH$14,TableOpenSpace['#],TableOpenSpace[Type of infrastructure]),"")</f>
        <v/>
      </c>
      <c r="GI15" s="248"/>
      <c r="GJ15" s="248"/>
      <c r="GL15" s="248" t="str">
        <f>IF(_xlfn.XLOOKUP(GL$14,TableOpenSpace['#],TableOpenSpace[Type of infrastructure])&lt;&gt;"",_xlfn.XLOOKUP(GL$14,TableOpenSpace['#],TableOpenSpace[Type of infrastructure]),"")</f>
        <v/>
      </c>
      <c r="GM15" s="248"/>
      <c r="GN15" s="248"/>
      <c r="GP15" s="248" t="str">
        <f>IF(_xlfn.XLOOKUP(GP$14,TableOpenSpace['#],TableOpenSpace[Type of infrastructure])&lt;&gt;"",_xlfn.XLOOKUP(GP$14,TableOpenSpace['#],TableOpenSpace[Type of infrastructure]),"")</f>
        <v/>
      </c>
      <c r="GQ15" s="248"/>
      <c r="GR15" s="248"/>
      <c r="GT15" s="248" t="str">
        <f>IF(_xlfn.XLOOKUP(GT$14,TableOpenSpace['#],TableOpenSpace[Type of infrastructure])&lt;&gt;"",_xlfn.XLOOKUP(GT$14,TableOpenSpace['#],TableOpenSpace[Type of infrastructure]),"")</f>
        <v/>
      </c>
      <c r="GU15" s="248"/>
      <c r="GV15" s="248"/>
    </row>
    <row r="16" spans="4:204" x14ac:dyDescent="0.2">
      <c r="D16" s="208" t="s">
        <v>754</v>
      </c>
      <c r="F16" s="249" t="str">
        <f>IF(_xlfn.XLOOKUP(F$14,TableOpenSpace['#],TableOpenSpace[Sub-item])&lt;&gt;"",_xlfn.XLOOKUP(F$14,TableOpenSpace['#],TableOpenSpace[Sub-item]),"")</f>
        <v/>
      </c>
      <c r="J16" s="249" t="str">
        <f>IF(_xlfn.XLOOKUP(J$14,TableOpenSpace['#],TableOpenSpace[Sub-item])&lt;&gt;"",_xlfn.XLOOKUP(J$14,TableOpenSpace['#],TableOpenSpace[Sub-item]),"")</f>
        <v/>
      </c>
      <c r="N16" s="249" t="str">
        <f>IF(_xlfn.XLOOKUP(N$14,TableOpenSpace['#],TableOpenSpace[Sub-item])&lt;&gt;"",_xlfn.XLOOKUP(N$14,TableOpenSpace['#],TableOpenSpace[Sub-item]),"")</f>
        <v/>
      </c>
      <c r="R16" s="249" t="str">
        <f>IF(_xlfn.XLOOKUP(R$14,TableOpenSpace['#],TableOpenSpace[Sub-item])&lt;&gt;"",_xlfn.XLOOKUP(R$14,TableOpenSpace['#],TableOpenSpace[Sub-item]),"")</f>
        <v/>
      </c>
      <c r="V16" s="249" t="str">
        <f>IF(_xlfn.XLOOKUP(V$14,TableOpenSpace['#],TableOpenSpace[Sub-item])&lt;&gt;"",_xlfn.XLOOKUP(V$14,TableOpenSpace['#],TableOpenSpace[Sub-item]),"")</f>
        <v/>
      </c>
      <c r="Z16" s="249" t="str">
        <f>IF(_xlfn.XLOOKUP(Z$14,TableOpenSpace['#],TableOpenSpace[Sub-item])&lt;&gt;"",_xlfn.XLOOKUP(Z$14,TableOpenSpace['#],TableOpenSpace[Sub-item]),"")</f>
        <v/>
      </c>
      <c r="AD16" s="249" t="str">
        <f>IF(_xlfn.XLOOKUP(AD$14,TableOpenSpace['#],TableOpenSpace[Sub-item])&lt;&gt;"",_xlfn.XLOOKUP(AD$14,TableOpenSpace['#],TableOpenSpace[Sub-item]),"")</f>
        <v/>
      </c>
      <c r="AH16" s="249" t="str">
        <f>IF(_xlfn.XLOOKUP(AH$14,TableOpenSpace['#],TableOpenSpace[Sub-item])&lt;&gt;"",_xlfn.XLOOKUP(AH$14,TableOpenSpace['#],TableOpenSpace[Sub-item]),"")</f>
        <v/>
      </c>
      <c r="AL16" s="249" t="str">
        <f>IF(_xlfn.XLOOKUP(AL$14,TableOpenSpace['#],TableOpenSpace[Sub-item])&lt;&gt;"",_xlfn.XLOOKUP(AL$14,TableOpenSpace['#],TableOpenSpace[Sub-item]),"")</f>
        <v/>
      </c>
      <c r="AP16" s="249" t="str">
        <f>IF(_xlfn.XLOOKUP(AP$14,TableOpenSpace['#],TableOpenSpace[Sub-item])&lt;&gt;"",_xlfn.XLOOKUP(AP$14,TableOpenSpace['#],TableOpenSpace[Sub-item]),"")</f>
        <v/>
      </c>
      <c r="AT16" s="249" t="str">
        <f>IF(_xlfn.XLOOKUP(AT$14,TableOpenSpace['#],TableOpenSpace[Sub-item])&lt;&gt;"",_xlfn.XLOOKUP(AT$14,TableOpenSpace['#],TableOpenSpace[Sub-item]),"")</f>
        <v/>
      </c>
      <c r="AX16" s="249" t="str">
        <f>IF(_xlfn.XLOOKUP(AX$14,TableOpenSpace['#],TableOpenSpace[Sub-item])&lt;&gt;"",_xlfn.XLOOKUP(AX$14,TableOpenSpace['#],TableOpenSpace[Sub-item]),"")</f>
        <v/>
      </c>
      <c r="BB16" s="249" t="str">
        <f>IF(_xlfn.XLOOKUP(BB$14,TableOpenSpace['#],TableOpenSpace[Sub-item])&lt;&gt;"",_xlfn.XLOOKUP(BB$14,TableOpenSpace['#],TableOpenSpace[Sub-item]),"")</f>
        <v/>
      </c>
      <c r="BF16" s="249" t="str">
        <f>IF(_xlfn.XLOOKUP(BF$14,TableOpenSpace['#],TableOpenSpace[Sub-item])&lt;&gt;"",_xlfn.XLOOKUP(BF$14,TableOpenSpace['#],TableOpenSpace[Sub-item]),"")</f>
        <v/>
      </c>
      <c r="BJ16" s="249" t="str">
        <f>IF(_xlfn.XLOOKUP(BJ$14,TableOpenSpace['#],TableOpenSpace[Sub-item])&lt;&gt;"",_xlfn.XLOOKUP(BJ$14,TableOpenSpace['#],TableOpenSpace[Sub-item]),"")</f>
        <v/>
      </c>
      <c r="BN16" s="249" t="str">
        <f>IF(_xlfn.XLOOKUP(BN$14,TableOpenSpace['#],TableOpenSpace[Sub-item])&lt;&gt;"",_xlfn.XLOOKUP(BN$14,TableOpenSpace['#],TableOpenSpace[Sub-item]),"")</f>
        <v/>
      </c>
      <c r="BR16" s="249" t="str">
        <f>IF(_xlfn.XLOOKUP(BR$14,TableOpenSpace['#],TableOpenSpace[Sub-item])&lt;&gt;"",_xlfn.XLOOKUP(BR$14,TableOpenSpace['#],TableOpenSpace[Sub-item]),"")</f>
        <v/>
      </c>
      <c r="BV16" s="249" t="str">
        <f>IF(_xlfn.XLOOKUP(BV$14,TableOpenSpace['#],TableOpenSpace[Sub-item])&lt;&gt;"",_xlfn.XLOOKUP(BV$14,TableOpenSpace['#],TableOpenSpace[Sub-item]),"")</f>
        <v/>
      </c>
      <c r="BZ16" s="249" t="str">
        <f>IF(_xlfn.XLOOKUP(BZ$14,TableOpenSpace['#],TableOpenSpace[Sub-item])&lt;&gt;"",_xlfn.XLOOKUP(BZ$14,TableOpenSpace['#],TableOpenSpace[Sub-item]),"")</f>
        <v/>
      </c>
      <c r="CD16" s="249" t="str">
        <f>IF(_xlfn.XLOOKUP(CD$14,TableOpenSpace['#],TableOpenSpace[Sub-item])&lt;&gt;"",_xlfn.XLOOKUP(CD$14,TableOpenSpace['#],TableOpenSpace[Sub-item]),"")</f>
        <v/>
      </c>
      <c r="CH16" s="249" t="str">
        <f>IF(_xlfn.XLOOKUP(CH$14,TableOpenSpace['#],TableOpenSpace[Sub-item])&lt;&gt;"",_xlfn.XLOOKUP(CH$14,TableOpenSpace['#],TableOpenSpace[Sub-item]),"")</f>
        <v/>
      </c>
      <c r="CL16" s="249" t="str">
        <f>IF(_xlfn.XLOOKUP(CL$14,TableOpenSpace['#],TableOpenSpace[Sub-item])&lt;&gt;"",_xlfn.XLOOKUP(CL$14,TableOpenSpace['#],TableOpenSpace[Sub-item]),"")</f>
        <v/>
      </c>
      <c r="CP16" s="249" t="str">
        <f>IF(_xlfn.XLOOKUP(CP$14,TableOpenSpace['#],TableOpenSpace[Sub-item])&lt;&gt;"",_xlfn.XLOOKUP(CP$14,TableOpenSpace['#],TableOpenSpace[Sub-item]),"")</f>
        <v/>
      </c>
      <c r="CT16" s="249" t="str">
        <f>IF(_xlfn.XLOOKUP(CT$14,TableOpenSpace['#],TableOpenSpace[Sub-item])&lt;&gt;"",_xlfn.XLOOKUP(CT$14,TableOpenSpace['#],TableOpenSpace[Sub-item]),"")</f>
        <v/>
      </c>
      <c r="CX16" s="249" t="str">
        <f>IF(_xlfn.XLOOKUP(CX$14,TableOpenSpace['#],TableOpenSpace[Sub-item])&lt;&gt;"",_xlfn.XLOOKUP(CX$14,TableOpenSpace['#],TableOpenSpace[Sub-item]),"")</f>
        <v/>
      </c>
      <c r="DB16" s="249" t="str">
        <f>IF(_xlfn.XLOOKUP(DB$14,TableOpenSpace['#],TableOpenSpace[Sub-item])&lt;&gt;"",_xlfn.XLOOKUP(DB$14,TableOpenSpace['#],TableOpenSpace[Sub-item]),"")</f>
        <v/>
      </c>
      <c r="DF16" s="249" t="str">
        <f>IF(_xlfn.XLOOKUP(DF$14,TableOpenSpace['#],TableOpenSpace[Sub-item])&lt;&gt;"",_xlfn.XLOOKUP(DF$14,TableOpenSpace['#],TableOpenSpace[Sub-item]),"")</f>
        <v/>
      </c>
      <c r="DJ16" s="249" t="str">
        <f>IF(_xlfn.XLOOKUP(DJ$14,TableOpenSpace['#],TableOpenSpace[Sub-item])&lt;&gt;"",_xlfn.XLOOKUP(DJ$14,TableOpenSpace['#],TableOpenSpace[Sub-item]),"")</f>
        <v/>
      </c>
      <c r="DN16" s="249" t="str">
        <f>IF(_xlfn.XLOOKUP(DN$14,TableOpenSpace['#],TableOpenSpace[Sub-item])&lt;&gt;"",_xlfn.XLOOKUP(DN$14,TableOpenSpace['#],TableOpenSpace[Sub-item]),"")</f>
        <v/>
      </c>
      <c r="DR16" s="249" t="str">
        <f>IF(_xlfn.XLOOKUP(DR$14,TableOpenSpace['#],TableOpenSpace[Sub-item])&lt;&gt;"",_xlfn.XLOOKUP(DR$14,TableOpenSpace['#],TableOpenSpace[Sub-item]),"")</f>
        <v/>
      </c>
      <c r="DV16" s="249" t="str">
        <f>IF(_xlfn.XLOOKUP(DV$14,TableOpenSpace['#],TableOpenSpace[Sub-item])&lt;&gt;"",_xlfn.XLOOKUP(DV$14,TableOpenSpace['#],TableOpenSpace[Sub-item]),"")</f>
        <v/>
      </c>
      <c r="DZ16" s="249" t="str">
        <f>IF(_xlfn.XLOOKUP(DZ$14,TableOpenSpace['#],TableOpenSpace[Sub-item])&lt;&gt;"",_xlfn.XLOOKUP(DZ$14,TableOpenSpace['#],TableOpenSpace[Sub-item]),"")</f>
        <v/>
      </c>
      <c r="ED16" s="249" t="str">
        <f>IF(_xlfn.XLOOKUP(ED$14,TableOpenSpace['#],TableOpenSpace[Sub-item])&lt;&gt;"",_xlfn.XLOOKUP(ED$14,TableOpenSpace['#],TableOpenSpace[Sub-item]),"")</f>
        <v/>
      </c>
      <c r="EH16" s="249" t="str">
        <f>IF(_xlfn.XLOOKUP(EH$14,TableOpenSpace['#],TableOpenSpace[Sub-item])&lt;&gt;"",_xlfn.XLOOKUP(EH$14,TableOpenSpace['#],TableOpenSpace[Sub-item]),"")</f>
        <v/>
      </c>
      <c r="EL16" s="249" t="str">
        <f>IF(_xlfn.XLOOKUP(EL$14,TableOpenSpace['#],TableOpenSpace[Sub-item])&lt;&gt;"",_xlfn.XLOOKUP(EL$14,TableOpenSpace['#],TableOpenSpace[Sub-item]),"")</f>
        <v/>
      </c>
      <c r="EP16" s="249" t="str">
        <f>IF(_xlfn.XLOOKUP(EP$14,TableOpenSpace['#],TableOpenSpace[Sub-item])&lt;&gt;"",_xlfn.XLOOKUP(EP$14,TableOpenSpace['#],TableOpenSpace[Sub-item]),"")</f>
        <v/>
      </c>
      <c r="ET16" s="249" t="str">
        <f>IF(_xlfn.XLOOKUP(ET$14,TableOpenSpace['#],TableOpenSpace[Sub-item])&lt;&gt;"",_xlfn.XLOOKUP(ET$14,TableOpenSpace['#],TableOpenSpace[Sub-item]),"")</f>
        <v/>
      </c>
      <c r="EX16" s="249" t="str">
        <f>IF(_xlfn.XLOOKUP(EX$14,TableOpenSpace['#],TableOpenSpace[Sub-item])&lt;&gt;"",_xlfn.XLOOKUP(EX$14,TableOpenSpace['#],TableOpenSpace[Sub-item]),"")</f>
        <v/>
      </c>
      <c r="FB16" s="249" t="str">
        <f>IF(_xlfn.XLOOKUP(FB$14,TableOpenSpace['#],TableOpenSpace[Sub-item])&lt;&gt;"",_xlfn.XLOOKUP(FB$14,TableOpenSpace['#],TableOpenSpace[Sub-item]),"")</f>
        <v/>
      </c>
      <c r="FF16" s="249" t="str">
        <f>IF(_xlfn.XLOOKUP(FF$14,TableOpenSpace['#],TableOpenSpace[Sub-item])&lt;&gt;"",_xlfn.XLOOKUP(FF$14,TableOpenSpace['#],TableOpenSpace[Sub-item]),"")</f>
        <v/>
      </c>
      <c r="FJ16" s="249" t="str">
        <f>IF(_xlfn.XLOOKUP(FJ$14,TableOpenSpace['#],TableOpenSpace[Sub-item])&lt;&gt;"",_xlfn.XLOOKUP(FJ$14,TableOpenSpace['#],TableOpenSpace[Sub-item]),"")</f>
        <v/>
      </c>
      <c r="FN16" s="249" t="str">
        <f>IF(_xlfn.XLOOKUP(FN$14,TableOpenSpace['#],TableOpenSpace[Sub-item])&lt;&gt;"",_xlfn.XLOOKUP(FN$14,TableOpenSpace['#],TableOpenSpace[Sub-item]),"")</f>
        <v/>
      </c>
      <c r="FR16" s="249" t="str">
        <f>IF(_xlfn.XLOOKUP(FR$14,TableOpenSpace['#],TableOpenSpace[Sub-item])&lt;&gt;"",_xlfn.XLOOKUP(FR$14,TableOpenSpace['#],TableOpenSpace[Sub-item]),"")</f>
        <v/>
      </c>
      <c r="FV16" s="249" t="str">
        <f>IF(_xlfn.XLOOKUP(FV$14,TableOpenSpace['#],TableOpenSpace[Sub-item])&lt;&gt;"",_xlfn.XLOOKUP(FV$14,TableOpenSpace['#],TableOpenSpace[Sub-item]),"")</f>
        <v/>
      </c>
      <c r="FZ16" s="249" t="str">
        <f>IF(_xlfn.XLOOKUP(FZ$14,TableOpenSpace['#],TableOpenSpace[Sub-item])&lt;&gt;"",_xlfn.XLOOKUP(FZ$14,TableOpenSpace['#],TableOpenSpace[Sub-item]),"")</f>
        <v/>
      </c>
      <c r="GD16" s="249" t="str">
        <f>IF(_xlfn.XLOOKUP(GD$14,TableOpenSpace['#],TableOpenSpace[Sub-item])&lt;&gt;"",_xlfn.XLOOKUP(GD$14,TableOpenSpace['#],TableOpenSpace[Sub-item]),"")</f>
        <v/>
      </c>
      <c r="GH16" s="249" t="str">
        <f>IF(_xlfn.XLOOKUP(GH$14,TableOpenSpace['#],TableOpenSpace[Sub-item])&lt;&gt;"",_xlfn.XLOOKUP(GH$14,TableOpenSpace['#],TableOpenSpace[Sub-item]),"")</f>
        <v/>
      </c>
      <c r="GL16" s="249" t="str">
        <f>IF(_xlfn.XLOOKUP(GL$14,TableOpenSpace['#],TableOpenSpace[Sub-item])&lt;&gt;"",_xlfn.XLOOKUP(GL$14,TableOpenSpace['#],TableOpenSpace[Sub-item]),"")</f>
        <v/>
      </c>
      <c r="GP16" s="249" t="str">
        <f>IF(_xlfn.XLOOKUP(GP$14,TableOpenSpace['#],TableOpenSpace[Sub-item])&lt;&gt;"",_xlfn.XLOOKUP(GP$14,TableOpenSpace['#],TableOpenSpace[Sub-item]),"")</f>
        <v/>
      </c>
      <c r="GT16" s="249" t="str">
        <f>IF(_xlfn.XLOOKUP(GT$14,TableOpenSpace['#],TableOpenSpace[Sub-item])&lt;&gt;"",_xlfn.XLOOKUP(GT$14,TableOpenSpace['#],TableOpenSpace[Sub-item]),"")</f>
        <v/>
      </c>
    </row>
    <row r="17" spans="4:204" s="234" customFormat="1" ht="12" hidden="1" customHeight="1" x14ac:dyDescent="0.2">
      <c r="D17" s="234" t="s">
        <v>716</v>
      </c>
      <c r="F17" s="235">
        <f>IFERROR(_xlfn.XLOOKUP(F15,Lists!$C$69:$C$99,Lists!$D$69:$D$99),0)</f>
        <v>0</v>
      </c>
      <c r="H17" s="234">
        <v>1</v>
      </c>
      <c r="J17" s="235">
        <f>IFERROR(_xlfn.XLOOKUP(J15,Lists!$C$69:$C$99,Lists!$D$69:$D$99),0)</f>
        <v>0</v>
      </c>
      <c r="L17" s="234">
        <v>1</v>
      </c>
      <c r="N17" s="235">
        <f>IFERROR(_xlfn.XLOOKUP(N15,Lists!$C$69:$C$99,Lists!$D$69:$D$99),0)</f>
        <v>0</v>
      </c>
      <c r="P17" s="234">
        <v>1</v>
      </c>
      <c r="R17" s="235">
        <f>IFERROR(_xlfn.XLOOKUP(R15,Lists!$C$69:$C$99,Lists!$D$69:$D$99),0)</f>
        <v>0</v>
      </c>
      <c r="T17" s="234">
        <v>1</v>
      </c>
      <c r="V17" s="235">
        <f>IFERROR(_xlfn.XLOOKUP(V15,Lists!$C$69:$C$99,Lists!$D$69:$D$99),0)</f>
        <v>0</v>
      </c>
      <c r="X17" s="234">
        <v>1</v>
      </c>
      <c r="Z17" s="235">
        <f>IFERROR(_xlfn.XLOOKUP(Z15,Lists!$C$69:$C$99,Lists!$D$69:$D$99),0)</f>
        <v>0</v>
      </c>
      <c r="AB17" s="234">
        <v>1</v>
      </c>
      <c r="AD17" s="235">
        <f>IFERROR(_xlfn.XLOOKUP(AD15,Lists!$C$69:$C$99,Lists!$D$69:$D$99),0)</f>
        <v>0</v>
      </c>
      <c r="AF17" s="234">
        <v>1</v>
      </c>
      <c r="AH17" s="235">
        <f>IFERROR(_xlfn.XLOOKUP(AH15,Lists!$C$69:$C$99,Lists!$D$69:$D$99),0)</f>
        <v>0</v>
      </c>
      <c r="AJ17" s="234">
        <v>1</v>
      </c>
      <c r="AL17" s="235">
        <f>IFERROR(_xlfn.XLOOKUP(AL15,Lists!$C$69:$C$99,Lists!$D$69:$D$99),0)</f>
        <v>0</v>
      </c>
      <c r="AN17" s="234">
        <v>1</v>
      </c>
      <c r="AP17" s="235">
        <f>IFERROR(_xlfn.XLOOKUP(AP15,Lists!$C$69:$C$99,Lists!$D$69:$D$99),0)</f>
        <v>0</v>
      </c>
      <c r="AR17" s="234">
        <v>1</v>
      </c>
      <c r="AT17" s="235">
        <f>IFERROR(_xlfn.XLOOKUP(AT15,Lists!$C$69:$C$99,Lists!$D$69:$D$99),0)</f>
        <v>0</v>
      </c>
      <c r="AV17" s="234">
        <v>1</v>
      </c>
      <c r="AX17" s="235">
        <f>IFERROR(_xlfn.XLOOKUP(AX15,Lists!$C$69:$C$99,Lists!$D$69:$D$99),0)</f>
        <v>0</v>
      </c>
      <c r="AZ17" s="234">
        <v>1</v>
      </c>
      <c r="BB17" s="235">
        <f>IFERROR(_xlfn.XLOOKUP(BB15,Lists!$C$69:$C$99,Lists!$D$69:$D$99),0)</f>
        <v>0</v>
      </c>
      <c r="BD17" s="234">
        <v>1</v>
      </c>
      <c r="BF17" s="235">
        <f>IFERROR(_xlfn.XLOOKUP(BF15,Lists!$C$69:$C$99,Lists!$D$69:$D$99),0)</f>
        <v>0</v>
      </c>
      <c r="BH17" s="234">
        <v>1</v>
      </c>
      <c r="BJ17" s="235">
        <f>IFERROR(_xlfn.XLOOKUP(BJ15,Lists!$C$69:$C$99,Lists!$D$69:$D$99),0)</f>
        <v>0</v>
      </c>
      <c r="BL17" s="234">
        <v>1</v>
      </c>
      <c r="BN17" s="235">
        <f>IFERROR(_xlfn.XLOOKUP(BN15,Lists!$C$69:$C$99,Lists!$D$69:$D$99),0)</f>
        <v>0</v>
      </c>
      <c r="BP17" s="234">
        <v>1</v>
      </c>
      <c r="BR17" s="235">
        <f>IFERROR(_xlfn.XLOOKUP(BR15,Lists!$C$69:$C$99,Lists!$D$69:$D$99),0)</f>
        <v>0</v>
      </c>
      <c r="BT17" s="234">
        <v>1</v>
      </c>
      <c r="BV17" s="235">
        <f>IFERROR(_xlfn.XLOOKUP(BV15,Lists!$C$69:$C$99,Lists!$D$69:$D$99),0)</f>
        <v>0</v>
      </c>
      <c r="BX17" s="234">
        <v>1</v>
      </c>
      <c r="BZ17" s="235">
        <f>IFERROR(_xlfn.XLOOKUP(BZ15,Lists!$C$69:$C$99,Lists!$D$69:$D$99),0)</f>
        <v>0</v>
      </c>
      <c r="CB17" s="234">
        <v>1</v>
      </c>
      <c r="CD17" s="235">
        <f>IFERROR(_xlfn.XLOOKUP(CD15,Lists!$C$69:$C$99,Lists!$D$69:$D$99),0)</f>
        <v>0</v>
      </c>
      <c r="CF17" s="234">
        <v>1</v>
      </c>
      <c r="CH17" s="235">
        <f>IFERROR(_xlfn.XLOOKUP(CH15,Lists!$C$69:$C$99,Lists!$D$69:$D$99),0)</f>
        <v>0</v>
      </c>
      <c r="CJ17" s="234">
        <v>1</v>
      </c>
      <c r="CL17" s="235">
        <f>IFERROR(_xlfn.XLOOKUP(CL15,Lists!$C$69:$C$99,Lists!$D$69:$D$99),0)</f>
        <v>0</v>
      </c>
      <c r="CN17" s="234">
        <v>1</v>
      </c>
      <c r="CP17" s="235">
        <f>IFERROR(_xlfn.XLOOKUP(CP15,Lists!$C$69:$C$99,Lists!$D$69:$D$99),0)</f>
        <v>0</v>
      </c>
      <c r="CR17" s="234">
        <v>1</v>
      </c>
      <c r="CT17" s="235">
        <f>IFERROR(_xlfn.XLOOKUP(CT15,Lists!$C$69:$C$99,Lists!$D$69:$D$99),0)</f>
        <v>0</v>
      </c>
      <c r="CV17" s="234">
        <v>1</v>
      </c>
      <c r="CX17" s="235">
        <f>IFERROR(_xlfn.XLOOKUP(CX15,Lists!$C$69:$C$99,Lists!$D$69:$D$99),0)</f>
        <v>0</v>
      </c>
      <c r="CZ17" s="234">
        <v>1</v>
      </c>
      <c r="DB17" s="235">
        <f>IFERROR(_xlfn.XLOOKUP(DB15,Lists!$C$69:$C$99,Lists!$D$69:$D$99),0)</f>
        <v>0</v>
      </c>
      <c r="DD17" s="234">
        <v>1</v>
      </c>
      <c r="DF17" s="235">
        <f>IFERROR(_xlfn.XLOOKUP(DF15,Lists!$C$69:$C$99,Lists!$D$69:$D$99),0)</f>
        <v>0</v>
      </c>
      <c r="DH17" s="234">
        <v>1</v>
      </c>
      <c r="DJ17" s="235">
        <f>IFERROR(_xlfn.XLOOKUP(DJ15,Lists!$C$69:$C$99,Lists!$D$69:$D$99),0)</f>
        <v>0</v>
      </c>
      <c r="DL17" s="234">
        <v>1</v>
      </c>
      <c r="DN17" s="235">
        <f>IFERROR(_xlfn.XLOOKUP(DN15,Lists!$C$69:$C$99,Lists!$D$69:$D$99),0)</f>
        <v>0</v>
      </c>
      <c r="DP17" s="234">
        <v>1</v>
      </c>
      <c r="DR17" s="235">
        <f>IFERROR(_xlfn.XLOOKUP(DR15,Lists!$C$69:$C$99,Lists!$D$69:$D$99),0)</f>
        <v>0</v>
      </c>
      <c r="DT17" s="234">
        <v>1</v>
      </c>
      <c r="DV17" s="235">
        <f>IFERROR(_xlfn.XLOOKUP(DV15,Lists!$C$69:$C$99,Lists!$D$69:$D$99),0)</f>
        <v>0</v>
      </c>
      <c r="DX17" s="234">
        <v>1</v>
      </c>
      <c r="DZ17" s="235">
        <f>IFERROR(_xlfn.XLOOKUP(DZ15,Lists!$C$69:$C$99,Lists!$D$69:$D$99),0)</f>
        <v>0</v>
      </c>
      <c r="EB17" s="234">
        <v>1</v>
      </c>
      <c r="ED17" s="235">
        <f>IFERROR(_xlfn.XLOOKUP(ED15,Lists!$C$69:$C$99,Lists!$D$69:$D$99),0)</f>
        <v>0</v>
      </c>
      <c r="EF17" s="234">
        <v>1</v>
      </c>
      <c r="EH17" s="235">
        <f>IFERROR(_xlfn.XLOOKUP(EH15,Lists!$C$69:$C$99,Lists!$D$69:$D$99),0)</f>
        <v>0</v>
      </c>
      <c r="EJ17" s="234">
        <v>1</v>
      </c>
      <c r="EL17" s="235">
        <f>IFERROR(_xlfn.XLOOKUP(EL15,Lists!$C$69:$C$99,Lists!$D$69:$D$99),0)</f>
        <v>0</v>
      </c>
      <c r="EN17" s="234">
        <v>1</v>
      </c>
      <c r="EP17" s="235">
        <f>IFERROR(_xlfn.XLOOKUP(EP15,Lists!$C$69:$C$99,Lists!$D$69:$D$99),0)</f>
        <v>0</v>
      </c>
      <c r="ER17" s="234">
        <v>1</v>
      </c>
      <c r="ET17" s="235">
        <f>IFERROR(_xlfn.XLOOKUP(ET15,Lists!$C$69:$C$99,Lists!$D$69:$D$99),0)</f>
        <v>0</v>
      </c>
      <c r="EV17" s="234">
        <v>1</v>
      </c>
      <c r="EX17" s="235">
        <f>IFERROR(_xlfn.XLOOKUP(EX15,Lists!$C$69:$C$99,Lists!$D$69:$D$99),0)</f>
        <v>0</v>
      </c>
      <c r="EZ17" s="234">
        <v>1</v>
      </c>
      <c r="FB17" s="235">
        <f>IFERROR(_xlfn.XLOOKUP(FB15,Lists!$C$69:$C$99,Lists!$D$69:$D$99),0)</f>
        <v>0</v>
      </c>
      <c r="FD17" s="234">
        <v>1</v>
      </c>
      <c r="FF17" s="235">
        <f>IFERROR(_xlfn.XLOOKUP(FF15,Lists!$C$69:$C$99,Lists!$D$69:$D$99),0)</f>
        <v>0</v>
      </c>
      <c r="FH17" s="234">
        <v>1</v>
      </c>
      <c r="FJ17" s="235">
        <f>IFERROR(_xlfn.XLOOKUP(FJ15,Lists!$C$69:$C$99,Lists!$D$69:$D$99),0)</f>
        <v>0</v>
      </c>
      <c r="FL17" s="234">
        <v>1</v>
      </c>
      <c r="FN17" s="235">
        <f>IFERROR(_xlfn.XLOOKUP(FN15,Lists!$C$69:$C$99,Lists!$D$69:$D$99),0)</f>
        <v>0</v>
      </c>
      <c r="FP17" s="234">
        <v>1</v>
      </c>
      <c r="FR17" s="235">
        <f>IFERROR(_xlfn.XLOOKUP(FR15,Lists!$C$69:$C$99,Lists!$D$69:$D$99),0)</f>
        <v>0</v>
      </c>
      <c r="FT17" s="234">
        <v>1</v>
      </c>
      <c r="FV17" s="235">
        <f>IFERROR(_xlfn.XLOOKUP(FV15,Lists!$C$69:$C$99,Lists!$D$69:$D$99),0)</f>
        <v>0</v>
      </c>
      <c r="FX17" s="234">
        <v>1</v>
      </c>
      <c r="FZ17" s="235">
        <f>IFERROR(_xlfn.XLOOKUP(FZ15,Lists!$C$69:$C$99,Lists!$D$69:$D$99),0)</f>
        <v>0</v>
      </c>
      <c r="GB17" s="234">
        <v>1</v>
      </c>
      <c r="GD17" s="235">
        <f>IFERROR(_xlfn.XLOOKUP(GD15,Lists!$C$69:$C$99,Lists!$D$69:$D$99),0)</f>
        <v>0</v>
      </c>
      <c r="GF17" s="234">
        <v>1</v>
      </c>
      <c r="GH17" s="235">
        <f>IFERROR(_xlfn.XLOOKUP(GH15,Lists!$C$69:$C$99,Lists!$D$69:$D$99),0)</f>
        <v>0</v>
      </c>
      <c r="GJ17" s="234">
        <v>1</v>
      </c>
      <c r="GL17" s="235">
        <f>IFERROR(_xlfn.XLOOKUP(GL15,Lists!$C$69:$C$99,Lists!$D$69:$D$99),0)</f>
        <v>0</v>
      </c>
      <c r="GN17" s="234">
        <v>1</v>
      </c>
      <c r="GP17" s="235">
        <f>IFERROR(_xlfn.XLOOKUP(GP15,Lists!$C$69:$C$99,Lists!$D$69:$D$99),0)</f>
        <v>0</v>
      </c>
      <c r="GR17" s="234">
        <v>1</v>
      </c>
      <c r="GT17" s="235">
        <f>IFERROR(_xlfn.XLOOKUP(GT15,Lists!$C$69:$C$99,Lists!$D$69:$D$99),0)</f>
        <v>0</v>
      </c>
      <c r="GV17" s="234">
        <v>1</v>
      </c>
    </row>
    <row r="18" spans="4:204" s="234" customFormat="1" ht="12" customHeight="1" x14ac:dyDescent="0.2">
      <c r="D18" t="s">
        <v>833</v>
      </c>
      <c r="F18" s="232" t="str">
        <f>IF(_xlfn.XLOOKUP(F$14,TableOpenSpace['#],TableOpenSpace[Item reference])="","",_xlfn.XLOOKUP(F$14,TableOpenSpace['#],TableOpenSpace[Item reference]))</f>
        <v/>
      </c>
      <c r="J18" s="232" t="str">
        <f>IF(_xlfn.XLOOKUP(J$14,TableOpenSpace['#],TableOpenSpace[Item reference])="","",_xlfn.XLOOKUP(J$14,TableOpenSpace['#],TableOpenSpace[Item reference]))</f>
        <v/>
      </c>
      <c r="N18" s="232" t="str">
        <f>IF(_xlfn.XLOOKUP(N$14,TableOpenSpace['#],TableOpenSpace[Item reference])="","",_xlfn.XLOOKUP(N$14,TableOpenSpace['#],TableOpenSpace[Item reference]))</f>
        <v/>
      </c>
      <c r="R18" s="232" t="str">
        <f>IF(_xlfn.XLOOKUP(R$14,TableOpenSpace['#],TableOpenSpace[Item reference])="","",_xlfn.XLOOKUP(R$14,TableOpenSpace['#],TableOpenSpace[Item reference]))</f>
        <v/>
      </c>
      <c r="V18" s="232" t="str">
        <f>IF(_xlfn.XLOOKUP(V$14,TableOpenSpace['#],TableOpenSpace[Item reference])="","",_xlfn.XLOOKUP(V$14,TableOpenSpace['#],TableOpenSpace[Item reference]))</f>
        <v/>
      </c>
      <c r="Z18" s="232" t="str">
        <f>IF(_xlfn.XLOOKUP(Z$14,TableOpenSpace['#],TableOpenSpace[Item reference])="","",_xlfn.XLOOKUP(Z$14,TableOpenSpace['#],TableOpenSpace[Item reference]))</f>
        <v/>
      </c>
      <c r="AD18" s="232" t="str">
        <f>IF(_xlfn.XLOOKUP(AD$14,TableOpenSpace['#],TableOpenSpace[Item reference])="","",_xlfn.XLOOKUP(AD$14,TableOpenSpace['#],TableOpenSpace[Item reference]))</f>
        <v/>
      </c>
      <c r="AH18" s="232" t="str">
        <f>IF(_xlfn.XLOOKUP(AH$14,TableOpenSpace['#],TableOpenSpace[Item reference])="","",_xlfn.XLOOKUP(AH$14,TableOpenSpace['#],TableOpenSpace[Item reference]))</f>
        <v/>
      </c>
      <c r="AL18" s="232" t="str">
        <f>IF(_xlfn.XLOOKUP(AL$14,TableOpenSpace['#],TableOpenSpace[Item reference])="","",_xlfn.XLOOKUP(AL$14,TableOpenSpace['#],TableOpenSpace[Item reference]))</f>
        <v/>
      </c>
      <c r="AP18" s="232" t="str">
        <f>IF(_xlfn.XLOOKUP(AP$14,TableOpenSpace['#],TableOpenSpace[Item reference])="","",_xlfn.XLOOKUP(AP$14,TableOpenSpace['#],TableOpenSpace[Item reference]))</f>
        <v/>
      </c>
      <c r="AT18" s="232" t="str">
        <f>IF(_xlfn.XLOOKUP(AT$14,TableOpenSpace['#],TableOpenSpace[Item reference])="","",_xlfn.XLOOKUP(AT$14,TableOpenSpace['#],TableOpenSpace[Item reference]))</f>
        <v/>
      </c>
      <c r="AX18" s="232" t="str">
        <f>IF(_xlfn.XLOOKUP(AX$14,TableOpenSpace['#],TableOpenSpace[Item reference])="","",_xlfn.XLOOKUP(AX$14,TableOpenSpace['#],TableOpenSpace[Item reference]))</f>
        <v/>
      </c>
      <c r="BB18" s="232" t="str">
        <f>IF(_xlfn.XLOOKUP(BB$14,TableOpenSpace['#],TableOpenSpace[Item reference])="","",_xlfn.XLOOKUP(BB$14,TableOpenSpace['#],TableOpenSpace[Item reference]))</f>
        <v/>
      </c>
      <c r="BF18" s="232" t="str">
        <f>IF(_xlfn.XLOOKUP(BF$14,TableOpenSpace['#],TableOpenSpace[Item reference])="","",_xlfn.XLOOKUP(BF$14,TableOpenSpace['#],TableOpenSpace[Item reference]))</f>
        <v/>
      </c>
      <c r="BJ18" s="232" t="str">
        <f>IF(_xlfn.XLOOKUP(BJ$14,TableOpenSpace['#],TableOpenSpace[Item reference])="","",_xlfn.XLOOKUP(BJ$14,TableOpenSpace['#],TableOpenSpace[Item reference]))</f>
        <v/>
      </c>
      <c r="BN18" s="232" t="str">
        <f>IF(_xlfn.XLOOKUP(BN$14,TableOpenSpace['#],TableOpenSpace[Item reference])="","",_xlfn.XLOOKUP(BN$14,TableOpenSpace['#],TableOpenSpace[Item reference]))</f>
        <v/>
      </c>
      <c r="BR18" s="232" t="str">
        <f>IF(_xlfn.XLOOKUP(BR$14,TableOpenSpace['#],TableOpenSpace[Item reference])="","",_xlfn.XLOOKUP(BR$14,TableOpenSpace['#],TableOpenSpace[Item reference]))</f>
        <v/>
      </c>
      <c r="BV18" s="232" t="str">
        <f>IF(_xlfn.XLOOKUP(BV$14,TableOpenSpace['#],TableOpenSpace[Item reference])="","",_xlfn.XLOOKUP(BV$14,TableOpenSpace['#],TableOpenSpace[Item reference]))</f>
        <v/>
      </c>
      <c r="BZ18" s="232" t="str">
        <f>IF(_xlfn.XLOOKUP(BZ$14,TableOpenSpace['#],TableOpenSpace[Item reference])="","",_xlfn.XLOOKUP(BZ$14,TableOpenSpace['#],TableOpenSpace[Item reference]))</f>
        <v/>
      </c>
      <c r="CD18" s="232" t="str">
        <f>IF(_xlfn.XLOOKUP(CD$14,TableOpenSpace['#],TableOpenSpace[Item reference])="","",_xlfn.XLOOKUP(CD$14,TableOpenSpace['#],TableOpenSpace[Item reference]))</f>
        <v/>
      </c>
      <c r="CH18" s="232" t="str">
        <f>IF(_xlfn.XLOOKUP(CH$14,TableOpenSpace['#],TableOpenSpace[Item reference])="","",_xlfn.XLOOKUP(CH$14,TableOpenSpace['#],TableOpenSpace[Item reference]))</f>
        <v/>
      </c>
      <c r="CL18" s="232" t="str">
        <f>IF(_xlfn.XLOOKUP(CL$14,TableOpenSpace['#],TableOpenSpace[Item reference])="","",_xlfn.XLOOKUP(CL$14,TableOpenSpace['#],TableOpenSpace[Item reference]))</f>
        <v/>
      </c>
      <c r="CP18" s="232" t="str">
        <f>IF(_xlfn.XLOOKUP(CP$14,TableOpenSpace['#],TableOpenSpace[Item reference])="","",_xlfn.XLOOKUP(CP$14,TableOpenSpace['#],TableOpenSpace[Item reference]))</f>
        <v/>
      </c>
      <c r="CT18" s="232" t="str">
        <f>IF(_xlfn.XLOOKUP(CT$14,TableOpenSpace['#],TableOpenSpace[Item reference])="","",_xlfn.XLOOKUP(CT$14,TableOpenSpace['#],TableOpenSpace[Item reference]))</f>
        <v/>
      </c>
      <c r="CX18" s="232" t="str">
        <f>IF(_xlfn.XLOOKUP(CX$14,TableOpenSpace['#],TableOpenSpace[Item reference])="","",_xlfn.XLOOKUP(CX$14,TableOpenSpace['#],TableOpenSpace[Item reference]))</f>
        <v/>
      </c>
      <c r="DB18" s="232" t="str">
        <f>IF(_xlfn.XLOOKUP(DB$14,TableOpenSpace['#],TableOpenSpace[Item reference])="","",_xlfn.XLOOKUP(DB$14,TableOpenSpace['#],TableOpenSpace[Item reference]))</f>
        <v/>
      </c>
      <c r="DF18" s="232" t="str">
        <f>IF(_xlfn.XLOOKUP(DF$14,TableOpenSpace['#],TableOpenSpace[Item reference])="","",_xlfn.XLOOKUP(DF$14,TableOpenSpace['#],TableOpenSpace[Item reference]))</f>
        <v/>
      </c>
      <c r="DJ18" s="232" t="str">
        <f>IF(_xlfn.XLOOKUP(DJ$14,TableOpenSpace['#],TableOpenSpace[Item reference])="","",_xlfn.XLOOKUP(DJ$14,TableOpenSpace['#],TableOpenSpace[Item reference]))</f>
        <v/>
      </c>
      <c r="DN18" s="232" t="str">
        <f>IF(_xlfn.XLOOKUP(DN$14,TableOpenSpace['#],TableOpenSpace[Item reference])="","",_xlfn.XLOOKUP(DN$14,TableOpenSpace['#],TableOpenSpace[Item reference]))</f>
        <v/>
      </c>
      <c r="DR18" s="232" t="str">
        <f>IF(_xlfn.XLOOKUP(DR$14,TableOpenSpace['#],TableOpenSpace[Item reference])="","",_xlfn.XLOOKUP(DR$14,TableOpenSpace['#],TableOpenSpace[Item reference]))</f>
        <v/>
      </c>
      <c r="DV18" s="232" t="str">
        <f>IF(_xlfn.XLOOKUP(DV$14,TableOpenSpace['#],TableOpenSpace[Item reference])="","",_xlfn.XLOOKUP(DV$14,TableOpenSpace['#],TableOpenSpace[Item reference]))</f>
        <v/>
      </c>
      <c r="DZ18" s="232" t="str">
        <f>IF(_xlfn.XLOOKUP(DZ$14,TableOpenSpace['#],TableOpenSpace[Item reference])="","",_xlfn.XLOOKUP(DZ$14,TableOpenSpace['#],TableOpenSpace[Item reference]))</f>
        <v/>
      </c>
      <c r="ED18" s="232" t="str">
        <f>IF(_xlfn.XLOOKUP(ED$14,TableOpenSpace['#],TableOpenSpace[Item reference])="","",_xlfn.XLOOKUP(ED$14,TableOpenSpace['#],TableOpenSpace[Item reference]))</f>
        <v/>
      </c>
      <c r="EH18" s="232" t="str">
        <f>IF(_xlfn.XLOOKUP(EH$14,TableOpenSpace['#],TableOpenSpace[Item reference])="","",_xlfn.XLOOKUP(EH$14,TableOpenSpace['#],TableOpenSpace[Item reference]))</f>
        <v/>
      </c>
      <c r="EL18" s="232" t="str">
        <f>IF(_xlfn.XLOOKUP(EL$14,TableOpenSpace['#],TableOpenSpace[Item reference])="","",_xlfn.XLOOKUP(EL$14,TableOpenSpace['#],TableOpenSpace[Item reference]))</f>
        <v/>
      </c>
      <c r="EP18" s="232" t="str">
        <f>IF(_xlfn.XLOOKUP(EP$14,TableOpenSpace['#],TableOpenSpace[Item reference])="","",_xlfn.XLOOKUP(EP$14,TableOpenSpace['#],TableOpenSpace[Item reference]))</f>
        <v/>
      </c>
      <c r="ET18" s="232" t="str">
        <f>IF(_xlfn.XLOOKUP(ET$14,TableOpenSpace['#],TableOpenSpace[Item reference])="","",_xlfn.XLOOKUP(ET$14,TableOpenSpace['#],TableOpenSpace[Item reference]))</f>
        <v/>
      </c>
      <c r="EX18" s="232" t="str">
        <f>IF(_xlfn.XLOOKUP(EX$14,TableOpenSpace['#],TableOpenSpace[Item reference])="","",_xlfn.XLOOKUP(EX$14,TableOpenSpace['#],TableOpenSpace[Item reference]))</f>
        <v/>
      </c>
      <c r="FB18" s="232" t="str">
        <f>IF(_xlfn.XLOOKUP(FB$14,TableOpenSpace['#],TableOpenSpace[Item reference])="","",_xlfn.XLOOKUP(FB$14,TableOpenSpace['#],TableOpenSpace[Item reference]))</f>
        <v/>
      </c>
      <c r="FF18" s="232" t="str">
        <f>IF(_xlfn.XLOOKUP(FF$14,TableOpenSpace['#],TableOpenSpace[Item reference])="","",_xlfn.XLOOKUP(FF$14,TableOpenSpace['#],TableOpenSpace[Item reference]))</f>
        <v/>
      </c>
      <c r="FJ18" s="232" t="str">
        <f>IF(_xlfn.XLOOKUP(FJ$14,TableOpenSpace['#],TableOpenSpace[Item reference])="","",_xlfn.XLOOKUP(FJ$14,TableOpenSpace['#],TableOpenSpace[Item reference]))</f>
        <v/>
      </c>
      <c r="FN18" s="232" t="str">
        <f>IF(_xlfn.XLOOKUP(FN$14,TableOpenSpace['#],TableOpenSpace[Item reference])="","",_xlfn.XLOOKUP(FN$14,TableOpenSpace['#],TableOpenSpace[Item reference]))</f>
        <v/>
      </c>
      <c r="FR18" s="232" t="str">
        <f>IF(_xlfn.XLOOKUP(FR$14,TableOpenSpace['#],TableOpenSpace[Item reference])="","",_xlfn.XLOOKUP(FR$14,TableOpenSpace['#],TableOpenSpace[Item reference]))</f>
        <v/>
      </c>
      <c r="FV18" s="232" t="str">
        <f>IF(_xlfn.XLOOKUP(FV$14,TableOpenSpace['#],TableOpenSpace[Item reference])="","",_xlfn.XLOOKUP(FV$14,TableOpenSpace['#],TableOpenSpace[Item reference]))</f>
        <v/>
      </c>
      <c r="FZ18" s="232" t="str">
        <f>IF(_xlfn.XLOOKUP(FZ$14,TableOpenSpace['#],TableOpenSpace[Item reference])="","",_xlfn.XLOOKUP(FZ$14,TableOpenSpace['#],TableOpenSpace[Item reference]))</f>
        <v/>
      </c>
      <c r="GD18" s="232" t="str">
        <f>IF(_xlfn.XLOOKUP(GD$14,TableOpenSpace['#],TableOpenSpace[Item reference])="","",_xlfn.XLOOKUP(GD$14,TableOpenSpace['#],TableOpenSpace[Item reference]))</f>
        <v/>
      </c>
      <c r="GH18" s="232" t="str">
        <f>IF(_xlfn.XLOOKUP(GH$14,TableOpenSpace['#],TableOpenSpace[Item reference])="","",_xlfn.XLOOKUP(GH$14,TableOpenSpace['#],TableOpenSpace[Item reference]))</f>
        <v/>
      </c>
      <c r="GL18" s="232" t="str">
        <f>IF(_xlfn.XLOOKUP(GL$14,TableOpenSpace['#],TableOpenSpace[Item reference])="","",_xlfn.XLOOKUP(GL$14,TableOpenSpace['#],TableOpenSpace[Item reference]))</f>
        <v/>
      </c>
      <c r="GP18" s="232" t="str">
        <f>IF(_xlfn.XLOOKUP(GP$14,TableOpenSpace['#],TableOpenSpace[Item reference])="","",_xlfn.XLOOKUP(GP$14,TableOpenSpace['#],TableOpenSpace[Item reference]))</f>
        <v/>
      </c>
      <c r="GT18" s="232" t="str">
        <f>IF(_xlfn.XLOOKUP(GT$14,TableOpenSpace['#],TableOpenSpace[Item reference])="","",_xlfn.XLOOKUP(GT$14,TableOpenSpace['#],TableOpenSpace[Item reference]))</f>
        <v/>
      </c>
    </row>
    <row r="19" spans="4:204" ht="12" x14ac:dyDescent="0.25">
      <c r="D19" t="s">
        <v>147</v>
      </c>
      <c r="F19" s="159" t="str">
        <f>IFERROR(_xlfn.CONCAT("$ per ",IF(F$17=0,_xlfn.XLOOKUP(F$15,'Variable index'!$C$132:$C$215,'Variable index'!$D$132:$D$215),_xlfn.XLOOKUP(_xlfn.CONCAT(F$15," - ",F$16),'Variable index'!$C$132:$C$215,'Variable index'!$D$132:$D$215))),"")</f>
        <v/>
      </c>
      <c r="G19" s="161" t="str" cm="1">
        <f t="array" ref="G19">IFERROR(IF(F$17=0,INDEX('Variable index'!$E$132:$F$215,MATCH(F$15,'Variable index'!$C$132:$C$215,0),$D$12),INDEX('Variable index'!$E$132:$F$215,MATCH(_xlfn.CONCAT(F$15," - ",F$16),'Variable index'!$C$132:$C$215,0),$D$12)),"")</f>
        <v/>
      </c>
      <c r="H19" s="27"/>
      <c r="J19" s="159" t="str">
        <f>IFERROR(_xlfn.CONCAT("$ per ",IF(J$17=0,_xlfn.XLOOKUP(J$15,'Variable index'!$C$132:$C$215,'Variable index'!$D$132:$D$215),_xlfn.XLOOKUP(_xlfn.CONCAT(J$15," - ",J$16),'Variable index'!$C$132:$C$215,'Variable index'!$D$132:$D$215))),"")</f>
        <v/>
      </c>
      <c r="K19" s="161" t="str" cm="1">
        <f t="array" ref="K19">IFERROR(IF(J$17=0,INDEX('Variable index'!$E$132:$F$215,MATCH(J$15,'Variable index'!$C$132:$C$215,0),$D$12),INDEX('Variable index'!$E$132:$F$215,MATCH(_xlfn.CONCAT(J$15," - ",J$16),'Variable index'!$C$132:$C$215,0),$D$12)),"")</f>
        <v/>
      </c>
      <c r="L19" s="27"/>
      <c r="N19" s="159" t="str">
        <f>IFERROR(_xlfn.CONCAT("$ per ",IF(N$17=0,_xlfn.XLOOKUP(N$15,'Variable index'!$C$132:$C$215,'Variable index'!$D$132:$D$215),_xlfn.XLOOKUP(_xlfn.CONCAT(N$15," - ",N$16),'Variable index'!$C$132:$C$215,'Variable index'!$D$132:$D$215))),"")</f>
        <v/>
      </c>
      <c r="O19" s="161" t="str" cm="1">
        <f t="array" ref="O19">IFERROR(IF(N$17=0,INDEX('Variable index'!$E$132:$F$215,MATCH(N$15,'Variable index'!$C$132:$C$215,0),$D$12),INDEX('Variable index'!$E$132:$F$215,MATCH(_xlfn.CONCAT(N$15," - ",N$16),'Variable index'!$C$132:$C$215,0),$D$12)),"")</f>
        <v/>
      </c>
      <c r="P19" s="27"/>
      <c r="R19" s="159" t="str">
        <f>IFERROR(_xlfn.CONCAT("$ per ",IF(R$17=0,_xlfn.XLOOKUP(R$15,'Variable index'!$C$132:$C$215,'Variable index'!$D$132:$D$215),_xlfn.XLOOKUP(_xlfn.CONCAT(R$15," - ",R$16),'Variable index'!$C$132:$C$215,'Variable index'!$D$132:$D$215))),"")</f>
        <v/>
      </c>
      <c r="S19" s="161" t="str" cm="1">
        <f t="array" ref="S19">IFERROR(IF(R$17=0,INDEX('Variable index'!$E$132:$F$215,MATCH(R$15,'Variable index'!$C$132:$C$215,0),$D$12),INDEX('Variable index'!$E$132:$F$215,MATCH(_xlfn.CONCAT(R$15," - ",R$16),'Variable index'!$C$132:$C$215,0),$D$12)),"")</f>
        <v/>
      </c>
      <c r="T19" s="27"/>
      <c r="V19" s="159" t="str">
        <f>IFERROR(_xlfn.CONCAT("$ per ",IF(V$17=0,_xlfn.XLOOKUP(V$15,'Variable index'!$C$132:$C$215,'Variable index'!$D$132:$D$215),_xlfn.XLOOKUP(_xlfn.CONCAT(V$15," - ",V$16),'Variable index'!$C$132:$C$215,'Variable index'!$D$132:$D$215))),"")</f>
        <v/>
      </c>
      <c r="W19" s="161" t="str" cm="1">
        <f t="array" ref="W19">IFERROR(IF(V$17=0,INDEX('Variable index'!$E$132:$F$215,MATCH(V$15,'Variable index'!$C$132:$C$215,0),$D$12),INDEX('Variable index'!$E$132:$F$215,MATCH(_xlfn.CONCAT(V$15," - ",V$16),'Variable index'!$C$132:$C$215,0),$D$12)),"")</f>
        <v/>
      </c>
      <c r="X19" s="27"/>
      <c r="Z19" s="159" t="str">
        <f>IFERROR(_xlfn.CONCAT("$ per ",IF(Z$17=0,_xlfn.XLOOKUP(Z$15,'Variable index'!$C$132:$C$215,'Variable index'!$D$132:$D$215),_xlfn.XLOOKUP(_xlfn.CONCAT(Z$15," - ",Z$16),'Variable index'!$C$132:$C$215,'Variable index'!$D$132:$D$215))),"")</f>
        <v/>
      </c>
      <c r="AA19" s="161" t="str" cm="1">
        <f t="array" ref="AA19">IFERROR(IF(Z$17=0,INDEX('Variable index'!$E$132:$F$215,MATCH(Z$15,'Variable index'!$C$132:$C$215,0),$D$12),INDEX('Variable index'!$E$132:$F$215,MATCH(_xlfn.CONCAT(Z$15," - ",Z$16),'Variable index'!$C$132:$C$215,0),$D$12)),"")</f>
        <v/>
      </c>
      <c r="AB19" s="27"/>
      <c r="AD19" s="159" t="str">
        <f>IFERROR(_xlfn.CONCAT("$ per ",IF(AD$17=0,_xlfn.XLOOKUP(AD$15,'Variable index'!$C$132:$C$215,'Variable index'!$D$132:$D$215),_xlfn.XLOOKUP(_xlfn.CONCAT(AD$15," - ",AD$16),'Variable index'!$C$132:$C$215,'Variable index'!$D$132:$D$215))),"")</f>
        <v/>
      </c>
      <c r="AE19" s="161" t="str" cm="1">
        <f t="array" ref="AE19">IFERROR(IF(AD$17=0,INDEX('Variable index'!$E$132:$F$215,MATCH(AD$15,'Variable index'!$C$132:$C$215,0),$D$12),INDEX('Variable index'!$E$132:$F$215,MATCH(_xlfn.CONCAT(AD$15," - ",AD$16),'Variable index'!$C$132:$C$215,0),$D$12)),"")</f>
        <v/>
      </c>
      <c r="AF19" s="27"/>
      <c r="AH19" s="159" t="str">
        <f>IFERROR(_xlfn.CONCAT("$ per ",IF(AH$17=0,_xlfn.XLOOKUP(AH$15,'Variable index'!$C$132:$C$215,'Variable index'!$D$132:$D$215),_xlfn.XLOOKUP(_xlfn.CONCAT(AH$15," - ",AH$16),'Variable index'!$C$132:$C$215,'Variable index'!$D$132:$D$215))),"")</f>
        <v/>
      </c>
      <c r="AI19" s="161" t="str" cm="1">
        <f t="array" ref="AI19">IFERROR(IF(AH$17=0,INDEX('Variable index'!$E$132:$F$215,MATCH(AH$15,'Variable index'!$C$132:$C$215,0),$D$12),INDEX('Variable index'!$E$132:$F$215,MATCH(_xlfn.CONCAT(AH$15," - ",AH$16),'Variable index'!$C$132:$C$215,0),$D$12)),"")</f>
        <v/>
      </c>
      <c r="AJ19" s="27"/>
      <c r="AL19" s="159" t="str">
        <f>IFERROR(_xlfn.CONCAT("$ per ",IF(AL$17=0,_xlfn.XLOOKUP(AL$15,'Variable index'!$C$132:$C$215,'Variable index'!$D$132:$D$215),_xlfn.XLOOKUP(_xlfn.CONCAT(AL$15," - ",AL$16),'Variable index'!$C$132:$C$215,'Variable index'!$D$132:$D$215))),"")</f>
        <v/>
      </c>
      <c r="AM19" s="161" t="str" cm="1">
        <f t="array" ref="AM19">IFERROR(IF(AL$17=0,INDEX('Variable index'!$E$132:$F$215,MATCH(AL$15,'Variable index'!$C$132:$C$215,0),$D$12),INDEX('Variable index'!$E$132:$F$215,MATCH(_xlfn.CONCAT(AL$15," - ",AL$16),'Variable index'!$C$132:$C$215,0),$D$12)),"")</f>
        <v/>
      </c>
      <c r="AN19" s="27"/>
      <c r="AP19" s="159" t="str">
        <f>IFERROR(_xlfn.CONCAT("$ per ",IF(AP$17=0,_xlfn.XLOOKUP(AP$15,'Variable index'!$C$132:$C$215,'Variable index'!$D$132:$D$215),_xlfn.XLOOKUP(_xlfn.CONCAT(AP$15," - ",AP$16),'Variable index'!$C$132:$C$215,'Variable index'!$D$132:$D$215))),"")</f>
        <v/>
      </c>
      <c r="AQ19" s="161" t="str" cm="1">
        <f t="array" ref="AQ19">IFERROR(IF(AP$17=0,INDEX('Variable index'!$E$132:$F$215,MATCH(AP$15,'Variable index'!$C$132:$C$215,0),$D$12),INDEX('Variable index'!$E$132:$F$215,MATCH(_xlfn.CONCAT(AP$15," - ",AP$16),'Variable index'!$C$132:$C$215,0),$D$12)),"")</f>
        <v/>
      </c>
      <c r="AR19" s="27"/>
      <c r="AT19" s="159" t="str">
        <f>IFERROR(_xlfn.CONCAT("$ per ",IF(AT$17=0,_xlfn.XLOOKUP(AT$15,'Variable index'!$C$132:$C$215,'Variable index'!$D$132:$D$215),_xlfn.XLOOKUP(_xlfn.CONCAT(AT$15," - ",AT$16),'Variable index'!$C$132:$C$215,'Variable index'!$D$132:$D$215))),"")</f>
        <v/>
      </c>
      <c r="AU19" s="161" t="str" cm="1">
        <f t="array" ref="AU19">IFERROR(IF(AT$17=0,INDEX('Variable index'!$E$132:$F$215,MATCH(AT$15,'Variable index'!$C$132:$C$215,0),$D$12),INDEX('Variable index'!$E$132:$F$215,MATCH(_xlfn.CONCAT(AT$15," - ",AT$16),'Variable index'!$C$132:$C$215,0),$D$12)),"")</f>
        <v/>
      </c>
      <c r="AV19" s="27"/>
      <c r="AX19" s="159" t="str">
        <f>IFERROR(_xlfn.CONCAT("$ per ",IF(AX$17=0,_xlfn.XLOOKUP(AX$15,'Variable index'!$C$132:$C$215,'Variable index'!$D$132:$D$215),_xlfn.XLOOKUP(_xlfn.CONCAT(AX$15," - ",AX$16),'Variable index'!$C$132:$C$215,'Variable index'!$D$132:$D$215))),"")</f>
        <v/>
      </c>
      <c r="AY19" s="161" t="str" cm="1">
        <f t="array" ref="AY19">IFERROR(IF(AX$17=0,INDEX('Variable index'!$E$132:$F$215,MATCH(AX$15,'Variable index'!$C$132:$C$215,0),$D$12),INDEX('Variable index'!$E$132:$F$215,MATCH(_xlfn.CONCAT(AX$15," - ",AX$16),'Variable index'!$C$132:$C$215,0),$D$12)),"")</f>
        <v/>
      </c>
      <c r="AZ19" s="27"/>
      <c r="BB19" s="159" t="str">
        <f>IFERROR(_xlfn.CONCAT("$ per ",IF(BB$17=0,_xlfn.XLOOKUP(BB$15,'Variable index'!$C$132:$C$215,'Variable index'!$D$132:$D$215),_xlfn.XLOOKUP(_xlfn.CONCAT(BB$15," - ",BB$16),'Variable index'!$C$132:$C$215,'Variable index'!$D$132:$D$215))),"")</f>
        <v/>
      </c>
      <c r="BC19" s="161" t="str" cm="1">
        <f t="array" ref="BC19">IFERROR(IF(BB$17=0,INDEX('Variable index'!$E$132:$F$215,MATCH(BB$15,'Variable index'!$C$132:$C$215,0),$D$12),INDEX('Variable index'!$E$132:$F$215,MATCH(_xlfn.CONCAT(BB$15," - ",BB$16),'Variable index'!$C$132:$C$215,0),$D$12)),"")</f>
        <v/>
      </c>
      <c r="BD19" s="27"/>
      <c r="BF19" s="159" t="str">
        <f>IFERROR(_xlfn.CONCAT("$ per ",IF(BF$17=0,_xlfn.XLOOKUP(BF$15,'Variable index'!$C$132:$C$215,'Variable index'!$D$132:$D$215),_xlfn.XLOOKUP(_xlfn.CONCAT(BF$15," - ",BF$16),'Variable index'!$C$132:$C$215,'Variable index'!$D$132:$D$215))),"")</f>
        <v/>
      </c>
      <c r="BG19" s="161" t="str" cm="1">
        <f t="array" ref="BG19">IFERROR(IF(BF$17=0,INDEX('Variable index'!$E$132:$F$215,MATCH(BF$15,'Variable index'!$C$132:$C$215,0),$D$12),INDEX('Variable index'!$E$132:$F$215,MATCH(_xlfn.CONCAT(BF$15," - ",BF$16),'Variable index'!$C$132:$C$215,0),$D$12)),"")</f>
        <v/>
      </c>
      <c r="BH19" s="27"/>
      <c r="BJ19" s="159" t="str">
        <f>IFERROR(_xlfn.CONCAT("$ per ",IF(BJ$17=0,_xlfn.XLOOKUP(BJ$15,'Variable index'!$C$132:$C$215,'Variable index'!$D$132:$D$215),_xlfn.XLOOKUP(_xlfn.CONCAT(BJ$15," - ",BJ$16),'Variable index'!$C$132:$C$215,'Variable index'!$D$132:$D$215))),"")</f>
        <v/>
      </c>
      <c r="BK19" s="161" t="str" cm="1">
        <f t="array" ref="BK19">IFERROR(IF(BJ$17=0,INDEX('Variable index'!$E$132:$F$215,MATCH(BJ$15,'Variable index'!$C$132:$C$215,0),$D$12),INDEX('Variable index'!$E$132:$F$215,MATCH(_xlfn.CONCAT(BJ$15," - ",BJ$16),'Variable index'!$C$132:$C$215,0),$D$12)),"")</f>
        <v/>
      </c>
      <c r="BL19" s="27"/>
      <c r="BN19" s="159" t="str">
        <f>IFERROR(_xlfn.CONCAT("$ per ",IF(BN$17=0,_xlfn.XLOOKUP(BN$15,'Variable index'!$C$132:$C$215,'Variable index'!$D$132:$D$215),_xlfn.XLOOKUP(_xlfn.CONCAT(BN$15," - ",BN$16),'Variable index'!$C$132:$C$215,'Variable index'!$D$132:$D$215))),"")</f>
        <v/>
      </c>
      <c r="BO19" s="161" t="str" cm="1">
        <f t="array" ref="BO19">IFERROR(IF(BN$17=0,INDEX('Variable index'!$E$132:$F$215,MATCH(BN$15,'Variable index'!$C$132:$C$215,0),$D$12),INDEX('Variable index'!$E$132:$F$215,MATCH(_xlfn.CONCAT(BN$15," - ",BN$16),'Variable index'!$C$132:$C$215,0),$D$12)),"")</f>
        <v/>
      </c>
      <c r="BP19" s="27"/>
      <c r="BR19" s="159" t="str">
        <f>IFERROR(_xlfn.CONCAT("$ per ",IF(BR$17=0,_xlfn.XLOOKUP(BR$15,'Variable index'!$C$132:$C$215,'Variable index'!$D$132:$D$215),_xlfn.XLOOKUP(_xlfn.CONCAT(BR$15," - ",BR$16),'Variable index'!$C$132:$C$215,'Variable index'!$D$132:$D$215))),"")</f>
        <v/>
      </c>
      <c r="BS19" s="161" t="str" cm="1">
        <f t="array" ref="BS19">IFERROR(IF(BR$17=0,INDEX('Variable index'!$E$132:$F$215,MATCH(BR$15,'Variable index'!$C$132:$C$215,0),$D$12),INDEX('Variable index'!$E$132:$F$215,MATCH(_xlfn.CONCAT(BR$15," - ",BR$16),'Variable index'!$C$132:$C$215,0),$D$12)),"")</f>
        <v/>
      </c>
      <c r="BT19" s="27"/>
      <c r="BV19" s="159" t="str">
        <f>IFERROR(_xlfn.CONCAT("$ per ",IF(BV$17=0,_xlfn.XLOOKUP(BV$15,'Variable index'!$C$132:$C$215,'Variable index'!$D$132:$D$215),_xlfn.XLOOKUP(_xlfn.CONCAT(BV$15," - ",BV$16),'Variable index'!$C$132:$C$215,'Variable index'!$D$132:$D$215))),"")</f>
        <v/>
      </c>
      <c r="BW19" s="161" t="str" cm="1">
        <f t="array" ref="BW19">IFERROR(IF(BV$17=0,INDEX('Variable index'!$E$132:$F$215,MATCH(BV$15,'Variable index'!$C$132:$C$215,0),$D$12),INDEX('Variable index'!$E$132:$F$215,MATCH(_xlfn.CONCAT(BV$15," - ",BV$16),'Variable index'!$C$132:$C$215,0),$D$12)),"")</f>
        <v/>
      </c>
      <c r="BX19" s="27"/>
      <c r="BZ19" s="159" t="str">
        <f>IFERROR(_xlfn.CONCAT("$ per ",IF(BZ$17=0,_xlfn.XLOOKUP(BZ$15,'Variable index'!$C$132:$C$215,'Variable index'!$D$132:$D$215),_xlfn.XLOOKUP(_xlfn.CONCAT(BZ$15," - ",BZ$16),'Variable index'!$C$132:$C$215,'Variable index'!$D$132:$D$215))),"")</f>
        <v/>
      </c>
      <c r="CA19" s="161" t="str" cm="1">
        <f t="array" ref="CA19">IFERROR(IF(BZ$17=0,INDEX('Variable index'!$E$132:$F$215,MATCH(BZ$15,'Variable index'!$C$132:$C$215,0),$D$12),INDEX('Variable index'!$E$132:$F$215,MATCH(_xlfn.CONCAT(BZ$15," - ",BZ$16),'Variable index'!$C$132:$C$215,0),$D$12)),"")</f>
        <v/>
      </c>
      <c r="CB19" s="27"/>
      <c r="CD19" s="159" t="str">
        <f>IFERROR(_xlfn.CONCAT("$ per ",IF(CD$17=0,_xlfn.XLOOKUP(CD$15,'Variable index'!$C$132:$C$215,'Variable index'!$D$132:$D$215),_xlfn.XLOOKUP(_xlfn.CONCAT(CD$15," - ",CD$16),'Variable index'!$C$132:$C$215,'Variable index'!$D$132:$D$215))),"")</f>
        <v/>
      </c>
      <c r="CE19" s="161" t="str" cm="1">
        <f t="array" ref="CE19">IFERROR(IF(CD$17=0,INDEX('Variable index'!$E$132:$F$215,MATCH(CD$15,'Variable index'!$C$132:$C$215,0),$D$12),INDEX('Variable index'!$E$132:$F$215,MATCH(_xlfn.CONCAT(CD$15," - ",CD$16),'Variable index'!$C$132:$C$215,0),$D$12)),"")</f>
        <v/>
      </c>
      <c r="CF19" s="27"/>
      <c r="CH19" s="159" t="str">
        <f>IFERROR(_xlfn.CONCAT("$ per ",IF(CH$17=0,_xlfn.XLOOKUP(CH$15,'Variable index'!$C$132:$C$215,'Variable index'!$D$132:$D$215),_xlfn.XLOOKUP(_xlfn.CONCAT(CH$15," - ",CH$16),'Variable index'!$C$132:$C$215,'Variable index'!$D$132:$D$215))),"")</f>
        <v/>
      </c>
      <c r="CI19" s="161" t="str" cm="1">
        <f t="array" ref="CI19">IFERROR(IF(CH$17=0,INDEX('Variable index'!$E$132:$F$215,MATCH(CH$15,'Variable index'!$C$132:$C$215,0),$D$12),INDEX('Variable index'!$E$132:$F$215,MATCH(_xlfn.CONCAT(CH$15," - ",CH$16),'Variable index'!$C$132:$C$215,0),$D$12)),"")</f>
        <v/>
      </c>
      <c r="CJ19" s="27"/>
      <c r="CL19" s="159" t="str">
        <f>IFERROR(_xlfn.CONCAT("$ per ",IF(CL$17=0,_xlfn.XLOOKUP(CL$15,'Variable index'!$C$132:$C$215,'Variable index'!$D$132:$D$215),_xlfn.XLOOKUP(_xlfn.CONCAT(CL$15," - ",CL$16),'Variable index'!$C$132:$C$215,'Variable index'!$D$132:$D$215))),"")</f>
        <v/>
      </c>
      <c r="CM19" s="161" t="str" cm="1">
        <f t="array" ref="CM19">IFERROR(IF(CL$17=0,INDEX('Variable index'!$E$132:$F$215,MATCH(CL$15,'Variable index'!$C$132:$C$215,0),$D$12),INDEX('Variable index'!$E$132:$F$215,MATCH(_xlfn.CONCAT(CL$15," - ",CL$16),'Variable index'!$C$132:$C$215,0),$D$12)),"")</f>
        <v/>
      </c>
      <c r="CN19" s="27"/>
      <c r="CP19" s="159" t="str">
        <f>IFERROR(_xlfn.CONCAT("$ per ",IF(CP$17=0,_xlfn.XLOOKUP(CP$15,'Variable index'!$C$132:$C$215,'Variable index'!$D$132:$D$215),_xlfn.XLOOKUP(_xlfn.CONCAT(CP$15," - ",CP$16),'Variable index'!$C$132:$C$215,'Variable index'!$D$132:$D$215))),"")</f>
        <v/>
      </c>
      <c r="CQ19" s="161" t="str" cm="1">
        <f t="array" ref="CQ19">IFERROR(IF(CP$17=0,INDEX('Variable index'!$E$132:$F$215,MATCH(CP$15,'Variable index'!$C$132:$C$215,0),$D$12),INDEX('Variable index'!$E$132:$F$215,MATCH(_xlfn.CONCAT(CP$15," - ",CP$16),'Variable index'!$C$132:$C$215,0),$D$12)),"")</f>
        <v/>
      </c>
      <c r="CR19" s="27"/>
      <c r="CT19" s="159" t="str">
        <f>IFERROR(_xlfn.CONCAT("$ per ",IF(CT$17=0,_xlfn.XLOOKUP(CT$15,'Variable index'!$C$132:$C$215,'Variable index'!$D$132:$D$215),_xlfn.XLOOKUP(_xlfn.CONCAT(CT$15," - ",CT$16),'Variable index'!$C$132:$C$215,'Variable index'!$D$132:$D$215))),"")</f>
        <v/>
      </c>
      <c r="CU19" s="161" t="str" cm="1">
        <f t="array" ref="CU19">IFERROR(IF(CT$17=0,INDEX('Variable index'!$E$132:$F$215,MATCH(CT$15,'Variable index'!$C$132:$C$215,0),$D$12),INDEX('Variable index'!$E$132:$F$215,MATCH(_xlfn.CONCAT(CT$15," - ",CT$16),'Variable index'!$C$132:$C$215,0),$D$12)),"")</f>
        <v/>
      </c>
      <c r="CV19" s="27"/>
      <c r="CX19" s="159" t="str">
        <f>IFERROR(_xlfn.CONCAT("$ per ",IF(CX$17=0,_xlfn.XLOOKUP(CX$15,'Variable index'!$C$132:$C$215,'Variable index'!$D$132:$D$215),_xlfn.XLOOKUP(_xlfn.CONCAT(CX$15," - ",CX$16),'Variable index'!$C$132:$C$215,'Variable index'!$D$132:$D$215))),"")</f>
        <v/>
      </c>
      <c r="CY19" s="161" t="str" cm="1">
        <f t="array" ref="CY19">IFERROR(IF(CX$17=0,INDEX('Variable index'!$E$132:$F$215,MATCH(CX$15,'Variable index'!$C$132:$C$215,0),$D$12),INDEX('Variable index'!$E$132:$F$215,MATCH(_xlfn.CONCAT(CX$15," - ",CX$16),'Variable index'!$C$132:$C$215,0),$D$12)),"")</f>
        <v/>
      </c>
      <c r="CZ19" s="27"/>
      <c r="DB19" s="159" t="str">
        <f>IFERROR(_xlfn.CONCAT("$ per ",IF(DB$17=0,_xlfn.XLOOKUP(DB$15,'Variable index'!$C$132:$C$215,'Variable index'!$D$132:$D$215),_xlfn.XLOOKUP(_xlfn.CONCAT(DB$15," - ",DB$16),'Variable index'!$C$132:$C$215,'Variable index'!$D$132:$D$215))),"")</f>
        <v/>
      </c>
      <c r="DC19" s="161" t="str" cm="1">
        <f t="array" ref="DC19">IFERROR(IF(DB$17=0,INDEX('Variable index'!$E$132:$F$215,MATCH(DB$15,'Variable index'!$C$132:$C$215,0),$D$12),INDEX('Variable index'!$E$132:$F$215,MATCH(_xlfn.CONCAT(DB$15," - ",DB$16),'Variable index'!$C$132:$C$215,0),$D$12)),"")</f>
        <v/>
      </c>
      <c r="DD19" s="27"/>
      <c r="DF19" s="159" t="str">
        <f>IFERROR(_xlfn.CONCAT("$ per ",IF(DF$17=0,_xlfn.XLOOKUP(DF$15,'Variable index'!$C$132:$C$215,'Variable index'!$D$132:$D$215),_xlfn.XLOOKUP(_xlfn.CONCAT(DF$15," - ",DF$16),'Variable index'!$C$132:$C$215,'Variable index'!$D$132:$D$215))),"")</f>
        <v/>
      </c>
      <c r="DG19" s="161" t="str" cm="1">
        <f t="array" ref="DG19">IFERROR(IF(DF$17=0,INDEX('Variable index'!$E$132:$F$215,MATCH(DF$15,'Variable index'!$C$132:$C$215,0),$D$12),INDEX('Variable index'!$E$132:$F$215,MATCH(_xlfn.CONCAT(DF$15," - ",DF$16),'Variable index'!$C$132:$C$215,0),$D$12)),"")</f>
        <v/>
      </c>
      <c r="DH19" s="27"/>
      <c r="DJ19" s="159" t="str">
        <f>IFERROR(_xlfn.CONCAT("$ per ",IF(DJ$17=0,_xlfn.XLOOKUP(DJ$15,'Variable index'!$C$132:$C$215,'Variable index'!$D$132:$D$215),_xlfn.XLOOKUP(_xlfn.CONCAT(DJ$15," - ",DJ$16),'Variable index'!$C$132:$C$215,'Variable index'!$D$132:$D$215))),"")</f>
        <v/>
      </c>
      <c r="DK19" s="161" t="str" cm="1">
        <f t="array" ref="DK19">IFERROR(IF(DJ$17=0,INDEX('Variable index'!$E$132:$F$215,MATCH(DJ$15,'Variable index'!$C$132:$C$215,0),$D$12),INDEX('Variable index'!$E$132:$F$215,MATCH(_xlfn.CONCAT(DJ$15," - ",DJ$16),'Variable index'!$C$132:$C$215,0),$D$12)),"")</f>
        <v/>
      </c>
      <c r="DL19" s="27"/>
      <c r="DN19" s="159" t="str">
        <f>IFERROR(_xlfn.CONCAT("$ per ",IF(DN$17=0,_xlfn.XLOOKUP(DN$15,'Variable index'!$C$132:$C$215,'Variable index'!$D$132:$D$215),_xlfn.XLOOKUP(_xlfn.CONCAT(DN$15," - ",DN$16),'Variable index'!$C$132:$C$215,'Variable index'!$D$132:$D$215))),"")</f>
        <v/>
      </c>
      <c r="DO19" s="161" t="str" cm="1">
        <f t="array" ref="DO19">IFERROR(IF(DN$17=0,INDEX('Variable index'!$E$132:$F$215,MATCH(DN$15,'Variable index'!$C$132:$C$215,0),$D$12),INDEX('Variable index'!$E$132:$F$215,MATCH(_xlfn.CONCAT(DN$15," - ",DN$16),'Variable index'!$C$132:$C$215,0),$D$12)),"")</f>
        <v/>
      </c>
      <c r="DP19" s="27"/>
      <c r="DR19" s="159" t="str">
        <f>IFERROR(_xlfn.CONCAT("$ per ",IF(DR$17=0,_xlfn.XLOOKUP(DR$15,'Variable index'!$C$132:$C$215,'Variable index'!$D$132:$D$215),_xlfn.XLOOKUP(_xlfn.CONCAT(DR$15," - ",DR$16),'Variable index'!$C$132:$C$215,'Variable index'!$D$132:$D$215))),"")</f>
        <v/>
      </c>
      <c r="DS19" s="161" t="str" cm="1">
        <f t="array" ref="DS19">IFERROR(IF(DR$17=0,INDEX('Variable index'!$E$132:$F$215,MATCH(DR$15,'Variable index'!$C$132:$C$215,0),$D$12),INDEX('Variable index'!$E$132:$F$215,MATCH(_xlfn.CONCAT(DR$15," - ",DR$16),'Variable index'!$C$132:$C$215,0),$D$12)),"")</f>
        <v/>
      </c>
      <c r="DT19" s="27"/>
      <c r="DV19" s="159" t="str">
        <f>IFERROR(_xlfn.CONCAT("$ per ",IF(DV$17=0,_xlfn.XLOOKUP(DV$15,'Variable index'!$C$132:$C$215,'Variable index'!$D$132:$D$215),_xlfn.XLOOKUP(_xlfn.CONCAT(DV$15," - ",DV$16),'Variable index'!$C$132:$C$215,'Variable index'!$D$132:$D$215))),"")</f>
        <v/>
      </c>
      <c r="DW19" s="161" t="str" cm="1">
        <f t="array" ref="DW19">IFERROR(IF(DV$17=0,INDEX('Variable index'!$E$132:$F$215,MATCH(DV$15,'Variable index'!$C$132:$C$215,0),$D$12),INDEX('Variable index'!$E$132:$F$215,MATCH(_xlfn.CONCAT(DV$15," - ",DV$16),'Variable index'!$C$132:$C$215,0),$D$12)),"")</f>
        <v/>
      </c>
      <c r="DX19" s="27"/>
      <c r="DZ19" s="159" t="str">
        <f>IFERROR(_xlfn.CONCAT("$ per ",IF(DZ$17=0,_xlfn.XLOOKUP(DZ$15,'Variable index'!$C$132:$C$215,'Variable index'!$D$132:$D$215),_xlfn.XLOOKUP(_xlfn.CONCAT(DZ$15," - ",DZ$16),'Variable index'!$C$132:$C$215,'Variable index'!$D$132:$D$215))),"")</f>
        <v/>
      </c>
      <c r="EA19" s="161" t="str" cm="1">
        <f t="array" ref="EA19">IFERROR(IF(DZ$17=0,INDEX('Variable index'!$E$132:$F$215,MATCH(DZ$15,'Variable index'!$C$132:$C$215,0),$D$12),INDEX('Variable index'!$E$132:$F$215,MATCH(_xlfn.CONCAT(DZ$15," - ",DZ$16),'Variable index'!$C$132:$C$215,0),$D$12)),"")</f>
        <v/>
      </c>
      <c r="EB19" s="27"/>
      <c r="ED19" s="159" t="str">
        <f>IFERROR(_xlfn.CONCAT("$ per ",IF(ED$17=0,_xlfn.XLOOKUP(ED$15,'Variable index'!$C$132:$C$215,'Variable index'!$D$132:$D$215),_xlfn.XLOOKUP(_xlfn.CONCAT(ED$15," - ",ED$16),'Variable index'!$C$132:$C$215,'Variable index'!$D$132:$D$215))),"")</f>
        <v/>
      </c>
      <c r="EE19" s="161" t="str" cm="1">
        <f t="array" ref="EE19">IFERROR(IF(ED$17=0,INDEX('Variable index'!$E$132:$F$215,MATCH(ED$15,'Variable index'!$C$132:$C$215,0),$D$12),INDEX('Variable index'!$E$132:$F$215,MATCH(_xlfn.CONCAT(ED$15," - ",ED$16),'Variable index'!$C$132:$C$215,0),$D$12)),"")</f>
        <v/>
      </c>
      <c r="EF19" s="27"/>
      <c r="EH19" s="159" t="str">
        <f>IFERROR(_xlfn.CONCAT("$ per ",IF(EH$17=0,_xlfn.XLOOKUP(EH$15,'Variable index'!$C$132:$C$215,'Variable index'!$D$132:$D$215),_xlfn.XLOOKUP(_xlfn.CONCAT(EH$15," - ",EH$16),'Variable index'!$C$132:$C$215,'Variable index'!$D$132:$D$215))),"")</f>
        <v/>
      </c>
      <c r="EI19" s="161" t="str" cm="1">
        <f t="array" ref="EI19">IFERROR(IF(EH$17=0,INDEX('Variable index'!$E$132:$F$215,MATCH(EH$15,'Variable index'!$C$132:$C$215,0),$D$12),INDEX('Variable index'!$E$132:$F$215,MATCH(_xlfn.CONCAT(EH$15," - ",EH$16),'Variable index'!$C$132:$C$215,0),$D$12)),"")</f>
        <v/>
      </c>
      <c r="EJ19" s="27"/>
      <c r="EL19" s="159" t="str">
        <f>IFERROR(_xlfn.CONCAT("$ per ",IF(EL$17=0,_xlfn.XLOOKUP(EL$15,'Variable index'!$C$132:$C$215,'Variable index'!$D$132:$D$215),_xlfn.XLOOKUP(_xlfn.CONCAT(EL$15," - ",EL$16),'Variable index'!$C$132:$C$215,'Variable index'!$D$132:$D$215))),"")</f>
        <v/>
      </c>
      <c r="EM19" s="161" t="str" cm="1">
        <f t="array" ref="EM19">IFERROR(IF(EL$17=0,INDEX('Variable index'!$E$132:$F$215,MATCH(EL$15,'Variable index'!$C$132:$C$215,0),$D$12),INDEX('Variable index'!$E$132:$F$215,MATCH(_xlfn.CONCAT(EL$15," - ",EL$16),'Variable index'!$C$132:$C$215,0),$D$12)),"")</f>
        <v/>
      </c>
      <c r="EN19" s="27"/>
      <c r="EP19" s="159" t="str">
        <f>IFERROR(_xlfn.CONCAT("$ per ",IF(EP$17=0,_xlfn.XLOOKUP(EP$15,'Variable index'!$C$132:$C$215,'Variable index'!$D$132:$D$215),_xlfn.XLOOKUP(_xlfn.CONCAT(EP$15," - ",EP$16),'Variable index'!$C$132:$C$215,'Variable index'!$D$132:$D$215))),"")</f>
        <v/>
      </c>
      <c r="EQ19" s="161" t="str" cm="1">
        <f t="array" ref="EQ19">IFERROR(IF(EP$17=0,INDEX('Variable index'!$E$132:$F$215,MATCH(EP$15,'Variable index'!$C$132:$C$215,0),$D$12),INDEX('Variable index'!$E$132:$F$215,MATCH(_xlfn.CONCAT(EP$15," - ",EP$16),'Variable index'!$C$132:$C$215,0),$D$12)),"")</f>
        <v/>
      </c>
      <c r="ER19" s="27"/>
      <c r="ET19" s="159" t="str">
        <f>IFERROR(_xlfn.CONCAT("$ per ",IF(ET$17=0,_xlfn.XLOOKUP(ET$15,'Variable index'!$C$132:$C$215,'Variable index'!$D$132:$D$215),_xlfn.XLOOKUP(_xlfn.CONCAT(ET$15," - ",ET$16),'Variable index'!$C$132:$C$215,'Variable index'!$D$132:$D$215))),"")</f>
        <v/>
      </c>
      <c r="EU19" s="161" t="str" cm="1">
        <f t="array" ref="EU19">IFERROR(IF(ET$17=0,INDEX('Variable index'!$E$132:$F$215,MATCH(ET$15,'Variable index'!$C$132:$C$215,0),$D$12),INDEX('Variable index'!$E$132:$F$215,MATCH(_xlfn.CONCAT(ET$15," - ",ET$16),'Variable index'!$C$132:$C$215,0),$D$12)),"")</f>
        <v/>
      </c>
      <c r="EV19" s="27"/>
      <c r="EX19" s="159" t="str">
        <f>IFERROR(_xlfn.CONCAT("$ per ",IF(EX$17=0,_xlfn.XLOOKUP(EX$15,'Variable index'!$C$132:$C$215,'Variable index'!$D$132:$D$215),_xlfn.XLOOKUP(_xlfn.CONCAT(EX$15," - ",EX$16),'Variable index'!$C$132:$C$215,'Variable index'!$D$132:$D$215))),"")</f>
        <v/>
      </c>
      <c r="EY19" s="161" t="str" cm="1">
        <f t="array" ref="EY19">IFERROR(IF(EX$17=0,INDEX('Variable index'!$E$132:$F$215,MATCH(EX$15,'Variable index'!$C$132:$C$215,0),$D$12),INDEX('Variable index'!$E$132:$F$215,MATCH(_xlfn.CONCAT(EX$15," - ",EX$16),'Variable index'!$C$132:$C$215,0),$D$12)),"")</f>
        <v/>
      </c>
      <c r="EZ19" s="27"/>
      <c r="FB19" s="159" t="str">
        <f>IFERROR(_xlfn.CONCAT("$ per ",IF(FB$17=0,_xlfn.XLOOKUP(FB$15,'Variable index'!$C$132:$C$215,'Variable index'!$D$132:$D$215),_xlfn.XLOOKUP(_xlfn.CONCAT(FB$15," - ",FB$16),'Variable index'!$C$132:$C$215,'Variable index'!$D$132:$D$215))),"")</f>
        <v/>
      </c>
      <c r="FC19" s="161" t="str" cm="1">
        <f t="array" ref="FC19">IFERROR(IF(FB$17=0,INDEX('Variable index'!$E$132:$F$215,MATCH(FB$15,'Variable index'!$C$132:$C$215,0),$D$12),INDEX('Variable index'!$E$132:$F$215,MATCH(_xlfn.CONCAT(FB$15," - ",FB$16),'Variable index'!$C$132:$C$215,0),$D$12)),"")</f>
        <v/>
      </c>
      <c r="FD19" s="27"/>
      <c r="FF19" s="159" t="str">
        <f>IFERROR(_xlfn.CONCAT("$ per ",IF(FF$17=0,_xlfn.XLOOKUP(FF$15,'Variable index'!$C$132:$C$215,'Variable index'!$D$132:$D$215),_xlfn.XLOOKUP(_xlfn.CONCAT(FF$15," - ",FF$16),'Variable index'!$C$132:$C$215,'Variable index'!$D$132:$D$215))),"")</f>
        <v/>
      </c>
      <c r="FG19" s="161" t="str" cm="1">
        <f t="array" ref="FG19">IFERROR(IF(FF$17=0,INDEX('Variable index'!$E$132:$F$215,MATCH(FF$15,'Variable index'!$C$132:$C$215,0),$D$12),INDEX('Variable index'!$E$132:$F$215,MATCH(_xlfn.CONCAT(FF$15," - ",FF$16),'Variable index'!$C$132:$C$215,0),$D$12)),"")</f>
        <v/>
      </c>
      <c r="FH19" s="27"/>
      <c r="FJ19" s="159" t="str">
        <f>IFERROR(_xlfn.CONCAT("$ per ",IF(FJ$17=0,_xlfn.XLOOKUP(FJ$15,'Variable index'!$C$132:$C$215,'Variable index'!$D$132:$D$215),_xlfn.XLOOKUP(_xlfn.CONCAT(FJ$15," - ",FJ$16),'Variable index'!$C$132:$C$215,'Variable index'!$D$132:$D$215))),"")</f>
        <v/>
      </c>
      <c r="FK19" s="161" t="str" cm="1">
        <f t="array" ref="FK19">IFERROR(IF(FJ$17=0,INDEX('Variable index'!$E$132:$F$215,MATCH(FJ$15,'Variable index'!$C$132:$C$215,0),$D$12),INDEX('Variable index'!$E$132:$F$215,MATCH(_xlfn.CONCAT(FJ$15," - ",FJ$16),'Variable index'!$C$132:$C$215,0),$D$12)),"")</f>
        <v/>
      </c>
      <c r="FL19" s="27"/>
      <c r="FN19" s="159" t="str">
        <f>IFERROR(_xlfn.CONCAT("$ per ",IF(FN$17=0,_xlfn.XLOOKUP(FN$15,'Variable index'!$C$132:$C$215,'Variable index'!$D$132:$D$215),_xlfn.XLOOKUP(_xlfn.CONCAT(FN$15," - ",FN$16),'Variable index'!$C$132:$C$215,'Variable index'!$D$132:$D$215))),"")</f>
        <v/>
      </c>
      <c r="FO19" s="161" t="str" cm="1">
        <f t="array" ref="FO19">IFERROR(IF(FN$17=0,INDEX('Variable index'!$E$132:$F$215,MATCH(FN$15,'Variable index'!$C$132:$C$215,0),$D$12),INDEX('Variable index'!$E$132:$F$215,MATCH(_xlfn.CONCAT(FN$15," - ",FN$16),'Variable index'!$C$132:$C$215,0),$D$12)),"")</f>
        <v/>
      </c>
      <c r="FP19" s="27"/>
      <c r="FR19" s="159" t="str">
        <f>IFERROR(_xlfn.CONCAT("$ per ",IF(FR$17=0,_xlfn.XLOOKUP(FR$15,'Variable index'!$C$132:$C$215,'Variable index'!$D$132:$D$215),_xlfn.XLOOKUP(_xlfn.CONCAT(FR$15," - ",FR$16),'Variable index'!$C$132:$C$215,'Variable index'!$D$132:$D$215))),"")</f>
        <v/>
      </c>
      <c r="FS19" s="161" t="str" cm="1">
        <f t="array" ref="FS19">IFERROR(IF(FR$17=0,INDEX('Variable index'!$E$132:$F$215,MATCH(FR$15,'Variable index'!$C$132:$C$215,0),$D$12),INDEX('Variable index'!$E$132:$F$215,MATCH(_xlfn.CONCAT(FR$15," - ",FR$16),'Variable index'!$C$132:$C$215,0),$D$12)),"")</f>
        <v/>
      </c>
      <c r="FT19" s="27"/>
      <c r="FV19" s="159" t="str">
        <f>IFERROR(_xlfn.CONCAT("$ per ",IF(FV$17=0,_xlfn.XLOOKUP(FV$15,'Variable index'!$C$132:$C$215,'Variable index'!$D$132:$D$215),_xlfn.XLOOKUP(_xlfn.CONCAT(FV$15," - ",FV$16),'Variable index'!$C$132:$C$215,'Variable index'!$D$132:$D$215))),"")</f>
        <v/>
      </c>
      <c r="FW19" s="161" t="str" cm="1">
        <f t="array" ref="FW19">IFERROR(IF(FV$17=0,INDEX('Variable index'!$E$132:$F$215,MATCH(FV$15,'Variable index'!$C$132:$C$215,0),$D$12),INDEX('Variable index'!$E$132:$F$215,MATCH(_xlfn.CONCAT(FV$15," - ",FV$16),'Variable index'!$C$132:$C$215,0),$D$12)),"")</f>
        <v/>
      </c>
      <c r="FX19" s="27"/>
      <c r="FZ19" s="159" t="str">
        <f>IFERROR(_xlfn.CONCAT("$ per ",IF(FZ$17=0,_xlfn.XLOOKUP(FZ$15,'Variable index'!$C$132:$C$215,'Variable index'!$D$132:$D$215),_xlfn.XLOOKUP(_xlfn.CONCAT(FZ$15," - ",FZ$16),'Variable index'!$C$132:$C$215,'Variable index'!$D$132:$D$215))),"")</f>
        <v/>
      </c>
      <c r="GA19" s="161" t="str" cm="1">
        <f t="array" ref="GA19">IFERROR(IF(FZ$17=0,INDEX('Variable index'!$E$132:$F$215,MATCH(FZ$15,'Variable index'!$C$132:$C$215,0),$D$12),INDEX('Variable index'!$E$132:$F$215,MATCH(_xlfn.CONCAT(FZ$15," - ",FZ$16),'Variable index'!$C$132:$C$215,0),$D$12)),"")</f>
        <v/>
      </c>
      <c r="GB19" s="27"/>
      <c r="GD19" s="159" t="str">
        <f>IFERROR(_xlfn.CONCAT("$ per ",IF(GD$17=0,_xlfn.XLOOKUP(GD$15,'Variable index'!$C$132:$C$215,'Variable index'!$D$132:$D$215),_xlfn.XLOOKUP(_xlfn.CONCAT(GD$15," - ",GD$16),'Variable index'!$C$132:$C$215,'Variable index'!$D$132:$D$215))),"")</f>
        <v/>
      </c>
      <c r="GE19" s="161" t="str" cm="1">
        <f t="array" ref="GE19">IFERROR(IF(GD$17=0,INDEX('Variable index'!$E$132:$F$215,MATCH(GD$15,'Variable index'!$C$132:$C$215,0),$D$12),INDEX('Variable index'!$E$132:$F$215,MATCH(_xlfn.CONCAT(GD$15," - ",GD$16),'Variable index'!$C$132:$C$215,0),$D$12)),"")</f>
        <v/>
      </c>
      <c r="GF19" s="27"/>
      <c r="GH19" s="159" t="str">
        <f>IFERROR(_xlfn.CONCAT("$ per ",IF(GH$17=0,_xlfn.XLOOKUP(GH$15,'Variable index'!$C$132:$C$215,'Variable index'!$D$132:$D$215),_xlfn.XLOOKUP(_xlfn.CONCAT(GH$15," - ",GH$16),'Variable index'!$C$132:$C$215,'Variable index'!$D$132:$D$215))),"")</f>
        <v/>
      </c>
      <c r="GI19" s="161" t="str" cm="1">
        <f t="array" ref="GI19">IFERROR(IF(GH$17=0,INDEX('Variable index'!$E$132:$F$215,MATCH(GH$15,'Variable index'!$C$132:$C$215,0),$D$12),INDEX('Variable index'!$E$132:$F$215,MATCH(_xlfn.CONCAT(GH$15," - ",GH$16),'Variable index'!$C$132:$C$215,0),$D$12)),"")</f>
        <v/>
      </c>
      <c r="GJ19" s="27"/>
      <c r="GL19" s="159" t="str">
        <f>IFERROR(_xlfn.CONCAT("$ per ",IF(GL$17=0,_xlfn.XLOOKUP(GL$15,'Variable index'!$C$132:$C$215,'Variable index'!$D$132:$D$215),_xlfn.XLOOKUP(_xlfn.CONCAT(GL$15," - ",GL$16),'Variable index'!$C$132:$C$215,'Variable index'!$D$132:$D$215))),"")</f>
        <v/>
      </c>
      <c r="GM19" s="161" t="str" cm="1">
        <f t="array" ref="GM19">IFERROR(IF(GL$17=0,INDEX('Variable index'!$E$132:$F$215,MATCH(GL$15,'Variable index'!$C$132:$C$215,0),$D$12),INDEX('Variable index'!$E$132:$F$215,MATCH(_xlfn.CONCAT(GL$15," - ",GL$16),'Variable index'!$C$132:$C$215,0),$D$12)),"")</f>
        <v/>
      </c>
      <c r="GN19" s="27"/>
      <c r="GP19" s="159" t="str">
        <f>IFERROR(_xlfn.CONCAT("$ per ",IF(GP$17=0,_xlfn.XLOOKUP(GP$15,'Variable index'!$C$132:$C$215,'Variable index'!$D$132:$D$215),_xlfn.XLOOKUP(_xlfn.CONCAT(GP$15," - ",GP$16),'Variable index'!$C$132:$C$215,'Variable index'!$D$132:$D$215))),"")</f>
        <v/>
      </c>
      <c r="GQ19" s="161" t="str" cm="1">
        <f t="array" ref="GQ19">IFERROR(IF(GP$17=0,INDEX('Variable index'!$E$132:$F$215,MATCH(GP$15,'Variable index'!$C$132:$C$215,0),$D$12),INDEX('Variable index'!$E$132:$F$215,MATCH(_xlfn.CONCAT(GP$15," - ",GP$16),'Variable index'!$C$132:$C$215,0),$D$12)),"")</f>
        <v/>
      </c>
      <c r="GR19" s="27"/>
      <c r="GT19" s="159" t="str">
        <f>IFERROR(_xlfn.CONCAT("$ per ",IF(GT$17=0,_xlfn.XLOOKUP(GT$15,'Variable index'!$C$132:$C$215,'Variable index'!$D$132:$D$215),_xlfn.XLOOKUP(_xlfn.CONCAT(GT$15," - ",GT$16),'Variable index'!$C$132:$C$215,'Variable index'!$D$132:$D$215))),"")</f>
        <v/>
      </c>
      <c r="GU19" s="161" t="str" cm="1">
        <f t="array" ref="GU19">IFERROR(IF(GT$17=0,INDEX('Variable index'!$E$132:$F$215,MATCH(GT$15,'Variable index'!$C$132:$C$215,0),$D$12),INDEX('Variable index'!$E$132:$F$215,MATCH(_xlfn.CONCAT(GT$15," - ",GT$16),'Variable index'!$C$132:$C$215,0),$D$12)),"")</f>
        <v/>
      </c>
      <c r="GV19" s="27"/>
    </row>
    <row r="20" spans="4:204" ht="12" x14ac:dyDescent="0.25">
      <c r="D20" t="s">
        <v>148</v>
      </c>
      <c r="F20" s="233" t="str">
        <f>IF(_xlfn.XLOOKUP(F$14,TableOpenSpace['#],TableOpenSpace[Unit quantity])&lt;&gt;"",_xlfn.XLOOKUP(F$14,TableOpenSpace['#],TableOpenSpace[Unit quantity]),"")</f>
        <v/>
      </c>
      <c r="H20" s="27"/>
      <c r="J20" s="233" t="str">
        <f>IF(_xlfn.XLOOKUP(J$14,TableOpenSpace['#],TableOpenSpace[Unit quantity])&lt;&gt;"",_xlfn.XLOOKUP(J$14,TableOpenSpace['#],TableOpenSpace[Unit quantity]),"")</f>
        <v/>
      </c>
      <c r="L20" s="27"/>
      <c r="N20" s="233" t="str">
        <f>IF(_xlfn.XLOOKUP(N$14,TableOpenSpace['#],TableOpenSpace[Unit quantity])&lt;&gt;"",_xlfn.XLOOKUP(N$14,TableOpenSpace['#],TableOpenSpace[Unit quantity]),"")</f>
        <v/>
      </c>
      <c r="P20" s="27"/>
      <c r="R20" s="233" t="str">
        <f>IF(_xlfn.XLOOKUP(R$14,TableOpenSpace['#],TableOpenSpace[Unit quantity])&lt;&gt;"",_xlfn.XLOOKUP(R$14,TableOpenSpace['#],TableOpenSpace[Unit quantity]),"")</f>
        <v/>
      </c>
      <c r="T20" s="27"/>
      <c r="V20" s="233" t="str">
        <f>IF(_xlfn.XLOOKUP(V$14,TableOpenSpace['#],TableOpenSpace[Unit quantity])&lt;&gt;"",_xlfn.XLOOKUP(V$14,TableOpenSpace['#],TableOpenSpace[Unit quantity]),"")</f>
        <v/>
      </c>
      <c r="X20" s="27"/>
      <c r="Z20" s="233" t="str">
        <f>IF(_xlfn.XLOOKUP(Z$14,TableOpenSpace['#],TableOpenSpace[Unit quantity])&lt;&gt;"",_xlfn.XLOOKUP(Z$14,TableOpenSpace['#],TableOpenSpace[Unit quantity]),"")</f>
        <v/>
      </c>
      <c r="AB20" s="27"/>
      <c r="AD20" s="233" t="str">
        <f>IF(_xlfn.XLOOKUP(AD$14,TableOpenSpace['#],TableOpenSpace[Unit quantity])&lt;&gt;"",_xlfn.XLOOKUP(AD$14,TableOpenSpace['#],TableOpenSpace[Unit quantity]),"")</f>
        <v/>
      </c>
      <c r="AF20" s="27"/>
      <c r="AH20" s="233" t="str">
        <f>IF(_xlfn.XLOOKUP(AH$14,TableOpenSpace['#],TableOpenSpace[Unit quantity])&lt;&gt;"",_xlfn.XLOOKUP(AH$14,TableOpenSpace['#],TableOpenSpace[Unit quantity]),"")</f>
        <v/>
      </c>
      <c r="AJ20" s="27"/>
      <c r="AL20" s="233" t="str">
        <f>IF(_xlfn.XLOOKUP(AL$14,TableOpenSpace['#],TableOpenSpace[Unit quantity])&lt;&gt;"",_xlfn.XLOOKUP(AL$14,TableOpenSpace['#],TableOpenSpace[Unit quantity]),"")</f>
        <v/>
      </c>
      <c r="AN20" s="27"/>
      <c r="AP20" s="233" t="str">
        <f>IF(_xlfn.XLOOKUP(AP$14,TableOpenSpace['#],TableOpenSpace[Unit quantity])&lt;&gt;"",_xlfn.XLOOKUP(AP$14,TableOpenSpace['#],TableOpenSpace[Unit quantity]),"")</f>
        <v/>
      </c>
      <c r="AR20" s="27"/>
      <c r="AT20" s="233" t="str">
        <f>IF(_xlfn.XLOOKUP(AT$14,TableOpenSpace['#],TableOpenSpace[Unit quantity])&lt;&gt;"",_xlfn.XLOOKUP(AT$14,TableOpenSpace['#],TableOpenSpace[Unit quantity]),"")</f>
        <v/>
      </c>
      <c r="AV20" s="27"/>
      <c r="AX20" s="233" t="str">
        <f>IF(_xlfn.XLOOKUP(AX$14,TableOpenSpace['#],TableOpenSpace[Unit quantity])&lt;&gt;"",_xlfn.XLOOKUP(AX$14,TableOpenSpace['#],TableOpenSpace[Unit quantity]),"")</f>
        <v/>
      </c>
      <c r="AZ20" s="27"/>
      <c r="BB20" s="233" t="str">
        <f>IF(_xlfn.XLOOKUP(BB$14,TableOpenSpace['#],TableOpenSpace[Unit quantity])&lt;&gt;"",_xlfn.XLOOKUP(BB$14,TableOpenSpace['#],TableOpenSpace[Unit quantity]),"")</f>
        <v/>
      </c>
      <c r="BD20" s="27"/>
      <c r="BF20" s="233" t="str">
        <f>IF(_xlfn.XLOOKUP(BF$14,TableOpenSpace['#],TableOpenSpace[Unit quantity])&lt;&gt;"",_xlfn.XLOOKUP(BF$14,TableOpenSpace['#],TableOpenSpace[Unit quantity]),"")</f>
        <v/>
      </c>
      <c r="BH20" s="27"/>
      <c r="BJ20" s="233" t="str">
        <f>IF(_xlfn.XLOOKUP(BJ$14,TableOpenSpace['#],TableOpenSpace[Unit quantity])&lt;&gt;"",_xlfn.XLOOKUP(BJ$14,TableOpenSpace['#],TableOpenSpace[Unit quantity]),"")</f>
        <v/>
      </c>
      <c r="BL20" s="27"/>
      <c r="BN20" s="233" t="str">
        <f>IF(_xlfn.XLOOKUP(BN$14,TableOpenSpace['#],TableOpenSpace[Unit quantity])&lt;&gt;"",_xlfn.XLOOKUP(BN$14,TableOpenSpace['#],TableOpenSpace[Unit quantity]),"")</f>
        <v/>
      </c>
      <c r="BP20" s="27"/>
      <c r="BR20" s="233" t="str">
        <f>IF(_xlfn.XLOOKUP(BR$14,TableOpenSpace['#],TableOpenSpace[Unit quantity])&lt;&gt;"",_xlfn.XLOOKUP(BR$14,TableOpenSpace['#],TableOpenSpace[Unit quantity]),"")</f>
        <v/>
      </c>
      <c r="BT20" s="27"/>
      <c r="BV20" s="233" t="str">
        <f>IF(_xlfn.XLOOKUP(BV$14,TableOpenSpace['#],TableOpenSpace[Unit quantity])&lt;&gt;"",_xlfn.XLOOKUP(BV$14,TableOpenSpace['#],TableOpenSpace[Unit quantity]),"")</f>
        <v/>
      </c>
      <c r="BX20" s="27"/>
      <c r="BZ20" s="233" t="str">
        <f>IF(_xlfn.XLOOKUP(BZ$14,TableOpenSpace['#],TableOpenSpace[Unit quantity])&lt;&gt;"",_xlfn.XLOOKUP(BZ$14,TableOpenSpace['#],TableOpenSpace[Unit quantity]),"")</f>
        <v/>
      </c>
      <c r="CB20" s="27"/>
      <c r="CD20" s="233" t="str">
        <f>IF(_xlfn.XLOOKUP(CD$14,TableOpenSpace['#],TableOpenSpace[Unit quantity])&lt;&gt;"",_xlfn.XLOOKUP(CD$14,TableOpenSpace['#],TableOpenSpace[Unit quantity]),"")</f>
        <v/>
      </c>
      <c r="CF20" s="27"/>
      <c r="CH20" s="233" t="str">
        <f>IF(_xlfn.XLOOKUP(CH$14,TableOpenSpace['#],TableOpenSpace[Unit quantity])&lt;&gt;"",_xlfn.XLOOKUP(CH$14,TableOpenSpace['#],TableOpenSpace[Unit quantity]),"")</f>
        <v/>
      </c>
      <c r="CJ20" s="27"/>
      <c r="CL20" s="233" t="str">
        <f>IF(_xlfn.XLOOKUP(CL$14,TableOpenSpace['#],TableOpenSpace[Unit quantity])&lt;&gt;"",_xlfn.XLOOKUP(CL$14,TableOpenSpace['#],TableOpenSpace[Unit quantity]),"")</f>
        <v/>
      </c>
      <c r="CN20" s="27"/>
      <c r="CP20" s="233" t="str">
        <f>IF(_xlfn.XLOOKUP(CP$14,TableOpenSpace['#],TableOpenSpace[Unit quantity])&lt;&gt;"",_xlfn.XLOOKUP(CP$14,TableOpenSpace['#],TableOpenSpace[Unit quantity]),"")</f>
        <v/>
      </c>
      <c r="CR20" s="27"/>
      <c r="CT20" s="233" t="str">
        <f>IF(_xlfn.XLOOKUP(CT$14,TableOpenSpace['#],TableOpenSpace[Unit quantity])&lt;&gt;"",_xlfn.XLOOKUP(CT$14,TableOpenSpace['#],TableOpenSpace[Unit quantity]),"")</f>
        <v/>
      </c>
      <c r="CV20" s="27"/>
      <c r="CX20" s="233" t="str">
        <f>IF(_xlfn.XLOOKUP(CX$14,TableOpenSpace['#],TableOpenSpace[Unit quantity])&lt;&gt;"",_xlfn.XLOOKUP(CX$14,TableOpenSpace['#],TableOpenSpace[Unit quantity]),"")</f>
        <v/>
      </c>
      <c r="CZ20" s="27"/>
      <c r="DB20" s="233" t="str">
        <f>IF(_xlfn.XLOOKUP(DB$14,TableOpenSpace['#],TableOpenSpace[Unit quantity])&lt;&gt;"",_xlfn.XLOOKUP(DB$14,TableOpenSpace['#],TableOpenSpace[Unit quantity]),"")</f>
        <v/>
      </c>
      <c r="DD20" s="27"/>
      <c r="DF20" s="233" t="str">
        <f>IF(_xlfn.XLOOKUP(DF$14,TableOpenSpace['#],TableOpenSpace[Unit quantity])&lt;&gt;"",_xlfn.XLOOKUP(DF$14,TableOpenSpace['#],TableOpenSpace[Unit quantity]),"")</f>
        <v/>
      </c>
      <c r="DH20" s="27"/>
      <c r="DJ20" s="233" t="str">
        <f>IF(_xlfn.XLOOKUP(DJ$14,TableOpenSpace['#],TableOpenSpace[Unit quantity])&lt;&gt;"",_xlfn.XLOOKUP(DJ$14,TableOpenSpace['#],TableOpenSpace[Unit quantity]),"")</f>
        <v/>
      </c>
      <c r="DL20" s="27"/>
      <c r="DN20" s="233" t="str">
        <f>IF(_xlfn.XLOOKUP(DN$14,TableOpenSpace['#],TableOpenSpace[Unit quantity])&lt;&gt;"",_xlfn.XLOOKUP(DN$14,TableOpenSpace['#],TableOpenSpace[Unit quantity]),"")</f>
        <v/>
      </c>
      <c r="DP20" s="27"/>
      <c r="DR20" s="233" t="str">
        <f>IF(_xlfn.XLOOKUP(DR$14,TableOpenSpace['#],TableOpenSpace[Unit quantity])&lt;&gt;"",_xlfn.XLOOKUP(DR$14,TableOpenSpace['#],TableOpenSpace[Unit quantity]),"")</f>
        <v/>
      </c>
      <c r="DT20" s="27"/>
      <c r="DV20" s="233" t="str">
        <f>IF(_xlfn.XLOOKUP(DV$14,TableOpenSpace['#],TableOpenSpace[Unit quantity])&lt;&gt;"",_xlfn.XLOOKUP(DV$14,TableOpenSpace['#],TableOpenSpace[Unit quantity]),"")</f>
        <v/>
      </c>
      <c r="DX20" s="27"/>
      <c r="DZ20" s="233" t="str">
        <f>IF(_xlfn.XLOOKUP(DZ$14,TableOpenSpace['#],TableOpenSpace[Unit quantity])&lt;&gt;"",_xlfn.XLOOKUP(DZ$14,TableOpenSpace['#],TableOpenSpace[Unit quantity]),"")</f>
        <v/>
      </c>
      <c r="EB20" s="27"/>
      <c r="ED20" s="233" t="str">
        <f>IF(_xlfn.XLOOKUP(ED$14,TableOpenSpace['#],TableOpenSpace[Unit quantity])&lt;&gt;"",_xlfn.XLOOKUP(ED$14,TableOpenSpace['#],TableOpenSpace[Unit quantity]),"")</f>
        <v/>
      </c>
      <c r="EF20" s="27"/>
      <c r="EH20" s="233" t="str">
        <f>IF(_xlfn.XLOOKUP(EH$14,TableOpenSpace['#],TableOpenSpace[Unit quantity])&lt;&gt;"",_xlfn.XLOOKUP(EH$14,TableOpenSpace['#],TableOpenSpace[Unit quantity]),"")</f>
        <v/>
      </c>
      <c r="EJ20" s="27"/>
      <c r="EL20" s="233" t="str">
        <f>IF(_xlfn.XLOOKUP(EL$14,TableOpenSpace['#],TableOpenSpace[Unit quantity])&lt;&gt;"",_xlfn.XLOOKUP(EL$14,TableOpenSpace['#],TableOpenSpace[Unit quantity]),"")</f>
        <v/>
      </c>
      <c r="EN20" s="27"/>
      <c r="EP20" s="233" t="str">
        <f>IF(_xlfn.XLOOKUP(EP$14,TableOpenSpace['#],TableOpenSpace[Unit quantity])&lt;&gt;"",_xlfn.XLOOKUP(EP$14,TableOpenSpace['#],TableOpenSpace[Unit quantity]),"")</f>
        <v/>
      </c>
      <c r="ER20" s="27"/>
      <c r="ET20" s="233" t="str">
        <f>IF(_xlfn.XLOOKUP(ET$14,TableOpenSpace['#],TableOpenSpace[Unit quantity])&lt;&gt;"",_xlfn.XLOOKUP(ET$14,TableOpenSpace['#],TableOpenSpace[Unit quantity]),"")</f>
        <v/>
      </c>
      <c r="EV20" s="27"/>
      <c r="EX20" s="233" t="str">
        <f>IF(_xlfn.XLOOKUP(EX$14,TableOpenSpace['#],TableOpenSpace[Unit quantity])&lt;&gt;"",_xlfn.XLOOKUP(EX$14,TableOpenSpace['#],TableOpenSpace[Unit quantity]),"")</f>
        <v/>
      </c>
      <c r="EZ20" s="27"/>
      <c r="FB20" s="233" t="str">
        <f>IF(_xlfn.XLOOKUP(FB$14,TableOpenSpace['#],TableOpenSpace[Unit quantity])&lt;&gt;"",_xlfn.XLOOKUP(FB$14,TableOpenSpace['#],TableOpenSpace[Unit quantity]),"")</f>
        <v/>
      </c>
      <c r="FD20" s="27"/>
      <c r="FF20" s="233" t="str">
        <f>IF(_xlfn.XLOOKUP(FF$14,TableOpenSpace['#],TableOpenSpace[Unit quantity])&lt;&gt;"",_xlfn.XLOOKUP(FF$14,TableOpenSpace['#],TableOpenSpace[Unit quantity]),"")</f>
        <v/>
      </c>
      <c r="FH20" s="27"/>
      <c r="FJ20" s="233" t="str">
        <f>IF(_xlfn.XLOOKUP(FJ$14,TableOpenSpace['#],TableOpenSpace[Unit quantity])&lt;&gt;"",_xlfn.XLOOKUP(FJ$14,TableOpenSpace['#],TableOpenSpace[Unit quantity]),"")</f>
        <v/>
      </c>
      <c r="FL20" s="27"/>
      <c r="FN20" s="233" t="str">
        <f>IF(_xlfn.XLOOKUP(FN$14,TableOpenSpace['#],TableOpenSpace[Unit quantity])&lt;&gt;"",_xlfn.XLOOKUP(FN$14,TableOpenSpace['#],TableOpenSpace[Unit quantity]),"")</f>
        <v/>
      </c>
      <c r="FP20" s="27"/>
      <c r="FR20" s="233" t="str">
        <f>IF(_xlfn.XLOOKUP(FR$14,TableOpenSpace['#],TableOpenSpace[Unit quantity])&lt;&gt;"",_xlfn.XLOOKUP(FR$14,TableOpenSpace['#],TableOpenSpace[Unit quantity]),"")</f>
        <v/>
      </c>
      <c r="FT20" s="27"/>
      <c r="FV20" s="233" t="str">
        <f>IF(_xlfn.XLOOKUP(FV$14,TableOpenSpace['#],TableOpenSpace[Unit quantity])&lt;&gt;"",_xlfn.XLOOKUP(FV$14,TableOpenSpace['#],TableOpenSpace[Unit quantity]),"")</f>
        <v/>
      </c>
      <c r="FX20" s="27"/>
      <c r="FZ20" s="233" t="str">
        <f>IF(_xlfn.XLOOKUP(FZ$14,TableOpenSpace['#],TableOpenSpace[Unit quantity])&lt;&gt;"",_xlfn.XLOOKUP(FZ$14,TableOpenSpace['#],TableOpenSpace[Unit quantity]),"")</f>
        <v/>
      </c>
      <c r="GB20" s="27"/>
      <c r="GD20" s="233" t="str">
        <f>IF(_xlfn.XLOOKUP(GD$14,TableOpenSpace['#],TableOpenSpace[Unit quantity])&lt;&gt;"",_xlfn.XLOOKUP(GD$14,TableOpenSpace['#],TableOpenSpace[Unit quantity]),"")</f>
        <v/>
      </c>
      <c r="GF20" s="27"/>
      <c r="GH20" s="233" t="str">
        <f>IF(_xlfn.XLOOKUP(GH$14,TableOpenSpace['#],TableOpenSpace[Unit quantity])&lt;&gt;"",_xlfn.XLOOKUP(GH$14,TableOpenSpace['#],TableOpenSpace[Unit quantity]),"")</f>
        <v/>
      </c>
      <c r="GJ20" s="27"/>
      <c r="GL20" s="233" t="str">
        <f>IF(_xlfn.XLOOKUP(GL$14,TableOpenSpace['#],TableOpenSpace[Unit quantity])&lt;&gt;"",_xlfn.XLOOKUP(GL$14,TableOpenSpace['#],TableOpenSpace[Unit quantity]),"")</f>
        <v/>
      </c>
      <c r="GN20" s="27"/>
      <c r="GP20" s="233" t="str">
        <f>IF(_xlfn.XLOOKUP(GP$14,TableOpenSpace['#],TableOpenSpace[Unit quantity])&lt;&gt;"",_xlfn.XLOOKUP(GP$14,TableOpenSpace['#],TableOpenSpace[Unit quantity]),"")</f>
        <v/>
      </c>
      <c r="GR20" s="27"/>
      <c r="GT20" s="233" t="str">
        <f>IF(_xlfn.XLOOKUP(GT$14,TableOpenSpace['#],TableOpenSpace[Unit quantity])&lt;&gt;"",_xlfn.XLOOKUP(GT$14,TableOpenSpace['#],TableOpenSpace[Unit quantity]),"")</f>
        <v/>
      </c>
      <c r="GV20" s="27"/>
    </row>
    <row r="21" spans="4:204" ht="12" x14ac:dyDescent="0.25">
      <c r="D21" t="s">
        <v>149</v>
      </c>
      <c r="H21" s="162" t="str">
        <f>IFERROR(G19*F20,"")</f>
        <v/>
      </c>
      <c r="L21" s="162" t="str">
        <f>IFERROR(K19*J20,"")</f>
        <v/>
      </c>
      <c r="P21" s="162" t="str">
        <f>IFERROR(O19*N20,"")</f>
        <v/>
      </c>
      <c r="T21" s="162" t="str">
        <f>IFERROR(S19*R20,"")</f>
        <v/>
      </c>
      <c r="X21" s="162" t="str">
        <f>IFERROR(W19*V20,"")</f>
        <v/>
      </c>
      <c r="AB21" s="162" t="str">
        <f>IFERROR(AA19*Z20,"")</f>
        <v/>
      </c>
      <c r="AF21" s="162" t="str">
        <f>IFERROR(AE19*AD20,"")</f>
        <v/>
      </c>
      <c r="AJ21" s="162" t="str">
        <f>IFERROR(AI19*AH20,"")</f>
        <v/>
      </c>
      <c r="AN21" s="162" t="str">
        <f>IFERROR(AM19*AL20,"")</f>
        <v/>
      </c>
      <c r="AR21" s="162" t="str">
        <f>IFERROR(AQ19*AP20,"")</f>
        <v/>
      </c>
      <c r="AV21" s="162" t="str">
        <f>IFERROR(AU19*AT20,"")</f>
        <v/>
      </c>
      <c r="AZ21" s="162" t="str">
        <f>IFERROR(AY19*AX20,"")</f>
        <v/>
      </c>
      <c r="BD21" s="162" t="str">
        <f>IFERROR(BC19*BB20,"")</f>
        <v/>
      </c>
      <c r="BH21" s="162" t="str">
        <f>IFERROR(BG19*BF20,"")</f>
        <v/>
      </c>
      <c r="BL21" s="162" t="str">
        <f>IFERROR(BK19*BJ20,"")</f>
        <v/>
      </c>
      <c r="BP21" s="162" t="str">
        <f>IFERROR(BO19*BN20,"")</f>
        <v/>
      </c>
      <c r="BT21" s="162" t="str">
        <f>IFERROR(BS19*BR20,"")</f>
        <v/>
      </c>
      <c r="BX21" s="162" t="str">
        <f>IFERROR(BW19*BV20,"")</f>
        <v/>
      </c>
      <c r="CB21" s="162" t="str">
        <f>IFERROR(CA19*BZ20,"")</f>
        <v/>
      </c>
      <c r="CF21" s="162" t="str">
        <f>IFERROR(CE19*CD20,"")</f>
        <v/>
      </c>
      <c r="CJ21" s="162" t="str">
        <f>IFERROR(CI19*CH20,"")</f>
        <v/>
      </c>
      <c r="CN21" s="162" t="str">
        <f>IFERROR(CM19*CL20,"")</f>
        <v/>
      </c>
      <c r="CR21" s="162" t="str">
        <f>IFERROR(CQ19*CP20,"")</f>
        <v/>
      </c>
      <c r="CV21" s="162" t="str">
        <f>IFERROR(CU19*CT20,"")</f>
        <v/>
      </c>
      <c r="CZ21" s="162" t="str">
        <f>IFERROR(CY19*CX20,"")</f>
        <v/>
      </c>
      <c r="DD21" s="162" t="str">
        <f>IFERROR(DC19*DB20,"")</f>
        <v/>
      </c>
      <c r="DH21" s="162" t="str">
        <f>IFERROR(DG19*DF20,"")</f>
        <v/>
      </c>
      <c r="DL21" s="162" t="str">
        <f>IFERROR(DK19*DJ20,"")</f>
        <v/>
      </c>
      <c r="DP21" s="162" t="str">
        <f>IFERROR(DO19*DN20,"")</f>
        <v/>
      </c>
      <c r="DT21" s="162" t="str">
        <f>IFERROR(DS19*DR20,"")</f>
        <v/>
      </c>
      <c r="DX21" s="162" t="str">
        <f>IFERROR(DW19*DV20,"")</f>
        <v/>
      </c>
      <c r="EB21" s="162" t="str">
        <f>IFERROR(EA19*DZ20,"")</f>
        <v/>
      </c>
      <c r="EF21" s="162" t="str">
        <f>IFERROR(EE19*ED20,"")</f>
        <v/>
      </c>
      <c r="EJ21" s="162" t="str">
        <f>IFERROR(EI19*EH20,"")</f>
        <v/>
      </c>
      <c r="EN21" s="162" t="str">
        <f>IFERROR(EM19*EL20,"")</f>
        <v/>
      </c>
      <c r="ER21" s="162" t="str">
        <f>IFERROR(EQ19*EP20,"")</f>
        <v/>
      </c>
      <c r="EV21" s="162" t="str">
        <f>IFERROR(EU19*ET20,"")</f>
        <v/>
      </c>
      <c r="EZ21" s="162" t="str">
        <f>IFERROR(EY19*EX20,"")</f>
        <v/>
      </c>
      <c r="FD21" s="162" t="str">
        <f>IFERROR(FC19*FB20,"")</f>
        <v/>
      </c>
      <c r="FH21" s="162" t="str">
        <f>IFERROR(FG19*FF20,"")</f>
        <v/>
      </c>
      <c r="FL21" s="162" t="str">
        <f>IFERROR(FK19*FJ20,"")</f>
        <v/>
      </c>
      <c r="FP21" s="162" t="str">
        <f>IFERROR(FO19*FN20,"")</f>
        <v/>
      </c>
      <c r="FT21" s="162" t="str">
        <f>IFERROR(FS19*FR20,"")</f>
        <v/>
      </c>
      <c r="FX21" s="162" t="str">
        <f>IFERROR(FW19*FV20,"")</f>
        <v/>
      </c>
      <c r="GB21" s="162" t="str">
        <f>IFERROR(GA19*FZ20,"")</f>
        <v/>
      </c>
      <c r="GF21" s="162" t="str">
        <f>IFERROR(GE19*GD20,"")</f>
        <v/>
      </c>
      <c r="GJ21" s="162" t="str">
        <f>IFERROR(GI19*GH20,"")</f>
        <v/>
      </c>
      <c r="GN21" s="162" t="str">
        <f>IFERROR(GM19*GL20,"")</f>
        <v/>
      </c>
      <c r="GR21" s="162" t="str">
        <f>IFERROR(GQ19*GP20,"")</f>
        <v/>
      </c>
      <c r="GV21" s="162" t="str">
        <f>IFERROR(GU19*GT20,"")</f>
        <v/>
      </c>
    </row>
    <row r="22" spans="4:204" x14ac:dyDescent="0.2">
      <c r="D22" t="s">
        <v>150</v>
      </c>
      <c r="F22" s="232" t="str">
        <f>IF(_xlfn.XLOOKUP(F$14,TableOpenSpace['#],TableOpenSpace[Location])&lt;&gt;"",_xlfn.XLOOKUP(F$14,TableOpenSpace['#],TableOpenSpace[Location]),"")</f>
        <v/>
      </c>
      <c r="G22" s="149" t="str">
        <f>IFERROR(_xlfn.XLOOKUP(F22,'Rawlinsons regional indices'!$A$2:$A$63,'Rawlinsons regional indices'!$C$2:$C$63),"")</f>
        <v/>
      </c>
      <c r="H22" s="168" t="str">
        <f>IFERROR(H$21*G22,"")</f>
        <v/>
      </c>
      <c r="J22" s="232" t="str">
        <f>IF(_xlfn.XLOOKUP(J$14,TableOpenSpace['#],TableOpenSpace[Location])&lt;&gt;"",_xlfn.XLOOKUP(J$14,TableOpenSpace['#],TableOpenSpace[Location]),"")</f>
        <v/>
      </c>
      <c r="K22" s="149" t="str">
        <f>IFERROR(_xlfn.XLOOKUP(J22,'Rawlinsons regional indices'!$A$2:$A$63,'Rawlinsons regional indices'!$C$2:$C$63),"")</f>
        <v/>
      </c>
      <c r="L22" s="168" t="str">
        <f>IFERROR(L$21*K22,"")</f>
        <v/>
      </c>
      <c r="N22" s="232" t="str">
        <f>IF(_xlfn.XLOOKUP(N$14,TableOpenSpace['#],TableOpenSpace[Location])&lt;&gt;"",_xlfn.XLOOKUP(N$14,TableOpenSpace['#],TableOpenSpace[Location]),"")</f>
        <v/>
      </c>
      <c r="O22" s="149" t="str">
        <f>IFERROR(_xlfn.XLOOKUP(N22,'Rawlinsons regional indices'!$A$2:$A$63,'Rawlinsons regional indices'!$C$2:$C$63),"")</f>
        <v/>
      </c>
      <c r="P22" s="168" t="str">
        <f>IFERROR(P$21*O22,"")</f>
        <v/>
      </c>
      <c r="R22" s="232" t="str">
        <f>IF(_xlfn.XLOOKUP(R$14,TableOpenSpace['#],TableOpenSpace[Location])&lt;&gt;"",_xlfn.XLOOKUP(R$14,TableOpenSpace['#],TableOpenSpace[Location]),"")</f>
        <v/>
      </c>
      <c r="S22" s="149" t="str">
        <f>IFERROR(_xlfn.XLOOKUP(R22,'Rawlinsons regional indices'!$A$2:$A$63,'Rawlinsons regional indices'!$C$2:$C$63),"")</f>
        <v/>
      </c>
      <c r="T22" s="168" t="str">
        <f>IFERROR(T$21*S22,"")</f>
        <v/>
      </c>
      <c r="V22" s="232" t="str">
        <f>IF(_xlfn.XLOOKUP(V$14,TableOpenSpace['#],TableOpenSpace[Location])&lt;&gt;"",_xlfn.XLOOKUP(V$14,TableOpenSpace['#],TableOpenSpace[Location]),"")</f>
        <v/>
      </c>
      <c r="W22" s="149" t="str">
        <f>IFERROR(_xlfn.XLOOKUP(V22,'Rawlinsons regional indices'!$A$2:$A$63,'Rawlinsons regional indices'!$C$2:$C$63),"")</f>
        <v/>
      </c>
      <c r="X22" s="168" t="str">
        <f>IFERROR(X$21*W22,"")</f>
        <v/>
      </c>
      <c r="Z22" s="232" t="str">
        <f>IF(_xlfn.XLOOKUP(Z$14,TableOpenSpace['#],TableOpenSpace[Location])&lt;&gt;"",_xlfn.XLOOKUP(Z$14,TableOpenSpace['#],TableOpenSpace[Location]),"")</f>
        <v/>
      </c>
      <c r="AA22" s="149" t="str">
        <f>IFERROR(_xlfn.XLOOKUP(Z22,'Rawlinsons regional indices'!$A$2:$A$63,'Rawlinsons regional indices'!$C$2:$C$63),"")</f>
        <v/>
      </c>
      <c r="AB22" s="168" t="str">
        <f>IFERROR(AB$21*AA22,"")</f>
        <v/>
      </c>
      <c r="AD22" s="232" t="str">
        <f>IF(_xlfn.XLOOKUP(AD$14,TableOpenSpace['#],TableOpenSpace[Location])&lt;&gt;"",_xlfn.XLOOKUP(AD$14,TableOpenSpace['#],TableOpenSpace[Location]),"")</f>
        <v/>
      </c>
      <c r="AE22" s="149" t="str">
        <f>IFERROR(_xlfn.XLOOKUP(AD22,'Rawlinsons regional indices'!$A$2:$A$63,'Rawlinsons regional indices'!$C$2:$C$63),"")</f>
        <v/>
      </c>
      <c r="AF22" s="168" t="str">
        <f>IFERROR(AF$21*AE22,"")</f>
        <v/>
      </c>
      <c r="AH22" s="232" t="str">
        <f>IF(_xlfn.XLOOKUP(AH$14,TableOpenSpace['#],TableOpenSpace[Location])&lt;&gt;"",_xlfn.XLOOKUP(AH$14,TableOpenSpace['#],TableOpenSpace[Location]),"")</f>
        <v/>
      </c>
      <c r="AI22" s="149" t="str">
        <f>IFERROR(_xlfn.XLOOKUP(AH22,'Rawlinsons regional indices'!$A$2:$A$63,'Rawlinsons regional indices'!$C$2:$C$63),"")</f>
        <v/>
      </c>
      <c r="AJ22" s="168" t="str">
        <f>IFERROR(AJ$21*AI22,"")</f>
        <v/>
      </c>
      <c r="AL22" s="232" t="str">
        <f>IF(_xlfn.XLOOKUP(AL$14,TableOpenSpace['#],TableOpenSpace[Location])&lt;&gt;"",_xlfn.XLOOKUP(AL$14,TableOpenSpace['#],TableOpenSpace[Location]),"")</f>
        <v/>
      </c>
      <c r="AM22" s="149" t="str">
        <f>IFERROR(_xlfn.XLOOKUP(AL22,'Rawlinsons regional indices'!$A$2:$A$63,'Rawlinsons regional indices'!$C$2:$C$63),"")</f>
        <v/>
      </c>
      <c r="AN22" s="168" t="str">
        <f>IFERROR(AN$21*AM22,"")</f>
        <v/>
      </c>
      <c r="AP22" s="232" t="str">
        <f>IF(_xlfn.XLOOKUP(AP$14,TableOpenSpace['#],TableOpenSpace[Location])&lt;&gt;"",_xlfn.XLOOKUP(AP$14,TableOpenSpace['#],TableOpenSpace[Location]),"")</f>
        <v/>
      </c>
      <c r="AQ22" s="149" t="str">
        <f>IFERROR(_xlfn.XLOOKUP(AP22,'Rawlinsons regional indices'!$A$2:$A$63,'Rawlinsons regional indices'!$C$2:$C$63),"")</f>
        <v/>
      </c>
      <c r="AR22" s="168" t="str">
        <f>IFERROR(AR$21*AQ22,"")</f>
        <v/>
      </c>
      <c r="AT22" s="232" t="str">
        <f>IF(_xlfn.XLOOKUP(AT$14,TableOpenSpace['#],TableOpenSpace[Location])&lt;&gt;"",_xlfn.XLOOKUP(AT$14,TableOpenSpace['#],TableOpenSpace[Location]),"")</f>
        <v/>
      </c>
      <c r="AU22" s="149" t="str">
        <f>IFERROR(_xlfn.XLOOKUP(AT22,'Rawlinsons regional indices'!$A$2:$A$63,'Rawlinsons regional indices'!$C$2:$C$63),"")</f>
        <v/>
      </c>
      <c r="AV22" s="168" t="str">
        <f>IFERROR(AV$21*AU22,"")</f>
        <v/>
      </c>
      <c r="AX22" s="232" t="str">
        <f>IF(_xlfn.XLOOKUP(AX$14,TableOpenSpace['#],TableOpenSpace[Location])&lt;&gt;"",_xlfn.XLOOKUP(AX$14,TableOpenSpace['#],TableOpenSpace[Location]),"")</f>
        <v/>
      </c>
      <c r="AY22" s="149" t="str">
        <f>IFERROR(_xlfn.XLOOKUP(AX22,'Rawlinsons regional indices'!$A$2:$A$63,'Rawlinsons regional indices'!$C$2:$C$63),"")</f>
        <v/>
      </c>
      <c r="AZ22" s="168" t="str">
        <f>IFERROR(AZ$21*AY22,"")</f>
        <v/>
      </c>
      <c r="BB22" s="232" t="str">
        <f>IF(_xlfn.XLOOKUP(BB$14,TableOpenSpace['#],TableOpenSpace[Location])&lt;&gt;"",_xlfn.XLOOKUP(BB$14,TableOpenSpace['#],TableOpenSpace[Location]),"")</f>
        <v/>
      </c>
      <c r="BC22" s="149" t="str">
        <f>IFERROR(_xlfn.XLOOKUP(BB22,'Rawlinsons regional indices'!$A$2:$A$63,'Rawlinsons regional indices'!$C$2:$C$63),"")</f>
        <v/>
      </c>
      <c r="BD22" s="168" t="str">
        <f>IFERROR(BD$21*BC22,"")</f>
        <v/>
      </c>
      <c r="BF22" s="232" t="str">
        <f>IF(_xlfn.XLOOKUP(BF$14,TableOpenSpace['#],TableOpenSpace[Location])&lt;&gt;"",_xlfn.XLOOKUP(BF$14,TableOpenSpace['#],TableOpenSpace[Location]),"")</f>
        <v/>
      </c>
      <c r="BG22" s="149" t="str">
        <f>IFERROR(_xlfn.XLOOKUP(BF22,'Rawlinsons regional indices'!$A$2:$A$63,'Rawlinsons regional indices'!$C$2:$C$63),"")</f>
        <v/>
      </c>
      <c r="BH22" s="168" t="str">
        <f>IFERROR(BH$21*BG22,"")</f>
        <v/>
      </c>
      <c r="BJ22" s="232" t="str">
        <f>IF(_xlfn.XLOOKUP(BJ$14,TableOpenSpace['#],TableOpenSpace[Location])&lt;&gt;"",_xlfn.XLOOKUP(BJ$14,TableOpenSpace['#],TableOpenSpace[Location]),"")</f>
        <v/>
      </c>
      <c r="BK22" s="149" t="str">
        <f>IFERROR(_xlfn.XLOOKUP(BJ22,'Rawlinsons regional indices'!$A$2:$A$63,'Rawlinsons regional indices'!$C$2:$C$63),"")</f>
        <v/>
      </c>
      <c r="BL22" s="168" t="str">
        <f>IFERROR(BL$21*BK22,"")</f>
        <v/>
      </c>
      <c r="BN22" s="232" t="str">
        <f>IF(_xlfn.XLOOKUP(BN$14,TableOpenSpace['#],TableOpenSpace[Location])&lt;&gt;"",_xlfn.XLOOKUP(BN$14,TableOpenSpace['#],TableOpenSpace[Location]),"")</f>
        <v/>
      </c>
      <c r="BO22" s="149" t="str">
        <f>IFERROR(_xlfn.XLOOKUP(BN22,'Rawlinsons regional indices'!$A$2:$A$63,'Rawlinsons regional indices'!$C$2:$C$63),"")</f>
        <v/>
      </c>
      <c r="BP22" s="168" t="str">
        <f>IFERROR(BP$21*BO22,"")</f>
        <v/>
      </c>
      <c r="BR22" s="232" t="str">
        <f>IF(_xlfn.XLOOKUP(BR$14,TableOpenSpace['#],TableOpenSpace[Location])&lt;&gt;"",_xlfn.XLOOKUP(BR$14,TableOpenSpace['#],TableOpenSpace[Location]),"")</f>
        <v/>
      </c>
      <c r="BS22" s="149" t="str">
        <f>IFERROR(_xlfn.XLOOKUP(BR22,'Rawlinsons regional indices'!$A$2:$A$63,'Rawlinsons regional indices'!$C$2:$C$63),"")</f>
        <v/>
      </c>
      <c r="BT22" s="168" t="str">
        <f>IFERROR(BT$21*BS22,"")</f>
        <v/>
      </c>
      <c r="BV22" s="232" t="str">
        <f>IF(_xlfn.XLOOKUP(BV$14,TableOpenSpace['#],TableOpenSpace[Location])&lt;&gt;"",_xlfn.XLOOKUP(BV$14,TableOpenSpace['#],TableOpenSpace[Location]),"")</f>
        <v/>
      </c>
      <c r="BW22" s="149" t="str">
        <f>IFERROR(_xlfn.XLOOKUP(BV22,'Rawlinsons regional indices'!$A$2:$A$63,'Rawlinsons regional indices'!$C$2:$C$63),"")</f>
        <v/>
      </c>
      <c r="BX22" s="168" t="str">
        <f>IFERROR(BX$21*BW22,"")</f>
        <v/>
      </c>
      <c r="BZ22" s="232" t="str">
        <f>IF(_xlfn.XLOOKUP(BZ$14,TableOpenSpace['#],TableOpenSpace[Location])&lt;&gt;"",_xlfn.XLOOKUP(BZ$14,TableOpenSpace['#],TableOpenSpace[Location]),"")</f>
        <v/>
      </c>
      <c r="CA22" s="149" t="str">
        <f>IFERROR(_xlfn.XLOOKUP(BZ22,'Rawlinsons regional indices'!$A$2:$A$63,'Rawlinsons regional indices'!$C$2:$C$63),"")</f>
        <v/>
      </c>
      <c r="CB22" s="168" t="str">
        <f>IFERROR(CB$21*CA22,"")</f>
        <v/>
      </c>
      <c r="CD22" s="232" t="str">
        <f>IF(_xlfn.XLOOKUP(CD$14,TableOpenSpace['#],TableOpenSpace[Location])&lt;&gt;"",_xlfn.XLOOKUP(CD$14,TableOpenSpace['#],TableOpenSpace[Location]),"")</f>
        <v/>
      </c>
      <c r="CE22" s="149" t="str">
        <f>IFERROR(_xlfn.XLOOKUP(CD22,'Rawlinsons regional indices'!$A$2:$A$63,'Rawlinsons regional indices'!$C$2:$C$63),"")</f>
        <v/>
      </c>
      <c r="CF22" s="168" t="str">
        <f>IFERROR(CF$21*CE22,"")</f>
        <v/>
      </c>
      <c r="CH22" s="232" t="str">
        <f>IF(_xlfn.XLOOKUP(CH$14,TableOpenSpace['#],TableOpenSpace[Location])&lt;&gt;"",_xlfn.XLOOKUP(CH$14,TableOpenSpace['#],TableOpenSpace[Location]),"")</f>
        <v/>
      </c>
      <c r="CI22" s="149" t="str">
        <f>IFERROR(_xlfn.XLOOKUP(CH22,'Rawlinsons regional indices'!$A$2:$A$63,'Rawlinsons regional indices'!$C$2:$C$63),"")</f>
        <v/>
      </c>
      <c r="CJ22" s="168" t="str">
        <f>IFERROR(CJ$21*CI22,"")</f>
        <v/>
      </c>
      <c r="CL22" s="232" t="str">
        <f>IF(_xlfn.XLOOKUP(CL$14,TableOpenSpace['#],TableOpenSpace[Location])&lt;&gt;"",_xlfn.XLOOKUP(CL$14,TableOpenSpace['#],TableOpenSpace[Location]),"")</f>
        <v/>
      </c>
      <c r="CM22" s="149" t="str">
        <f>IFERROR(_xlfn.XLOOKUP(CL22,'Rawlinsons regional indices'!$A$2:$A$63,'Rawlinsons regional indices'!$C$2:$C$63),"")</f>
        <v/>
      </c>
      <c r="CN22" s="168" t="str">
        <f>IFERROR(CN$21*CM22,"")</f>
        <v/>
      </c>
      <c r="CP22" s="232" t="str">
        <f>IF(_xlfn.XLOOKUP(CP$14,TableOpenSpace['#],TableOpenSpace[Location])&lt;&gt;"",_xlfn.XLOOKUP(CP$14,TableOpenSpace['#],TableOpenSpace[Location]),"")</f>
        <v/>
      </c>
      <c r="CQ22" s="149" t="str">
        <f>IFERROR(_xlfn.XLOOKUP(CP22,'Rawlinsons regional indices'!$A$2:$A$63,'Rawlinsons regional indices'!$C$2:$C$63),"")</f>
        <v/>
      </c>
      <c r="CR22" s="168" t="str">
        <f>IFERROR(CR$21*CQ22,"")</f>
        <v/>
      </c>
      <c r="CT22" s="232" t="str">
        <f>IF(_xlfn.XLOOKUP(CT$14,TableOpenSpace['#],TableOpenSpace[Location])&lt;&gt;"",_xlfn.XLOOKUP(CT$14,TableOpenSpace['#],TableOpenSpace[Location]),"")</f>
        <v/>
      </c>
      <c r="CU22" s="149" t="str">
        <f>IFERROR(_xlfn.XLOOKUP(CT22,'Rawlinsons regional indices'!$A$2:$A$63,'Rawlinsons regional indices'!$C$2:$C$63),"")</f>
        <v/>
      </c>
      <c r="CV22" s="168" t="str">
        <f>IFERROR(CV$21*CU22,"")</f>
        <v/>
      </c>
      <c r="CX22" s="232" t="str">
        <f>IF(_xlfn.XLOOKUP(CX$14,TableOpenSpace['#],TableOpenSpace[Location])&lt;&gt;"",_xlfn.XLOOKUP(CX$14,TableOpenSpace['#],TableOpenSpace[Location]),"")</f>
        <v/>
      </c>
      <c r="CY22" s="149" t="str">
        <f>IFERROR(_xlfn.XLOOKUP(CX22,'Rawlinsons regional indices'!$A$2:$A$63,'Rawlinsons regional indices'!$C$2:$C$63),"")</f>
        <v/>
      </c>
      <c r="CZ22" s="168" t="str">
        <f>IFERROR(CZ$21*CY22,"")</f>
        <v/>
      </c>
      <c r="DB22" s="232" t="str">
        <f>IF(_xlfn.XLOOKUP(DB$14,TableOpenSpace['#],TableOpenSpace[Location])&lt;&gt;"",_xlfn.XLOOKUP(DB$14,TableOpenSpace['#],TableOpenSpace[Location]),"")</f>
        <v/>
      </c>
      <c r="DC22" s="149" t="str">
        <f>IFERROR(_xlfn.XLOOKUP(DB22,'Rawlinsons regional indices'!$A$2:$A$63,'Rawlinsons regional indices'!$C$2:$C$63),"")</f>
        <v/>
      </c>
      <c r="DD22" s="168" t="str">
        <f>IFERROR(DD$21*DC22,"")</f>
        <v/>
      </c>
      <c r="DF22" s="232" t="str">
        <f>IF(_xlfn.XLOOKUP(DF$14,TableOpenSpace['#],TableOpenSpace[Location])&lt;&gt;"",_xlfn.XLOOKUP(DF$14,TableOpenSpace['#],TableOpenSpace[Location]),"")</f>
        <v/>
      </c>
      <c r="DG22" s="149" t="str">
        <f>IFERROR(_xlfn.XLOOKUP(DF22,'Rawlinsons regional indices'!$A$2:$A$63,'Rawlinsons regional indices'!$C$2:$C$63),"")</f>
        <v/>
      </c>
      <c r="DH22" s="168" t="str">
        <f>IFERROR(DH$21*DG22,"")</f>
        <v/>
      </c>
      <c r="DJ22" s="232" t="str">
        <f>IF(_xlfn.XLOOKUP(DJ$14,TableOpenSpace['#],TableOpenSpace[Location])&lt;&gt;"",_xlfn.XLOOKUP(DJ$14,TableOpenSpace['#],TableOpenSpace[Location]),"")</f>
        <v/>
      </c>
      <c r="DK22" s="149" t="str">
        <f>IFERROR(_xlfn.XLOOKUP(DJ22,'Rawlinsons regional indices'!$A$2:$A$63,'Rawlinsons regional indices'!$C$2:$C$63),"")</f>
        <v/>
      </c>
      <c r="DL22" s="168" t="str">
        <f>IFERROR(DL$21*DK22,"")</f>
        <v/>
      </c>
      <c r="DN22" s="232" t="str">
        <f>IF(_xlfn.XLOOKUP(DN$14,TableOpenSpace['#],TableOpenSpace[Location])&lt;&gt;"",_xlfn.XLOOKUP(DN$14,TableOpenSpace['#],TableOpenSpace[Location]),"")</f>
        <v/>
      </c>
      <c r="DO22" s="149" t="str">
        <f>IFERROR(_xlfn.XLOOKUP(DN22,'Rawlinsons regional indices'!$A$2:$A$63,'Rawlinsons regional indices'!$C$2:$C$63),"")</f>
        <v/>
      </c>
      <c r="DP22" s="168" t="str">
        <f>IFERROR(DP$21*DO22,"")</f>
        <v/>
      </c>
      <c r="DR22" s="232" t="str">
        <f>IF(_xlfn.XLOOKUP(DR$14,TableOpenSpace['#],TableOpenSpace[Location])&lt;&gt;"",_xlfn.XLOOKUP(DR$14,TableOpenSpace['#],TableOpenSpace[Location]),"")</f>
        <v/>
      </c>
      <c r="DS22" s="149" t="str">
        <f>IFERROR(_xlfn.XLOOKUP(DR22,'Rawlinsons regional indices'!$A$2:$A$63,'Rawlinsons regional indices'!$C$2:$C$63),"")</f>
        <v/>
      </c>
      <c r="DT22" s="168" t="str">
        <f>IFERROR(DT$21*DS22,"")</f>
        <v/>
      </c>
      <c r="DV22" s="232" t="str">
        <f>IF(_xlfn.XLOOKUP(DV$14,TableOpenSpace['#],TableOpenSpace[Location])&lt;&gt;"",_xlfn.XLOOKUP(DV$14,TableOpenSpace['#],TableOpenSpace[Location]),"")</f>
        <v/>
      </c>
      <c r="DW22" s="149" t="str">
        <f>IFERROR(_xlfn.XLOOKUP(DV22,'Rawlinsons regional indices'!$A$2:$A$63,'Rawlinsons regional indices'!$C$2:$C$63),"")</f>
        <v/>
      </c>
      <c r="DX22" s="168" t="str">
        <f>IFERROR(DX$21*DW22,"")</f>
        <v/>
      </c>
      <c r="DZ22" s="232" t="str">
        <f>IF(_xlfn.XLOOKUP(DZ$14,TableOpenSpace['#],TableOpenSpace[Location])&lt;&gt;"",_xlfn.XLOOKUP(DZ$14,TableOpenSpace['#],TableOpenSpace[Location]),"")</f>
        <v/>
      </c>
      <c r="EA22" s="149" t="str">
        <f>IFERROR(_xlfn.XLOOKUP(DZ22,'Rawlinsons regional indices'!$A$2:$A$63,'Rawlinsons regional indices'!$C$2:$C$63),"")</f>
        <v/>
      </c>
      <c r="EB22" s="168" t="str">
        <f>IFERROR(EB$21*EA22,"")</f>
        <v/>
      </c>
      <c r="ED22" s="232" t="str">
        <f>IF(_xlfn.XLOOKUP(ED$14,TableOpenSpace['#],TableOpenSpace[Location])&lt;&gt;"",_xlfn.XLOOKUP(ED$14,TableOpenSpace['#],TableOpenSpace[Location]),"")</f>
        <v/>
      </c>
      <c r="EE22" s="149" t="str">
        <f>IFERROR(_xlfn.XLOOKUP(ED22,'Rawlinsons regional indices'!$A$2:$A$63,'Rawlinsons regional indices'!$C$2:$C$63),"")</f>
        <v/>
      </c>
      <c r="EF22" s="168" t="str">
        <f>IFERROR(EF$21*EE22,"")</f>
        <v/>
      </c>
      <c r="EH22" s="232" t="str">
        <f>IF(_xlfn.XLOOKUP(EH$14,TableOpenSpace['#],TableOpenSpace[Location])&lt;&gt;"",_xlfn.XLOOKUP(EH$14,TableOpenSpace['#],TableOpenSpace[Location]),"")</f>
        <v/>
      </c>
      <c r="EI22" s="149" t="str">
        <f>IFERROR(_xlfn.XLOOKUP(EH22,'Rawlinsons regional indices'!$A$2:$A$63,'Rawlinsons regional indices'!$C$2:$C$63),"")</f>
        <v/>
      </c>
      <c r="EJ22" s="168" t="str">
        <f>IFERROR(EJ$21*EI22,"")</f>
        <v/>
      </c>
      <c r="EL22" s="232" t="str">
        <f>IF(_xlfn.XLOOKUP(EL$14,TableOpenSpace['#],TableOpenSpace[Location])&lt;&gt;"",_xlfn.XLOOKUP(EL$14,TableOpenSpace['#],TableOpenSpace[Location]),"")</f>
        <v/>
      </c>
      <c r="EM22" s="149" t="str">
        <f>IFERROR(_xlfn.XLOOKUP(EL22,'Rawlinsons regional indices'!$A$2:$A$63,'Rawlinsons regional indices'!$C$2:$C$63),"")</f>
        <v/>
      </c>
      <c r="EN22" s="168" t="str">
        <f>IFERROR(EN$21*EM22,"")</f>
        <v/>
      </c>
      <c r="EP22" s="232" t="str">
        <f>IF(_xlfn.XLOOKUP(EP$14,TableOpenSpace['#],TableOpenSpace[Location])&lt;&gt;"",_xlfn.XLOOKUP(EP$14,TableOpenSpace['#],TableOpenSpace[Location]),"")</f>
        <v/>
      </c>
      <c r="EQ22" s="149" t="str">
        <f>IFERROR(_xlfn.XLOOKUP(EP22,'Rawlinsons regional indices'!$A$2:$A$63,'Rawlinsons regional indices'!$C$2:$C$63),"")</f>
        <v/>
      </c>
      <c r="ER22" s="168" t="str">
        <f>IFERROR(ER$21*EQ22,"")</f>
        <v/>
      </c>
      <c r="ET22" s="232" t="str">
        <f>IF(_xlfn.XLOOKUP(ET$14,TableOpenSpace['#],TableOpenSpace[Location])&lt;&gt;"",_xlfn.XLOOKUP(ET$14,TableOpenSpace['#],TableOpenSpace[Location]),"")</f>
        <v/>
      </c>
      <c r="EU22" s="149" t="str">
        <f>IFERROR(_xlfn.XLOOKUP(ET22,'Rawlinsons regional indices'!$A$2:$A$63,'Rawlinsons regional indices'!$C$2:$C$63),"")</f>
        <v/>
      </c>
      <c r="EV22" s="168" t="str">
        <f>IFERROR(EV$21*EU22,"")</f>
        <v/>
      </c>
      <c r="EX22" s="232" t="str">
        <f>IF(_xlfn.XLOOKUP(EX$14,TableOpenSpace['#],TableOpenSpace[Location])&lt;&gt;"",_xlfn.XLOOKUP(EX$14,TableOpenSpace['#],TableOpenSpace[Location]),"")</f>
        <v/>
      </c>
      <c r="EY22" s="149" t="str">
        <f>IFERROR(_xlfn.XLOOKUP(EX22,'Rawlinsons regional indices'!$A$2:$A$63,'Rawlinsons regional indices'!$C$2:$C$63),"")</f>
        <v/>
      </c>
      <c r="EZ22" s="168" t="str">
        <f>IFERROR(EZ$21*EY22,"")</f>
        <v/>
      </c>
      <c r="FB22" s="232" t="str">
        <f>IF(_xlfn.XLOOKUP(FB$14,TableOpenSpace['#],TableOpenSpace[Location])&lt;&gt;"",_xlfn.XLOOKUP(FB$14,TableOpenSpace['#],TableOpenSpace[Location]),"")</f>
        <v/>
      </c>
      <c r="FC22" s="149" t="str">
        <f>IFERROR(_xlfn.XLOOKUP(FB22,'Rawlinsons regional indices'!$A$2:$A$63,'Rawlinsons regional indices'!$C$2:$C$63),"")</f>
        <v/>
      </c>
      <c r="FD22" s="168" t="str">
        <f>IFERROR(FD$21*FC22,"")</f>
        <v/>
      </c>
      <c r="FF22" s="232" t="str">
        <f>IF(_xlfn.XLOOKUP(FF$14,TableOpenSpace['#],TableOpenSpace[Location])&lt;&gt;"",_xlfn.XLOOKUP(FF$14,TableOpenSpace['#],TableOpenSpace[Location]),"")</f>
        <v/>
      </c>
      <c r="FG22" s="149" t="str">
        <f>IFERROR(_xlfn.XLOOKUP(FF22,'Rawlinsons regional indices'!$A$2:$A$63,'Rawlinsons regional indices'!$C$2:$C$63),"")</f>
        <v/>
      </c>
      <c r="FH22" s="168" t="str">
        <f>IFERROR(FH$21*FG22,"")</f>
        <v/>
      </c>
      <c r="FJ22" s="232" t="str">
        <f>IF(_xlfn.XLOOKUP(FJ$14,TableOpenSpace['#],TableOpenSpace[Location])&lt;&gt;"",_xlfn.XLOOKUP(FJ$14,TableOpenSpace['#],TableOpenSpace[Location]),"")</f>
        <v/>
      </c>
      <c r="FK22" s="149" t="str">
        <f>IFERROR(_xlfn.XLOOKUP(FJ22,'Rawlinsons regional indices'!$A$2:$A$63,'Rawlinsons regional indices'!$C$2:$C$63),"")</f>
        <v/>
      </c>
      <c r="FL22" s="168" t="str">
        <f>IFERROR(FL$21*FK22,"")</f>
        <v/>
      </c>
      <c r="FN22" s="232" t="str">
        <f>IF(_xlfn.XLOOKUP(FN$14,TableOpenSpace['#],TableOpenSpace[Location])&lt;&gt;"",_xlfn.XLOOKUP(FN$14,TableOpenSpace['#],TableOpenSpace[Location]),"")</f>
        <v/>
      </c>
      <c r="FO22" s="149" t="str">
        <f>IFERROR(_xlfn.XLOOKUP(FN22,'Rawlinsons regional indices'!$A$2:$A$63,'Rawlinsons regional indices'!$C$2:$C$63),"")</f>
        <v/>
      </c>
      <c r="FP22" s="168" t="str">
        <f>IFERROR(FP$21*FO22,"")</f>
        <v/>
      </c>
      <c r="FR22" s="232" t="str">
        <f>IF(_xlfn.XLOOKUP(FR$14,TableOpenSpace['#],TableOpenSpace[Location])&lt;&gt;"",_xlfn.XLOOKUP(FR$14,TableOpenSpace['#],TableOpenSpace[Location]),"")</f>
        <v/>
      </c>
      <c r="FS22" s="149" t="str">
        <f>IFERROR(_xlfn.XLOOKUP(FR22,'Rawlinsons regional indices'!$A$2:$A$63,'Rawlinsons regional indices'!$C$2:$C$63),"")</f>
        <v/>
      </c>
      <c r="FT22" s="168" t="str">
        <f>IFERROR(FT$21*FS22,"")</f>
        <v/>
      </c>
      <c r="FV22" s="232" t="str">
        <f>IF(_xlfn.XLOOKUP(FV$14,TableOpenSpace['#],TableOpenSpace[Location])&lt;&gt;"",_xlfn.XLOOKUP(FV$14,TableOpenSpace['#],TableOpenSpace[Location]),"")</f>
        <v/>
      </c>
      <c r="FW22" s="149" t="str">
        <f>IFERROR(_xlfn.XLOOKUP(FV22,'Rawlinsons regional indices'!$A$2:$A$63,'Rawlinsons regional indices'!$C$2:$C$63),"")</f>
        <v/>
      </c>
      <c r="FX22" s="168" t="str">
        <f>IFERROR(FX$21*FW22,"")</f>
        <v/>
      </c>
      <c r="FZ22" s="232" t="str">
        <f>IF(_xlfn.XLOOKUP(FZ$14,TableOpenSpace['#],TableOpenSpace[Location])&lt;&gt;"",_xlfn.XLOOKUP(FZ$14,TableOpenSpace['#],TableOpenSpace[Location]),"")</f>
        <v/>
      </c>
      <c r="GA22" s="149" t="str">
        <f>IFERROR(_xlfn.XLOOKUP(FZ22,'Rawlinsons regional indices'!$A$2:$A$63,'Rawlinsons regional indices'!$C$2:$C$63),"")</f>
        <v/>
      </c>
      <c r="GB22" s="168" t="str">
        <f>IFERROR(GB$21*GA22,"")</f>
        <v/>
      </c>
      <c r="GD22" s="232" t="str">
        <f>IF(_xlfn.XLOOKUP(GD$14,TableOpenSpace['#],TableOpenSpace[Location])&lt;&gt;"",_xlfn.XLOOKUP(GD$14,TableOpenSpace['#],TableOpenSpace[Location]),"")</f>
        <v/>
      </c>
      <c r="GE22" s="149" t="str">
        <f>IFERROR(_xlfn.XLOOKUP(GD22,'Rawlinsons regional indices'!$A$2:$A$63,'Rawlinsons regional indices'!$C$2:$C$63),"")</f>
        <v/>
      </c>
      <c r="GF22" s="168" t="str">
        <f>IFERROR(GF$21*GE22,"")</f>
        <v/>
      </c>
      <c r="GH22" s="232" t="str">
        <f>IF(_xlfn.XLOOKUP(GH$14,TableOpenSpace['#],TableOpenSpace[Location])&lt;&gt;"",_xlfn.XLOOKUP(GH$14,TableOpenSpace['#],TableOpenSpace[Location]),"")</f>
        <v/>
      </c>
      <c r="GI22" s="149" t="str">
        <f>IFERROR(_xlfn.XLOOKUP(GH22,'Rawlinsons regional indices'!$A$2:$A$63,'Rawlinsons regional indices'!$C$2:$C$63),"")</f>
        <v/>
      </c>
      <c r="GJ22" s="168" t="str">
        <f>IFERROR(GJ$21*GI22,"")</f>
        <v/>
      </c>
      <c r="GL22" s="232" t="str">
        <f>IF(_xlfn.XLOOKUP(GL$14,TableOpenSpace['#],TableOpenSpace[Location])&lt;&gt;"",_xlfn.XLOOKUP(GL$14,TableOpenSpace['#],TableOpenSpace[Location]),"")</f>
        <v/>
      </c>
      <c r="GM22" s="149" t="str">
        <f>IFERROR(_xlfn.XLOOKUP(GL22,'Rawlinsons regional indices'!$A$2:$A$63,'Rawlinsons regional indices'!$C$2:$C$63),"")</f>
        <v/>
      </c>
      <c r="GN22" s="168" t="str">
        <f>IFERROR(GN$21*GM22,"")</f>
        <v/>
      </c>
      <c r="GP22" s="232" t="str">
        <f>IF(_xlfn.XLOOKUP(GP$14,TableOpenSpace['#],TableOpenSpace[Location])&lt;&gt;"",_xlfn.XLOOKUP(GP$14,TableOpenSpace['#],TableOpenSpace[Location]),"")</f>
        <v/>
      </c>
      <c r="GQ22" s="149" t="str">
        <f>IFERROR(_xlfn.XLOOKUP(GP22,'Rawlinsons regional indices'!$A$2:$A$63,'Rawlinsons regional indices'!$C$2:$C$63),"")</f>
        <v/>
      </c>
      <c r="GR22" s="168" t="str">
        <f>IFERROR(GR$21*GQ22,"")</f>
        <v/>
      </c>
      <c r="GT22" s="232" t="str">
        <f>IF(_xlfn.XLOOKUP(GT$14,TableOpenSpace['#],TableOpenSpace[Location])&lt;&gt;"",_xlfn.XLOOKUP(GT$14,TableOpenSpace['#],TableOpenSpace[Location]),"")</f>
        <v/>
      </c>
      <c r="GU22" s="149" t="str">
        <f>IFERROR(_xlfn.XLOOKUP(GT22,'Rawlinsons regional indices'!$A$2:$A$63,'Rawlinsons regional indices'!$C$2:$C$63),"")</f>
        <v/>
      </c>
      <c r="GV22" s="168" t="str">
        <f>IFERROR(GV$21*GU22,"")</f>
        <v/>
      </c>
    </row>
    <row r="23" spans="4:204" hidden="1" x14ac:dyDescent="0.2">
      <c r="D23" t="s">
        <v>151</v>
      </c>
      <c r="F23" s="233">
        <f>Summary!$F$9</f>
        <v>0</v>
      </c>
      <c r="G23" s="149"/>
      <c r="H23" s="168"/>
      <c r="J23" s="233">
        <f>Summary!$F$9</f>
        <v>0</v>
      </c>
      <c r="K23" s="149"/>
      <c r="L23" s="168"/>
      <c r="N23" s="233">
        <f>Summary!$F$9</f>
        <v>0</v>
      </c>
      <c r="O23" s="149"/>
      <c r="P23" s="168"/>
      <c r="R23" s="233">
        <f>Summary!$F$9</f>
        <v>0</v>
      </c>
      <c r="S23" s="149"/>
      <c r="T23" s="168"/>
      <c r="V23" s="233">
        <f>Summary!$F$9</f>
        <v>0</v>
      </c>
      <c r="W23" s="149"/>
      <c r="X23" s="168"/>
      <c r="Z23" s="233">
        <f>Summary!$F$9</f>
        <v>0</v>
      </c>
      <c r="AA23" s="149"/>
      <c r="AB23" s="168"/>
      <c r="AD23" s="233">
        <f>Summary!$F$9</f>
        <v>0</v>
      </c>
      <c r="AE23" s="149"/>
      <c r="AF23" s="168"/>
      <c r="AH23" s="233">
        <f>Summary!$F$9</f>
        <v>0</v>
      </c>
      <c r="AI23" s="149"/>
      <c r="AJ23" s="168"/>
      <c r="AL23" s="233">
        <f>Summary!$F$9</f>
        <v>0</v>
      </c>
      <c r="AM23" s="149"/>
      <c r="AN23" s="168"/>
      <c r="AP23" s="233">
        <f>Summary!$F$9</f>
        <v>0</v>
      </c>
      <c r="AQ23" s="149"/>
      <c r="AR23" s="168"/>
      <c r="AT23" s="233">
        <f>Summary!$F$9</f>
        <v>0</v>
      </c>
      <c r="AU23" s="149"/>
      <c r="AV23" s="168"/>
      <c r="AX23" s="233">
        <f>Summary!$F$9</f>
        <v>0</v>
      </c>
      <c r="AY23" s="149"/>
      <c r="AZ23" s="168"/>
      <c r="BB23" s="233">
        <f>Summary!$F$9</f>
        <v>0</v>
      </c>
      <c r="BC23" s="149"/>
      <c r="BD23" s="168"/>
      <c r="BF23" s="233">
        <f>Summary!$F$9</f>
        <v>0</v>
      </c>
      <c r="BG23" s="149"/>
      <c r="BH23" s="168"/>
      <c r="BJ23" s="233">
        <f>Summary!$F$9</f>
        <v>0</v>
      </c>
      <c r="BK23" s="149"/>
      <c r="BL23" s="168"/>
      <c r="BN23" s="233">
        <f>Summary!$F$9</f>
        <v>0</v>
      </c>
      <c r="BO23" s="149"/>
      <c r="BP23" s="168"/>
      <c r="BR23" s="233">
        <f>Summary!$F$9</f>
        <v>0</v>
      </c>
      <c r="BS23" s="149"/>
      <c r="BT23" s="168"/>
      <c r="BV23" s="233">
        <f>Summary!$F$9</f>
        <v>0</v>
      </c>
      <c r="BW23" s="149"/>
      <c r="BX23" s="168"/>
      <c r="BZ23" s="233">
        <f>Summary!$F$9</f>
        <v>0</v>
      </c>
      <c r="CA23" s="149"/>
      <c r="CB23" s="168"/>
      <c r="CD23" s="233">
        <f>Summary!$F$9</f>
        <v>0</v>
      </c>
      <c r="CE23" s="149"/>
      <c r="CF23" s="168"/>
      <c r="CH23" s="233">
        <f>Summary!$F$9</f>
        <v>0</v>
      </c>
      <c r="CI23" s="149"/>
      <c r="CJ23" s="168"/>
      <c r="CL23" s="233">
        <f>Summary!$F$9</f>
        <v>0</v>
      </c>
      <c r="CM23" s="149"/>
      <c r="CN23" s="168"/>
      <c r="CP23" s="233">
        <f>Summary!$F$9</f>
        <v>0</v>
      </c>
      <c r="CQ23" s="149"/>
      <c r="CR23" s="168"/>
      <c r="CT23" s="233">
        <f>Summary!$F$9</f>
        <v>0</v>
      </c>
      <c r="CU23" s="149"/>
      <c r="CV23" s="168"/>
      <c r="CX23" s="233">
        <f>Summary!$F$9</f>
        <v>0</v>
      </c>
      <c r="CY23" s="149"/>
      <c r="CZ23" s="168"/>
      <c r="DB23" s="233">
        <f>Summary!$F$9</f>
        <v>0</v>
      </c>
      <c r="DC23" s="149"/>
      <c r="DD23" s="168"/>
      <c r="DF23" s="233">
        <f>Summary!$F$9</f>
        <v>0</v>
      </c>
      <c r="DG23" s="149"/>
      <c r="DH23" s="168"/>
      <c r="DJ23" s="233">
        <f>Summary!$F$9</f>
        <v>0</v>
      </c>
      <c r="DK23" s="149"/>
      <c r="DL23" s="168"/>
      <c r="DN23" s="233">
        <f>Summary!$F$9</f>
        <v>0</v>
      </c>
      <c r="DO23" s="149"/>
      <c r="DP23" s="168"/>
      <c r="DR23" s="233">
        <f>Summary!$F$9</f>
        <v>0</v>
      </c>
      <c r="DS23" s="149"/>
      <c r="DT23" s="168"/>
      <c r="DV23" s="233">
        <f>Summary!$F$9</f>
        <v>0</v>
      </c>
      <c r="DW23" s="149"/>
      <c r="DX23" s="168"/>
      <c r="DZ23" s="233">
        <f>Summary!$F$9</f>
        <v>0</v>
      </c>
      <c r="EA23" s="149"/>
      <c r="EB23" s="168"/>
      <c r="ED23" s="233">
        <f>Summary!$F$9</f>
        <v>0</v>
      </c>
      <c r="EE23" s="149"/>
      <c r="EF23" s="168"/>
      <c r="EH23" s="233">
        <f>Summary!$F$9</f>
        <v>0</v>
      </c>
      <c r="EI23" s="149"/>
      <c r="EJ23" s="168"/>
      <c r="EL23" s="233">
        <f>Summary!$F$9</f>
        <v>0</v>
      </c>
      <c r="EM23" s="149"/>
      <c r="EN23" s="168"/>
      <c r="EP23" s="233">
        <f>Summary!$F$9</f>
        <v>0</v>
      </c>
      <c r="EQ23" s="149"/>
      <c r="ER23" s="168"/>
      <c r="ET23" s="233">
        <f>Summary!$F$9</f>
        <v>0</v>
      </c>
      <c r="EU23" s="149"/>
      <c r="EV23" s="168"/>
      <c r="EX23" s="233">
        <f>Summary!$F$9</f>
        <v>0</v>
      </c>
      <c r="EY23" s="149"/>
      <c r="EZ23" s="168"/>
      <c r="FB23" s="233">
        <f>Summary!$F$9</f>
        <v>0</v>
      </c>
      <c r="FC23" s="149"/>
      <c r="FD23" s="168"/>
      <c r="FF23" s="233">
        <f>Summary!$F$9</f>
        <v>0</v>
      </c>
      <c r="FG23" s="149"/>
      <c r="FH23" s="168"/>
      <c r="FJ23" s="233">
        <f>Summary!$F$9</f>
        <v>0</v>
      </c>
      <c r="FK23" s="149"/>
      <c r="FL23" s="168"/>
      <c r="FN23" s="233">
        <f>Summary!$F$9</f>
        <v>0</v>
      </c>
      <c r="FO23" s="149"/>
      <c r="FP23" s="168"/>
      <c r="FR23" s="233">
        <f>Summary!$F$9</f>
        <v>0</v>
      </c>
      <c r="FS23" s="149"/>
      <c r="FT23" s="168"/>
      <c r="FV23" s="233">
        <f>Summary!$F$9</f>
        <v>0</v>
      </c>
      <c r="FW23" s="149"/>
      <c r="FX23" s="168"/>
      <c r="FZ23" s="233">
        <f>Summary!$F$9</f>
        <v>0</v>
      </c>
      <c r="GA23" s="149"/>
      <c r="GB23" s="168"/>
      <c r="GD23" s="233">
        <f>Summary!$F$9</f>
        <v>0</v>
      </c>
      <c r="GE23" s="149"/>
      <c r="GF23" s="168"/>
      <c r="GH23" s="233">
        <f>Summary!$F$9</f>
        <v>0</v>
      </c>
      <c r="GI23" s="149"/>
      <c r="GJ23" s="168"/>
      <c r="GL23" s="233">
        <f>Summary!$F$9</f>
        <v>0</v>
      </c>
      <c r="GM23" s="149"/>
      <c r="GN23" s="168"/>
      <c r="GP23" s="233">
        <f>Summary!$F$9</f>
        <v>0</v>
      </c>
      <c r="GQ23" s="149"/>
      <c r="GR23" s="168"/>
      <c r="GT23" s="233">
        <f>Summary!$F$9</f>
        <v>0</v>
      </c>
      <c r="GU23" s="149"/>
      <c r="GV23" s="168"/>
    </row>
    <row r="24" spans="4:204" x14ac:dyDescent="0.2">
      <c r="D24" t="s">
        <v>152</v>
      </c>
      <c r="F24" s="236" t="str">
        <f>IF(_xlfn.XLOOKUP(F$14,TableOpenSpace['#],TableOpenSpace[Site constraints (as a percentage %)])&lt;&gt;"",_xlfn.XLOOKUP(F$14,TableOpenSpace['#],TableOpenSpace[Site constraints (as a percentage %)]),"")</f>
        <v/>
      </c>
      <c r="G24" s="144" t="str">
        <f>F24</f>
        <v/>
      </c>
      <c r="H24" s="168" t="str">
        <f>IFERROR(H$21*G24,"")</f>
        <v/>
      </c>
      <c r="J24" s="236" t="str">
        <f>IF(_xlfn.XLOOKUP(J$14,TableOpenSpace['#],TableOpenSpace[Site constraints (as a percentage %)])&lt;&gt;"",_xlfn.XLOOKUP(J$14,TableOpenSpace['#],TableOpenSpace[Site constraints (as a percentage %)]),"")</f>
        <v/>
      </c>
      <c r="K24" s="144" t="str">
        <f>J24</f>
        <v/>
      </c>
      <c r="L24" s="168" t="str">
        <f>IFERROR(L$21*K24,"")</f>
        <v/>
      </c>
      <c r="N24" s="236" t="str">
        <f>IF(_xlfn.XLOOKUP(N$14,TableOpenSpace['#],TableOpenSpace[Site constraints (as a percentage %)])&lt;&gt;"",_xlfn.XLOOKUP(N$14,TableOpenSpace['#],TableOpenSpace[Site constraints (as a percentage %)]),"")</f>
        <v/>
      </c>
      <c r="O24" s="144" t="str">
        <f>N24</f>
        <v/>
      </c>
      <c r="P24" s="168" t="str">
        <f>IFERROR(P$21*O24,"")</f>
        <v/>
      </c>
      <c r="R24" s="236" t="str">
        <f>IF(_xlfn.XLOOKUP(R$14,TableOpenSpace['#],TableOpenSpace[Site constraints (as a percentage %)])&lt;&gt;"",_xlfn.XLOOKUP(R$14,TableOpenSpace['#],TableOpenSpace[Site constraints (as a percentage %)]),"")</f>
        <v/>
      </c>
      <c r="S24" s="144" t="str">
        <f>R24</f>
        <v/>
      </c>
      <c r="T24" s="168" t="str">
        <f>IFERROR(T$21*S24,"")</f>
        <v/>
      </c>
      <c r="V24" s="236" t="str">
        <f>IF(_xlfn.XLOOKUP(V$14,TableOpenSpace['#],TableOpenSpace[Site constraints (as a percentage %)])&lt;&gt;"",_xlfn.XLOOKUP(V$14,TableOpenSpace['#],TableOpenSpace[Site constraints (as a percentage %)]),"")</f>
        <v/>
      </c>
      <c r="W24" s="144" t="str">
        <f>V24</f>
        <v/>
      </c>
      <c r="X24" s="168" t="str">
        <f>IFERROR(X$21*W24,"")</f>
        <v/>
      </c>
      <c r="Z24" s="236" t="str">
        <f>IF(_xlfn.XLOOKUP(Z$14,TableOpenSpace['#],TableOpenSpace[Site constraints (as a percentage %)])&lt;&gt;"",_xlfn.XLOOKUP(Z$14,TableOpenSpace['#],TableOpenSpace[Site constraints (as a percentage %)]),"")</f>
        <v/>
      </c>
      <c r="AA24" s="144" t="str">
        <f>Z24</f>
        <v/>
      </c>
      <c r="AB24" s="168" t="str">
        <f>IFERROR(AB$21*AA24,"")</f>
        <v/>
      </c>
      <c r="AD24" s="236" t="str">
        <f>IF(_xlfn.XLOOKUP(AD$14,TableOpenSpace['#],TableOpenSpace[Site constraints (as a percentage %)])&lt;&gt;"",_xlfn.XLOOKUP(AD$14,TableOpenSpace['#],TableOpenSpace[Site constraints (as a percentage %)]),"")</f>
        <v/>
      </c>
      <c r="AE24" s="144" t="str">
        <f>AD24</f>
        <v/>
      </c>
      <c r="AF24" s="168" t="str">
        <f>IFERROR(AF$21*AE24,"")</f>
        <v/>
      </c>
      <c r="AH24" s="236" t="str">
        <f>IF(_xlfn.XLOOKUP(AH$14,TableOpenSpace['#],TableOpenSpace[Site constraints (as a percentage %)])&lt;&gt;"",_xlfn.XLOOKUP(AH$14,TableOpenSpace['#],TableOpenSpace[Site constraints (as a percentage %)]),"")</f>
        <v/>
      </c>
      <c r="AI24" s="144" t="str">
        <f>AH24</f>
        <v/>
      </c>
      <c r="AJ24" s="168" t="str">
        <f>IFERROR(AJ$21*AI24,"")</f>
        <v/>
      </c>
      <c r="AL24" s="236" t="str">
        <f>IF(_xlfn.XLOOKUP(AL$14,TableOpenSpace['#],TableOpenSpace[Site constraints (as a percentage %)])&lt;&gt;"",_xlfn.XLOOKUP(AL$14,TableOpenSpace['#],TableOpenSpace[Site constraints (as a percentage %)]),"")</f>
        <v/>
      </c>
      <c r="AM24" s="144" t="str">
        <f>AL24</f>
        <v/>
      </c>
      <c r="AN24" s="168" t="str">
        <f>IFERROR(AN$21*AM24,"")</f>
        <v/>
      </c>
      <c r="AP24" s="236" t="str">
        <f>IF(_xlfn.XLOOKUP(AP$14,TableOpenSpace['#],TableOpenSpace[Site constraints (as a percentage %)])&lt;&gt;"",_xlfn.XLOOKUP(AP$14,TableOpenSpace['#],TableOpenSpace[Site constraints (as a percentage %)]),"")</f>
        <v/>
      </c>
      <c r="AQ24" s="144" t="str">
        <f>AP24</f>
        <v/>
      </c>
      <c r="AR24" s="168" t="str">
        <f>IFERROR(AR$21*AQ24,"")</f>
        <v/>
      </c>
      <c r="AT24" s="236" t="str">
        <f>IF(_xlfn.XLOOKUP(AT$14,TableOpenSpace['#],TableOpenSpace[Site constraints (as a percentage %)])&lt;&gt;"",_xlfn.XLOOKUP(AT$14,TableOpenSpace['#],TableOpenSpace[Site constraints (as a percentage %)]),"")</f>
        <v/>
      </c>
      <c r="AU24" s="144" t="str">
        <f>AT24</f>
        <v/>
      </c>
      <c r="AV24" s="168" t="str">
        <f>IFERROR(AV$21*AU24,"")</f>
        <v/>
      </c>
      <c r="AX24" s="236" t="str">
        <f>IF(_xlfn.XLOOKUP(AX$14,TableOpenSpace['#],TableOpenSpace[Site constraints (as a percentage %)])&lt;&gt;"",_xlfn.XLOOKUP(AX$14,TableOpenSpace['#],TableOpenSpace[Site constraints (as a percentage %)]),"")</f>
        <v/>
      </c>
      <c r="AY24" s="144" t="str">
        <f>AX24</f>
        <v/>
      </c>
      <c r="AZ24" s="168" t="str">
        <f>IFERROR(AZ$21*AY24,"")</f>
        <v/>
      </c>
      <c r="BB24" s="236" t="str">
        <f>IF(_xlfn.XLOOKUP(BB$14,TableOpenSpace['#],TableOpenSpace[Site constraints (as a percentage %)])&lt;&gt;"",_xlfn.XLOOKUP(BB$14,TableOpenSpace['#],TableOpenSpace[Site constraints (as a percentage %)]),"")</f>
        <v/>
      </c>
      <c r="BC24" s="144" t="str">
        <f>BB24</f>
        <v/>
      </c>
      <c r="BD24" s="168" t="str">
        <f>IFERROR(BD$21*BC24,"")</f>
        <v/>
      </c>
      <c r="BF24" s="236" t="str">
        <f>IF(_xlfn.XLOOKUP(BF$14,TableOpenSpace['#],TableOpenSpace[Site constraints (as a percentage %)])&lt;&gt;"",_xlfn.XLOOKUP(BF$14,TableOpenSpace['#],TableOpenSpace[Site constraints (as a percentage %)]),"")</f>
        <v/>
      </c>
      <c r="BG24" s="144" t="str">
        <f>BF24</f>
        <v/>
      </c>
      <c r="BH24" s="168" t="str">
        <f>IFERROR(BH$21*BG24,"")</f>
        <v/>
      </c>
      <c r="BJ24" s="236" t="str">
        <f>IF(_xlfn.XLOOKUP(BJ$14,TableOpenSpace['#],TableOpenSpace[Site constraints (as a percentage %)])&lt;&gt;"",_xlfn.XLOOKUP(BJ$14,TableOpenSpace['#],TableOpenSpace[Site constraints (as a percentage %)]),"")</f>
        <v/>
      </c>
      <c r="BK24" s="144" t="str">
        <f>BJ24</f>
        <v/>
      </c>
      <c r="BL24" s="168" t="str">
        <f>IFERROR(BL$21*BK24,"")</f>
        <v/>
      </c>
      <c r="BN24" s="236" t="str">
        <f>IF(_xlfn.XLOOKUP(BN$14,TableOpenSpace['#],TableOpenSpace[Site constraints (as a percentage %)])&lt;&gt;"",_xlfn.XLOOKUP(BN$14,TableOpenSpace['#],TableOpenSpace[Site constraints (as a percentage %)]),"")</f>
        <v/>
      </c>
      <c r="BO24" s="144" t="str">
        <f>BN24</f>
        <v/>
      </c>
      <c r="BP24" s="168" t="str">
        <f>IFERROR(BP$21*BO24,"")</f>
        <v/>
      </c>
      <c r="BR24" s="236" t="str">
        <f>IF(_xlfn.XLOOKUP(BR$14,TableOpenSpace['#],TableOpenSpace[Site constraints (as a percentage %)])&lt;&gt;"",_xlfn.XLOOKUP(BR$14,TableOpenSpace['#],TableOpenSpace[Site constraints (as a percentage %)]),"")</f>
        <v/>
      </c>
      <c r="BS24" s="144" t="str">
        <f>BR24</f>
        <v/>
      </c>
      <c r="BT24" s="168" t="str">
        <f>IFERROR(BT$21*BS24,"")</f>
        <v/>
      </c>
      <c r="BV24" s="236" t="str">
        <f>IF(_xlfn.XLOOKUP(BV$14,TableOpenSpace['#],TableOpenSpace[Site constraints (as a percentage %)])&lt;&gt;"",_xlfn.XLOOKUP(BV$14,TableOpenSpace['#],TableOpenSpace[Site constraints (as a percentage %)]),"")</f>
        <v/>
      </c>
      <c r="BW24" s="144" t="str">
        <f>BV24</f>
        <v/>
      </c>
      <c r="BX24" s="168" t="str">
        <f>IFERROR(BX$21*BW24,"")</f>
        <v/>
      </c>
      <c r="BZ24" s="236" t="str">
        <f>IF(_xlfn.XLOOKUP(BZ$14,TableOpenSpace['#],TableOpenSpace[Site constraints (as a percentage %)])&lt;&gt;"",_xlfn.XLOOKUP(BZ$14,TableOpenSpace['#],TableOpenSpace[Site constraints (as a percentage %)]),"")</f>
        <v/>
      </c>
      <c r="CA24" s="144" t="str">
        <f>BZ24</f>
        <v/>
      </c>
      <c r="CB24" s="168" t="str">
        <f>IFERROR(CB$21*CA24,"")</f>
        <v/>
      </c>
      <c r="CD24" s="236" t="str">
        <f>IF(_xlfn.XLOOKUP(CD$14,TableOpenSpace['#],TableOpenSpace[Site constraints (as a percentage %)])&lt;&gt;"",_xlfn.XLOOKUP(CD$14,TableOpenSpace['#],TableOpenSpace[Site constraints (as a percentage %)]),"")</f>
        <v/>
      </c>
      <c r="CE24" s="144" t="str">
        <f>CD24</f>
        <v/>
      </c>
      <c r="CF24" s="168" t="str">
        <f>IFERROR(CF$21*CE24,"")</f>
        <v/>
      </c>
      <c r="CH24" s="236" t="str">
        <f>IF(_xlfn.XLOOKUP(CH$14,TableOpenSpace['#],TableOpenSpace[Site constraints (as a percentage %)])&lt;&gt;"",_xlfn.XLOOKUP(CH$14,TableOpenSpace['#],TableOpenSpace[Site constraints (as a percentage %)]),"")</f>
        <v/>
      </c>
      <c r="CI24" s="144" t="str">
        <f>CH24</f>
        <v/>
      </c>
      <c r="CJ24" s="168" t="str">
        <f>IFERROR(CJ$21*CI24,"")</f>
        <v/>
      </c>
      <c r="CL24" s="236" t="str">
        <f>IF(_xlfn.XLOOKUP(CL$14,TableOpenSpace['#],TableOpenSpace[Site constraints (as a percentage %)])&lt;&gt;"",_xlfn.XLOOKUP(CL$14,TableOpenSpace['#],TableOpenSpace[Site constraints (as a percentage %)]),"")</f>
        <v/>
      </c>
      <c r="CM24" s="144" t="str">
        <f>CL24</f>
        <v/>
      </c>
      <c r="CN24" s="168" t="str">
        <f>IFERROR(CN$21*CM24,"")</f>
        <v/>
      </c>
      <c r="CP24" s="236" t="str">
        <f>IF(_xlfn.XLOOKUP(CP$14,TableOpenSpace['#],TableOpenSpace[Site constraints (as a percentage %)])&lt;&gt;"",_xlfn.XLOOKUP(CP$14,TableOpenSpace['#],TableOpenSpace[Site constraints (as a percentage %)]),"")</f>
        <v/>
      </c>
      <c r="CQ24" s="144" t="str">
        <f>CP24</f>
        <v/>
      </c>
      <c r="CR24" s="168" t="str">
        <f>IFERROR(CR$21*CQ24,"")</f>
        <v/>
      </c>
      <c r="CT24" s="236" t="str">
        <f>IF(_xlfn.XLOOKUP(CT$14,TableOpenSpace['#],TableOpenSpace[Site constraints (as a percentage %)])&lt;&gt;"",_xlfn.XLOOKUP(CT$14,TableOpenSpace['#],TableOpenSpace[Site constraints (as a percentage %)]),"")</f>
        <v/>
      </c>
      <c r="CU24" s="144" t="str">
        <f>CT24</f>
        <v/>
      </c>
      <c r="CV24" s="168" t="str">
        <f>IFERROR(CV$21*CU24,"")</f>
        <v/>
      </c>
      <c r="CX24" s="236" t="str">
        <f>IF(_xlfn.XLOOKUP(CX$14,TableOpenSpace['#],TableOpenSpace[Site constraints (as a percentage %)])&lt;&gt;"",_xlfn.XLOOKUP(CX$14,TableOpenSpace['#],TableOpenSpace[Site constraints (as a percentage %)]),"")</f>
        <v/>
      </c>
      <c r="CY24" s="144" t="str">
        <f>CX24</f>
        <v/>
      </c>
      <c r="CZ24" s="168" t="str">
        <f>IFERROR(CZ$21*CY24,"")</f>
        <v/>
      </c>
      <c r="DB24" s="236" t="str">
        <f>IF(_xlfn.XLOOKUP(DB$14,TableOpenSpace['#],TableOpenSpace[Site constraints (as a percentage %)])&lt;&gt;"",_xlfn.XLOOKUP(DB$14,TableOpenSpace['#],TableOpenSpace[Site constraints (as a percentage %)]),"")</f>
        <v/>
      </c>
      <c r="DC24" s="144" t="str">
        <f>DB24</f>
        <v/>
      </c>
      <c r="DD24" s="168" t="str">
        <f>IFERROR(DD$21*DC24,"")</f>
        <v/>
      </c>
      <c r="DF24" s="236" t="str">
        <f>IF(_xlfn.XLOOKUP(DF$14,TableOpenSpace['#],TableOpenSpace[Site constraints (as a percentage %)])&lt;&gt;"",_xlfn.XLOOKUP(DF$14,TableOpenSpace['#],TableOpenSpace[Site constraints (as a percentage %)]),"")</f>
        <v/>
      </c>
      <c r="DG24" s="144" t="str">
        <f>DF24</f>
        <v/>
      </c>
      <c r="DH24" s="168" t="str">
        <f>IFERROR(DH$21*DG24,"")</f>
        <v/>
      </c>
      <c r="DJ24" s="236" t="str">
        <f>IF(_xlfn.XLOOKUP(DJ$14,TableOpenSpace['#],TableOpenSpace[Site constraints (as a percentage %)])&lt;&gt;"",_xlfn.XLOOKUP(DJ$14,TableOpenSpace['#],TableOpenSpace[Site constraints (as a percentage %)]),"")</f>
        <v/>
      </c>
      <c r="DK24" s="144" t="str">
        <f>DJ24</f>
        <v/>
      </c>
      <c r="DL24" s="168" t="str">
        <f>IFERROR(DL$21*DK24,"")</f>
        <v/>
      </c>
      <c r="DN24" s="236" t="str">
        <f>IF(_xlfn.XLOOKUP(DN$14,TableOpenSpace['#],TableOpenSpace[Site constraints (as a percentage %)])&lt;&gt;"",_xlfn.XLOOKUP(DN$14,TableOpenSpace['#],TableOpenSpace[Site constraints (as a percentage %)]),"")</f>
        <v/>
      </c>
      <c r="DO24" s="144" t="str">
        <f>DN24</f>
        <v/>
      </c>
      <c r="DP24" s="168" t="str">
        <f>IFERROR(DP$21*DO24,"")</f>
        <v/>
      </c>
      <c r="DR24" s="236" t="str">
        <f>IF(_xlfn.XLOOKUP(DR$14,TableOpenSpace['#],TableOpenSpace[Site constraints (as a percentage %)])&lt;&gt;"",_xlfn.XLOOKUP(DR$14,TableOpenSpace['#],TableOpenSpace[Site constraints (as a percentage %)]),"")</f>
        <v/>
      </c>
      <c r="DS24" s="144" t="str">
        <f>DR24</f>
        <v/>
      </c>
      <c r="DT24" s="168" t="str">
        <f>IFERROR(DT$21*DS24,"")</f>
        <v/>
      </c>
      <c r="DV24" s="236" t="str">
        <f>IF(_xlfn.XLOOKUP(DV$14,TableOpenSpace['#],TableOpenSpace[Site constraints (as a percentage %)])&lt;&gt;"",_xlfn.XLOOKUP(DV$14,TableOpenSpace['#],TableOpenSpace[Site constraints (as a percentage %)]),"")</f>
        <v/>
      </c>
      <c r="DW24" s="144" t="str">
        <f>DV24</f>
        <v/>
      </c>
      <c r="DX24" s="168" t="str">
        <f>IFERROR(DX$21*DW24,"")</f>
        <v/>
      </c>
      <c r="DZ24" s="236" t="str">
        <f>IF(_xlfn.XLOOKUP(DZ$14,TableOpenSpace['#],TableOpenSpace[Site constraints (as a percentage %)])&lt;&gt;"",_xlfn.XLOOKUP(DZ$14,TableOpenSpace['#],TableOpenSpace[Site constraints (as a percentage %)]),"")</f>
        <v/>
      </c>
      <c r="EA24" s="144" t="str">
        <f>DZ24</f>
        <v/>
      </c>
      <c r="EB24" s="168" t="str">
        <f>IFERROR(EB$21*EA24,"")</f>
        <v/>
      </c>
      <c r="ED24" s="236" t="str">
        <f>IF(_xlfn.XLOOKUP(ED$14,TableOpenSpace['#],TableOpenSpace[Site constraints (as a percentage %)])&lt;&gt;"",_xlfn.XLOOKUP(ED$14,TableOpenSpace['#],TableOpenSpace[Site constraints (as a percentage %)]),"")</f>
        <v/>
      </c>
      <c r="EE24" s="144" t="str">
        <f>ED24</f>
        <v/>
      </c>
      <c r="EF24" s="168" t="str">
        <f>IFERROR(EF$21*EE24,"")</f>
        <v/>
      </c>
      <c r="EH24" s="236" t="str">
        <f>IF(_xlfn.XLOOKUP(EH$14,TableOpenSpace['#],TableOpenSpace[Site constraints (as a percentage %)])&lt;&gt;"",_xlfn.XLOOKUP(EH$14,TableOpenSpace['#],TableOpenSpace[Site constraints (as a percentage %)]),"")</f>
        <v/>
      </c>
      <c r="EI24" s="144" t="str">
        <f>EH24</f>
        <v/>
      </c>
      <c r="EJ24" s="168" t="str">
        <f>IFERROR(EJ$21*EI24,"")</f>
        <v/>
      </c>
      <c r="EL24" s="236" t="str">
        <f>IF(_xlfn.XLOOKUP(EL$14,TableOpenSpace['#],TableOpenSpace[Site constraints (as a percentage %)])&lt;&gt;"",_xlfn.XLOOKUP(EL$14,TableOpenSpace['#],TableOpenSpace[Site constraints (as a percentage %)]),"")</f>
        <v/>
      </c>
      <c r="EM24" s="144" t="str">
        <f>EL24</f>
        <v/>
      </c>
      <c r="EN24" s="168" t="str">
        <f>IFERROR(EN$21*EM24,"")</f>
        <v/>
      </c>
      <c r="EP24" s="236" t="str">
        <f>IF(_xlfn.XLOOKUP(EP$14,TableOpenSpace['#],TableOpenSpace[Site constraints (as a percentage %)])&lt;&gt;"",_xlfn.XLOOKUP(EP$14,TableOpenSpace['#],TableOpenSpace[Site constraints (as a percentage %)]),"")</f>
        <v/>
      </c>
      <c r="EQ24" s="144" t="str">
        <f>EP24</f>
        <v/>
      </c>
      <c r="ER24" s="168" t="str">
        <f>IFERROR(ER$21*EQ24,"")</f>
        <v/>
      </c>
      <c r="ET24" s="236" t="str">
        <f>IF(_xlfn.XLOOKUP(ET$14,TableOpenSpace['#],TableOpenSpace[Site constraints (as a percentage %)])&lt;&gt;"",_xlfn.XLOOKUP(ET$14,TableOpenSpace['#],TableOpenSpace[Site constraints (as a percentage %)]),"")</f>
        <v/>
      </c>
      <c r="EU24" s="144" t="str">
        <f>ET24</f>
        <v/>
      </c>
      <c r="EV24" s="168" t="str">
        <f>IFERROR(EV$21*EU24,"")</f>
        <v/>
      </c>
      <c r="EX24" s="236" t="str">
        <f>IF(_xlfn.XLOOKUP(EX$14,TableOpenSpace['#],TableOpenSpace[Site constraints (as a percentage %)])&lt;&gt;"",_xlfn.XLOOKUP(EX$14,TableOpenSpace['#],TableOpenSpace[Site constraints (as a percentage %)]),"")</f>
        <v/>
      </c>
      <c r="EY24" s="144" t="str">
        <f>EX24</f>
        <v/>
      </c>
      <c r="EZ24" s="168" t="str">
        <f>IFERROR(EZ$21*EY24,"")</f>
        <v/>
      </c>
      <c r="FB24" s="236" t="str">
        <f>IF(_xlfn.XLOOKUP(FB$14,TableOpenSpace['#],TableOpenSpace[Site constraints (as a percentage %)])&lt;&gt;"",_xlfn.XLOOKUP(FB$14,TableOpenSpace['#],TableOpenSpace[Site constraints (as a percentage %)]),"")</f>
        <v/>
      </c>
      <c r="FC24" s="144" t="str">
        <f>FB24</f>
        <v/>
      </c>
      <c r="FD24" s="168" t="str">
        <f>IFERROR(FD$21*FC24,"")</f>
        <v/>
      </c>
      <c r="FF24" s="236" t="str">
        <f>IF(_xlfn.XLOOKUP(FF$14,TableOpenSpace['#],TableOpenSpace[Site constraints (as a percentage %)])&lt;&gt;"",_xlfn.XLOOKUP(FF$14,TableOpenSpace['#],TableOpenSpace[Site constraints (as a percentage %)]),"")</f>
        <v/>
      </c>
      <c r="FG24" s="144" t="str">
        <f>FF24</f>
        <v/>
      </c>
      <c r="FH24" s="168" t="str">
        <f>IFERROR(FH$21*FG24,"")</f>
        <v/>
      </c>
      <c r="FJ24" s="236" t="str">
        <f>IF(_xlfn.XLOOKUP(FJ$14,TableOpenSpace['#],TableOpenSpace[Site constraints (as a percentage %)])&lt;&gt;"",_xlfn.XLOOKUP(FJ$14,TableOpenSpace['#],TableOpenSpace[Site constraints (as a percentage %)]),"")</f>
        <v/>
      </c>
      <c r="FK24" s="144" t="str">
        <f>FJ24</f>
        <v/>
      </c>
      <c r="FL24" s="168" t="str">
        <f>IFERROR(FL$21*FK24,"")</f>
        <v/>
      </c>
      <c r="FN24" s="236" t="str">
        <f>IF(_xlfn.XLOOKUP(FN$14,TableOpenSpace['#],TableOpenSpace[Site constraints (as a percentage %)])&lt;&gt;"",_xlfn.XLOOKUP(FN$14,TableOpenSpace['#],TableOpenSpace[Site constraints (as a percentage %)]),"")</f>
        <v/>
      </c>
      <c r="FO24" s="144" t="str">
        <f>FN24</f>
        <v/>
      </c>
      <c r="FP24" s="168" t="str">
        <f>IFERROR(FP$21*FO24,"")</f>
        <v/>
      </c>
      <c r="FR24" s="236" t="str">
        <f>IF(_xlfn.XLOOKUP(FR$14,TableOpenSpace['#],TableOpenSpace[Site constraints (as a percentage %)])&lt;&gt;"",_xlfn.XLOOKUP(FR$14,TableOpenSpace['#],TableOpenSpace[Site constraints (as a percentage %)]),"")</f>
        <v/>
      </c>
      <c r="FS24" s="144" t="str">
        <f>FR24</f>
        <v/>
      </c>
      <c r="FT24" s="168" t="str">
        <f>IFERROR(FT$21*FS24,"")</f>
        <v/>
      </c>
      <c r="FV24" s="236" t="str">
        <f>IF(_xlfn.XLOOKUP(FV$14,TableOpenSpace['#],TableOpenSpace[Site constraints (as a percentage %)])&lt;&gt;"",_xlfn.XLOOKUP(FV$14,TableOpenSpace['#],TableOpenSpace[Site constraints (as a percentage %)]),"")</f>
        <v/>
      </c>
      <c r="FW24" s="144" t="str">
        <f>FV24</f>
        <v/>
      </c>
      <c r="FX24" s="168" t="str">
        <f>IFERROR(FX$21*FW24,"")</f>
        <v/>
      </c>
      <c r="FZ24" s="236" t="str">
        <f>IF(_xlfn.XLOOKUP(FZ$14,TableOpenSpace['#],TableOpenSpace[Site constraints (as a percentage %)])&lt;&gt;"",_xlfn.XLOOKUP(FZ$14,TableOpenSpace['#],TableOpenSpace[Site constraints (as a percentage %)]),"")</f>
        <v/>
      </c>
      <c r="GA24" s="144" t="str">
        <f>FZ24</f>
        <v/>
      </c>
      <c r="GB24" s="168" t="str">
        <f>IFERROR(GB$21*GA24,"")</f>
        <v/>
      </c>
      <c r="GD24" s="236" t="str">
        <f>IF(_xlfn.XLOOKUP(GD$14,TableOpenSpace['#],TableOpenSpace[Site constraints (as a percentage %)])&lt;&gt;"",_xlfn.XLOOKUP(GD$14,TableOpenSpace['#],TableOpenSpace[Site constraints (as a percentage %)]),"")</f>
        <v/>
      </c>
      <c r="GE24" s="144" t="str">
        <f>GD24</f>
        <v/>
      </c>
      <c r="GF24" s="168" t="str">
        <f>IFERROR(GF$21*GE24,"")</f>
        <v/>
      </c>
      <c r="GH24" s="236" t="str">
        <f>IF(_xlfn.XLOOKUP(GH$14,TableOpenSpace['#],TableOpenSpace[Site constraints (as a percentage %)])&lt;&gt;"",_xlfn.XLOOKUP(GH$14,TableOpenSpace['#],TableOpenSpace[Site constraints (as a percentage %)]),"")</f>
        <v/>
      </c>
      <c r="GI24" s="144" t="str">
        <f>GH24</f>
        <v/>
      </c>
      <c r="GJ24" s="168" t="str">
        <f>IFERROR(GJ$21*GI24,"")</f>
        <v/>
      </c>
      <c r="GL24" s="236" t="str">
        <f>IF(_xlfn.XLOOKUP(GL$14,TableOpenSpace['#],TableOpenSpace[Site constraints (as a percentage %)])&lt;&gt;"",_xlfn.XLOOKUP(GL$14,TableOpenSpace['#],TableOpenSpace[Site constraints (as a percentage %)]),"")</f>
        <v/>
      </c>
      <c r="GM24" s="144" t="str">
        <f>GL24</f>
        <v/>
      </c>
      <c r="GN24" s="168" t="str">
        <f>IFERROR(GN$21*GM24,"")</f>
        <v/>
      </c>
      <c r="GP24" s="236" t="str">
        <f>IF(_xlfn.XLOOKUP(GP$14,TableOpenSpace['#],TableOpenSpace[Site constraints (as a percentage %)])&lt;&gt;"",_xlfn.XLOOKUP(GP$14,TableOpenSpace['#],TableOpenSpace[Site constraints (as a percentage %)]),"")</f>
        <v/>
      </c>
      <c r="GQ24" s="144" t="str">
        <f>GP24</f>
        <v/>
      </c>
      <c r="GR24" s="168" t="str">
        <f>IFERROR(GR$21*GQ24,"")</f>
        <v/>
      </c>
      <c r="GT24" s="236" t="str">
        <f>IF(_xlfn.XLOOKUP(GT$14,TableOpenSpace['#],TableOpenSpace[Site constraints (as a percentage %)])&lt;&gt;"",_xlfn.XLOOKUP(GT$14,TableOpenSpace['#],TableOpenSpace[Site constraints (as a percentage %)]),"")</f>
        <v/>
      </c>
      <c r="GU24" s="144" t="str">
        <f>GT24</f>
        <v/>
      </c>
      <c r="GV24" s="168" t="str">
        <f>IFERROR(GV$21*GU24,"")</f>
        <v/>
      </c>
    </row>
    <row r="25" spans="4:204" x14ac:dyDescent="0.2">
      <c r="D25" t="s">
        <v>153</v>
      </c>
      <c r="F25" s="236" t="str">
        <f>IF(_xlfn.XLOOKUP(F$14,TableOpenSpace['#],TableOpenSpace[Waste disposal - type of waste (if applicable)])&lt;&gt;"",_xlfn.XLOOKUP(F$14,TableOpenSpace['#],TableOpenSpace[Waste disposal - type of waste (if applicable)]),"")</f>
        <v/>
      </c>
      <c r="G25" s="161" t="str" cm="1">
        <f t="array" ref="G25">IFERROR(INDEX('Variable index'!$E$57:$F$65,MATCH(F$25,'Variable index'!$C$57:$C$65,0),$D$12),"")</f>
        <v/>
      </c>
      <c r="J25" s="236" t="str">
        <f>IF(_xlfn.XLOOKUP(J$14,TableOpenSpace['#],TableOpenSpace[Waste disposal - type of waste (if applicable)])&lt;&gt;"",_xlfn.XLOOKUP(J$14,TableOpenSpace['#],TableOpenSpace[Waste disposal - type of waste (if applicable)]),"")</f>
        <v/>
      </c>
      <c r="K25" s="161" t="str" cm="1">
        <f t="array" ref="K25">IFERROR(INDEX('Variable index'!$E$57:$F$65,MATCH(J$25,'Variable index'!$C$57:$C$65,0),$D$12),"")</f>
        <v/>
      </c>
      <c r="N25" s="236" t="str">
        <f>IF(_xlfn.XLOOKUP(N$14,TableOpenSpace['#],TableOpenSpace[Waste disposal - type of waste (if applicable)])&lt;&gt;"",_xlfn.XLOOKUP(N$14,TableOpenSpace['#],TableOpenSpace[Waste disposal - type of waste (if applicable)]),"")</f>
        <v/>
      </c>
      <c r="O25" s="161" t="str" cm="1">
        <f t="array" ref="O25">IFERROR(INDEX('Variable index'!$E$57:$F$65,MATCH(N$25,'Variable index'!$C$57:$C$65,0),$D$12),"")</f>
        <v/>
      </c>
      <c r="R25" s="236" t="str">
        <f>IF(_xlfn.XLOOKUP(R$14,TableOpenSpace['#],TableOpenSpace[Waste disposal - type of waste (if applicable)])&lt;&gt;"",_xlfn.XLOOKUP(R$14,TableOpenSpace['#],TableOpenSpace[Waste disposal - type of waste (if applicable)]),"")</f>
        <v/>
      </c>
      <c r="S25" s="161" t="str" cm="1">
        <f t="array" ref="S25">IFERROR(INDEX('Variable index'!$E$57:$F$65,MATCH(R$25,'Variable index'!$C$57:$C$65,0),$D$12),"")</f>
        <v/>
      </c>
      <c r="V25" s="236" t="str">
        <f>IF(_xlfn.XLOOKUP(V$14,TableOpenSpace['#],TableOpenSpace[Waste disposal - type of waste (if applicable)])&lt;&gt;"",_xlfn.XLOOKUP(V$14,TableOpenSpace['#],TableOpenSpace[Waste disposal - type of waste (if applicable)]),"")</f>
        <v/>
      </c>
      <c r="W25" s="161" t="str" cm="1">
        <f t="array" ref="W25">IFERROR(INDEX('Variable index'!$E$57:$F$65,MATCH(V$25,'Variable index'!$C$57:$C$65,0),$D$12),"")</f>
        <v/>
      </c>
      <c r="Z25" s="236" t="str">
        <f>IF(_xlfn.XLOOKUP(Z$14,TableOpenSpace['#],TableOpenSpace[Waste disposal - type of waste (if applicable)])&lt;&gt;"",_xlfn.XLOOKUP(Z$14,TableOpenSpace['#],TableOpenSpace[Waste disposal - type of waste (if applicable)]),"")</f>
        <v/>
      </c>
      <c r="AA25" s="161" t="str" cm="1">
        <f t="array" ref="AA25">IFERROR(INDEX('Variable index'!$E$57:$F$65,MATCH(Z$25,'Variable index'!$C$57:$C$65,0),$D$12),"")</f>
        <v/>
      </c>
      <c r="AD25" s="236" t="str">
        <f>IF(_xlfn.XLOOKUP(AD$14,TableOpenSpace['#],TableOpenSpace[Waste disposal - type of waste (if applicable)])&lt;&gt;"",_xlfn.XLOOKUP(AD$14,TableOpenSpace['#],TableOpenSpace[Waste disposal - type of waste (if applicable)]),"")</f>
        <v/>
      </c>
      <c r="AE25" s="161" t="str" cm="1">
        <f t="array" ref="AE25">IFERROR(INDEX('Variable index'!$E$57:$F$65,MATCH(AD$25,'Variable index'!$C$57:$C$65,0),$D$12),"")</f>
        <v/>
      </c>
      <c r="AH25" s="236" t="str">
        <f>IF(_xlfn.XLOOKUP(AH$14,TableOpenSpace['#],TableOpenSpace[Waste disposal - type of waste (if applicable)])&lt;&gt;"",_xlfn.XLOOKUP(AH$14,TableOpenSpace['#],TableOpenSpace[Waste disposal - type of waste (if applicable)]),"")</f>
        <v/>
      </c>
      <c r="AI25" s="161" t="str" cm="1">
        <f t="array" ref="AI25">IFERROR(INDEX('Variable index'!$E$57:$F$65,MATCH(AH$25,'Variable index'!$C$57:$C$65,0),$D$12),"")</f>
        <v/>
      </c>
      <c r="AL25" s="236" t="str">
        <f>IF(_xlfn.XLOOKUP(AL$14,TableOpenSpace['#],TableOpenSpace[Waste disposal - type of waste (if applicable)])&lt;&gt;"",_xlfn.XLOOKUP(AL$14,TableOpenSpace['#],TableOpenSpace[Waste disposal - type of waste (if applicable)]),"")</f>
        <v/>
      </c>
      <c r="AM25" s="161" t="str" cm="1">
        <f t="array" ref="AM25">IFERROR(INDEX('Variable index'!$E$57:$F$65,MATCH(AL$25,'Variable index'!$C$57:$C$65,0),$D$12),"")</f>
        <v/>
      </c>
      <c r="AP25" s="236" t="str">
        <f>IF(_xlfn.XLOOKUP(AP$14,TableOpenSpace['#],TableOpenSpace[Waste disposal - type of waste (if applicable)])&lt;&gt;"",_xlfn.XLOOKUP(AP$14,TableOpenSpace['#],TableOpenSpace[Waste disposal - type of waste (if applicable)]),"")</f>
        <v/>
      </c>
      <c r="AQ25" s="161" t="str" cm="1">
        <f t="array" ref="AQ25">IFERROR(INDEX('Variable index'!$E$57:$F$65,MATCH(AP$25,'Variable index'!$C$57:$C$65,0),$D$12),"")</f>
        <v/>
      </c>
      <c r="AT25" s="236" t="str">
        <f>IF(_xlfn.XLOOKUP(AT$14,TableOpenSpace['#],TableOpenSpace[Waste disposal - type of waste (if applicable)])&lt;&gt;"",_xlfn.XLOOKUP(AT$14,TableOpenSpace['#],TableOpenSpace[Waste disposal - type of waste (if applicable)]),"")</f>
        <v/>
      </c>
      <c r="AU25" s="161" t="str" cm="1">
        <f t="array" ref="AU25">IFERROR(INDEX('Variable index'!$E$57:$F$65,MATCH(AT$25,'Variable index'!$C$57:$C$65,0),$D$12),"")</f>
        <v/>
      </c>
      <c r="AX25" s="236" t="str">
        <f>IF(_xlfn.XLOOKUP(AX$14,TableOpenSpace['#],TableOpenSpace[Waste disposal - type of waste (if applicable)])&lt;&gt;"",_xlfn.XLOOKUP(AX$14,TableOpenSpace['#],TableOpenSpace[Waste disposal - type of waste (if applicable)]),"")</f>
        <v/>
      </c>
      <c r="AY25" s="161" t="str" cm="1">
        <f t="array" ref="AY25">IFERROR(INDEX('Variable index'!$E$57:$F$65,MATCH(AX$25,'Variable index'!$C$57:$C$65,0),$D$12),"")</f>
        <v/>
      </c>
      <c r="BB25" s="236" t="str">
        <f>IF(_xlfn.XLOOKUP(BB$14,TableOpenSpace['#],TableOpenSpace[Waste disposal - type of waste (if applicable)])&lt;&gt;"",_xlfn.XLOOKUP(BB$14,TableOpenSpace['#],TableOpenSpace[Waste disposal - type of waste (if applicable)]),"")</f>
        <v/>
      </c>
      <c r="BC25" s="161" t="str" cm="1">
        <f t="array" ref="BC25">IFERROR(INDEX('Variable index'!$E$57:$F$65,MATCH(BB$25,'Variable index'!$C$57:$C$65,0),$D$12),"")</f>
        <v/>
      </c>
      <c r="BF25" s="236" t="str">
        <f>IF(_xlfn.XLOOKUP(BF$14,TableOpenSpace['#],TableOpenSpace[Waste disposal - type of waste (if applicable)])&lt;&gt;"",_xlfn.XLOOKUP(BF$14,TableOpenSpace['#],TableOpenSpace[Waste disposal - type of waste (if applicable)]),"")</f>
        <v/>
      </c>
      <c r="BG25" s="161" t="str" cm="1">
        <f t="array" ref="BG25">IFERROR(INDEX('Variable index'!$E$57:$F$65,MATCH(BF$25,'Variable index'!$C$57:$C$65,0),$D$12),"")</f>
        <v/>
      </c>
      <c r="BJ25" s="236" t="str">
        <f>IF(_xlfn.XLOOKUP(BJ$14,TableOpenSpace['#],TableOpenSpace[Waste disposal - type of waste (if applicable)])&lt;&gt;"",_xlfn.XLOOKUP(BJ$14,TableOpenSpace['#],TableOpenSpace[Waste disposal - type of waste (if applicable)]),"")</f>
        <v/>
      </c>
      <c r="BK25" s="161" t="str" cm="1">
        <f t="array" ref="BK25">IFERROR(INDEX('Variable index'!$E$57:$F$65,MATCH(BJ$25,'Variable index'!$C$57:$C$65,0),$D$12),"")</f>
        <v/>
      </c>
      <c r="BN25" s="236" t="str">
        <f>IF(_xlfn.XLOOKUP(BN$14,TableOpenSpace['#],TableOpenSpace[Waste disposal - type of waste (if applicable)])&lt;&gt;"",_xlfn.XLOOKUP(BN$14,TableOpenSpace['#],TableOpenSpace[Waste disposal - type of waste (if applicable)]),"")</f>
        <v/>
      </c>
      <c r="BO25" s="161" t="str" cm="1">
        <f t="array" ref="BO25">IFERROR(INDEX('Variable index'!$E$57:$F$65,MATCH(BN$25,'Variable index'!$C$57:$C$65,0),$D$12),"")</f>
        <v/>
      </c>
      <c r="BR25" s="236" t="str">
        <f>IF(_xlfn.XLOOKUP(BR$14,TableOpenSpace['#],TableOpenSpace[Waste disposal - type of waste (if applicable)])&lt;&gt;"",_xlfn.XLOOKUP(BR$14,TableOpenSpace['#],TableOpenSpace[Waste disposal - type of waste (if applicable)]),"")</f>
        <v/>
      </c>
      <c r="BS25" s="161" t="str" cm="1">
        <f t="array" ref="BS25">IFERROR(INDEX('Variable index'!$E$57:$F$65,MATCH(BR$25,'Variable index'!$C$57:$C$65,0),$D$12),"")</f>
        <v/>
      </c>
      <c r="BV25" s="236" t="str">
        <f>IF(_xlfn.XLOOKUP(BV$14,TableOpenSpace['#],TableOpenSpace[Waste disposal - type of waste (if applicable)])&lt;&gt;"",_xlfn.XLOOKUP(BV$14,TableOpenSpace['#],TableOpenSpace[Waste disposal - type of waste (if applicable)]),"")</f>
        <v/>
      </c>
      <c r="BW25" s="161" t="str" cm="1">
        <f t="array" ref="BW25">IFERROR(INDEX('Variable index'!$E$57:$F$65,MATCH(BV$25,'Variable index'!$C$57:$C$65,0),$D$12),"")</f>
        <v/>
      </c>
      <c r="BZ25" s="236" t="str">
        <f>IF(_xlfn.XLOOKUP(BZ$14,TableOpenSpace['#],TableOpenSpace[Waste disposal - type of waste (if applicable)])&lt;&gt;"",_xlfn.XLOOKUP(BZ$14,TableOpenSpace['#],TableOpenSpace[Waste disposal - type of waste (if applicable)]),"")</f>
        <v/>
      </c>
      <c r="CA25" s="161" t="str" cm="1">
        <f t="array" ref="CA25">IFERROR(INDEX('Variable index'!$E$57:$F$65,MATCH(BZ$25,'Variable index'!$C$57:$C$65,0),$D$12),"")</f>
        <v/>
      </c>
      <c r="CD25" s="236" t="str">
        <f>IF(_xlfn.XLOOKUP(CD$14,TableOpenSpace['#],TableOpenSpace[Waste disposal - type of waste (if applicable)])&lt;&gt;"",_xlfn.XLOOKUP(CD$14,TableOpenSpace['#],TableOpenSpace[Waste disposal - type of waste (if applicable)]),"")</f>
        <v/>
      </c>
      <c r="CE25" s="161" t="str" cm="1">
        <f t="array" ref="CE25">IFERROR(INDEX('Variable index'!$E$57:$F$65,MATCH(CD$25,'Variable index'!$C$57:$C$65,0),$D$12),"")</f>
        <v/>
      </c>
      <c r="CH25" s="236" t="str">
        <f>IF(_xlfn.XLOOKUP(CH$14,TableOpenSpace['#],TableOpenSpace[Waste disposal - type of waste (if applicable)])&lt;&gt;"",_xlfn.XLOOKUP(CH$14,TableOpenSpace['#],TableOpenSpace[Waste disposal - type of waste (if applicable)]),"")</f>
        <v/>
      </c>
      <c r="CI25" s="161" t="str" cm="1">
        <f t="array" ref="CI25">IFERROR(INDEX('Variable index'!$E$57:$F$65,MATCH(CH$25,'Variable index'!$C$57:$C$65,0),$D$12),"")</f>
        <v/>
      </c>
      <c r="CL25" s="236" t="str">
        <f>IF(_xlfn.XLOOKUP(CL$14,TableOpenSpace['#],TableOpenSpace[Waste disposal - type of waste (if applicable)])&lt;&gt;"",_xlfn.XLOOKUP(CL$14,TableOpenSpace['#],TableOpenSpace[Waste disposal - type of waste (if applicable)]),"")</f>
        <v/>
      </c>
      <c r="CM25" s="161" t="str" cm="1">
        <f t="array" ref="CM25">IFERROR(INDEX('Variable index'!$E$57:$F$65,MATCH(CL$25,'Variable index'!$C$57:$C$65,0),$D$12),"")</f>
        <v/>
      </c>
      <c r="CP25" s="236" t="str">
        <f>IF(_xlfn.XLOOKUP(CP$14,TableOpenSpace['#],TableOpenSpace[Waste disposal - type of waste (if applicable)])&lt;&gt;"",_xlfn.XLOOKUP(CP$14,TableOpenSpace['#],TableOpenSpace[Waste disposal - type of waste (if applicable)]),"")</f>
        <v/>
      </c>
      <c r="CQ25" s="161" t="str" cm="1">
        <f t="array" ref="CQ25">IFERROR(INDEX('Variable index'!$E$57:$F$65,MATCH(CP$25,'Variable index'!$C$57:$C$65,0),$D$12),"")</f>
        <v/>
      </c>
      <c r="CT25" s="236" t="str">
        <f>IF(_xlfn.XLOOKUP(CT$14,TableOpenSpace['#],TableOpenSpace[Waste disposal - type of waste (if applicable)])&lt;&gt;"",_xlfn.XLOOKUP(CT$14,TableOpenSpace['#],TableOpenSpace[Waste disposal - type of waste (if applicable)]),"")</f>
        <v/>
      </c>
      <c r="CU25" s="161" t="str" cm="1">
        <f t="array" ref="CU25">IFERROR(INDEX('Variable index'!$E$57:$F$65,MATCH(CT$25,'Variable index'!$C$57:$C$65,0),$D$12),"")</f>
        <v/>
      </c>
      <c r="CX25" s="236" t="str">
        <f>IF(_xlfn.XLOOKUP(CX$14,TableOpenSpace['#],TableOpenSpace[Waste disposal - type of waste (if applicable)])&lt;&gt;"",_xlfn.XLOOKUP(CX$14,TableOpenSpace['#],TableOpenSpace[Waste disposal - type of waste (if applicable)]),"")</f>
        <v/>
      </c>
      <c r="CY25" s="161" t="str" cm="1">
        <f t="array" ref="CY25">IFERROR(INDEX('Variable index'!$E$57:$F$65,MATCH(CX$25,'Variable index'!$C$57:$C$65,0),$D$12),"")</f>
        <v/>
      </c>
      <c r="DB25" s="236" t="str">
        <f>IF(_xlfn.XLOOKUP(DB$14,TableOpenSpace['#],TableOpenSpace[Waste disposal - type of waste (if applicable)])&lt;&gt;"",_xlfn.XLOOKUP(DB$14,TableOpenSpace['#],TableOpenSpace[Waste disposal - type of waste (if applicable)]),"")</f>
        <v/>
      </c>
      <c r="DC25" s="161" t="str" cm="1">
        <f t="array" ref="DC25">IFERROR(INDEX('Variable index'!$E$57:$F$65,MATCH(DB$25,'Variable index'!$C$57:$C$65,0),$D$12),"")</f>
        <v/>
      </c>
      <c r="DF25" s="236" t="str">
        <f>IF(_xlfn.XLOOKUP(DF$14,TableOpenSpace['#],TableOpenSpace[Waste disposal - type of waste (if applicable)])&lt;&gt;"",_xlfn.XLOOKUP(DF$14,TableOpenSpace['#],TableOpenSpace[Waste disposal - type of waste (if applicable)]),"")</f>
        <v/>
      </c>
      <c r="DG25" s="161" t="str" cm="1">
        <f t="array" ref="DG25">IFERROR(INDEX('Variable index'!$E$57:$F$65,MATCH(DF$25,'Variable index'!$C$57:$C$65,0),$D$12),"")</f>
        <v/>
      </c>
      <c r="DJ25" s="236" t="str">
        <f>IF(_xlfn.XLOOKUP(DJ$14,TableOpenSpace['#],TableOpenSpace[Waste disposal - type of waste (if applicable)])&lt;&gt;"",_xlfn.XLOOKUP(DJ$14,TableOpenSpace['#],TableOpenSpace[Waste disposal - type of waste (if applicable)]),"")</f>
        <v/>
      </c>
      <c r="DK25" s="161" t="str" cm="1">
        <f t="array" ref="DK25">IFERROR(INDEX('Variable index'!$E$57:$F$65,MATCH(DJ$25,'Variable index'!$C$57:$C$65,0),$D$12),"")</f>
        <v/>
      </c>
      <c r="DN25" s="236" t="str">
        <f>IF(_xlfn.XLOOKUP(DN$14,TableOpenSpace['#],TableOpenSpace[Waste disposal - type of waste (if applicable)])&lt;&gt;"",_xlfn.XLOOKUP(DN$14,TableOpenSpace['#],TableOpenSpace[Waste disposal - type of waste (if applicable)]),"")</f>
        <v/>
      </c>
      <c r="DO25" s="161" t="str" cm="1">
        <f t="array" ref="DO25">IFERROR(INDEX('Variable index'!$E$57:$F$65,MATCH(DN$25,'Variable index'!$C$57:$C$65,0),$D$12),"")</f>
        <v/>
      </c>
      <c r="DR25" s="236" t="str">
        <f>IF(_xlfn.XLOOKUP(DR$14,TableOpenSpace['#],TableOpenSpace[Waste disposal - type of waste (if applicable)])&lt;&gt;"",_xlfn.XLOOKUP(DR$14,TableOpenSpace['#],TableOpenSpace[Waste disposal - type of waste (if applicable)]),"")</f>
        <v/>
      </c>
      <c r="DS25" s="161" t="str" cm="1">
        <f t="array" ref="DS25">IFERROR(INDEX('Variable index'!$E$57:$F$65,MATCH(DR$25,'Variable index'!$C$57:$C$65,0),$D$12),"")</f>
        <v/>
      </c>
      <c r="DV25" s="236" t="str">
        <f>IF(_xlfn.XLOOKUP(DV$14,TableOpenSpace['#],TableOpenSpace[Waste disposal - type of waste (if applicable)])&lt;&gt;"",_xlfn.XLOOKUP(DV$14,TableOpenSpace['#],TableOpenSpace[Waste disposal - type of waste (if applicable)]),"")</f>
        <v/>
      </c>
      <c r="DW25" s="161" t="str" cm="1">
        <f t="array" ref="DW25">IFERROR(INDEX('Variable index'!$E$57:$F$65,MATCH(DV$25,'Variable index'!$C$57:$C$65,0),$D$12),"")</f>
        <v/>
      </c>
      <c r="DZ25" s="236" t="str">
        <f>IF(_xlfn.XLOOKUP(DZ$14,TableOpenSpace['#],TableOpenSpace[Waste disposal - type of waste (if applicable)])&lt;&gt;"",_xlfn.XLOOKUP(DZ$14,TableOpenSpace['#],TableOpenSpace[Waste disposal - type of waste (if applicable)]),"")</f>
        <v/>
      </c>
      <c r="EA25" s="161" t="str" cm="1">
        <f t="array" ref="EA25">IFERROR(INDEX('Variable index'!$E$57:$F$65,MATCH(DZ$25,'Variable index'!$C$57:$C$65,0),$D$12),"")</f>
        <v/>
      </c>
      <c r="ED25" s="236" t="str">
        <f>IF(_xlfn.XLOOKUP(ED$14,TableOpenSpace['#],TableOpenSpace[Waste disposal - type of waste (if applicable)])&lt;&gt;"",_xlfn.XLOOKUP(ED$14,TableOpenSpace['#],TableOpenSpace[Waste disposal - type of waste (if applicable)]),"")</f>
        <v/>
      </c>
      <c r="EE25" s="161" t="str" cm="1">
        <f t="array" ref="EE25">IFERROR(INDEX('Variable index'!$E$57:$F$65,MATCH(ED$25,'Variable index'!$C$57:$C$65,0),$D$12),"")</f>
        <v/>
      </c>
      <c r="EH25" s="236" t="str">
        <f>IF(_xlfn.XLOOKUP(EH$14,TableOpenSpace['#],TableOpenSpace[Waste disposal - type of waste (if applicable)])&lt;&gt;"",_xlfn.XLOOKUP(EH$14,TableOpenSpace['#],TableOpenSpace[Waste disposal - type of waste (if applicable)]),"")</f>
        <v/>
      </c>
      <c r="EI25" s="161" t="str" cm="1">
        <f t="array" ref="EI25">IFERROR(INDEX('Variable index'!$E$57:$F$65,MATCH(EH$25,'Variable index'!$C$57:$C$65,0),$D$12),"")</f>
        <v/>
      </c>
      <c r="EL25" s="236" t="str">
        <f>IF(_xlfn.XLOOKUP(EL$14,TableOpenSpace['#],TableOpenSpace[Waste disposal - type of waste (if applicable)])&lt;&gt;"",_xlfn.XLOOKUP(EL$14,TableOpenSpace['#],TableOpenSpace[Waste disposal - type of waste (if applicable)]),"")</f>
        <v/>
      </c>
      <c r="EM25" s="161" t="str" cm="1">
        <f t="array" ref="EM25">IFERROR(INDEX('Variable index'!$E$57:$F$65,MATCH(EL$25,'Variable index'!$C$57:$C$65,0),$D$12),"")</f>
        <v/>
      </c>
      <c r="EP25" s="236" t="str">
        <f>IF(_xlfn.XLOOKUP(EP$14,TableOpenSpace['#],TableOpenSpace[Waste disposal - type of waste (if applicable)])&lt;&gt;"",_xlfn.XLOOKUP(EP$14,TableOpenSpace['#],TableOpenSpace[Waste disposal - type of waste (if applicable)]),"")</f>
        <v/>
      </c>
      <c r="EQ25" s="161" t="str" cm="1">
        <f t="array" ref="EQ25">IFERROR(INDEX('Variable index'!$E$57:$F$65,MATCH(EP$25,'Variable index'!$C$57:$C$65,0),$D$12),"")</f>
        <v/>
      </c>
      <c r="ET25" s="236" t="str">
        <f>IF(_xlfn.XLOOKUP(ET$14,TableOpenSpace['#],TableOpenSpace[Waste disposal - type of waste (if applicable)])&lt;&gt;"",_xlfn.XLOOKUP(ET$14,TableOpenSpace['#],TableOpenSpace[Waste disposal - type of waste (if applicable)]),"")</f>
        <v/>
      </c>
      <c r="EU25" s="161" t="str" cm="1">
        <f t="array" ref="EU25">IFERROR(INDEX('Variable index'!$E$57:$F$65,MATCH(ET$25,'Variable index'!$C$57:$C$65,0),$D$12),"")</f>
        <v/>
      </c>
      <c r="EX25" s="236" t="str">
        <f>IF(_xlfn.XLOOKUP(EX$14,TableOpenSpace['#],TableOpenSpace[Waste disposal - type of waste (if applicable)])&lt;&gt;"",_xlfn.XLOOKUP(EX$14,TableOpenSpace['#],TableOpenSpace[Waste disposal - type of waste (if applicable)]),"")</f>
        <v/>
      </c>
      <c r="EY25" s="161" t="str" cm="1">
        <f t="array" ref="EY25">IFERROR(INDEX('Variable index'!$E$57:$F$65,MATCH(EX$25,'Variable index'!$C$57:$C$65,0),$D$12),"")</f>
        <v/>
      </c>
      <c r="FB25" s="236" t="str">
        <f>IF(_xlfn.XLOOKUP(FB$14,TableOpenSpace['#],TableOpenSpace[Waste disposal - type of waste (if applicable)])&lt;&gt;"",_xlfn.XLOOKUP(FB$14,TableOpenSpace['#],TableOpenSpace[Waste disposal - type of waste (if applicable)]),"")</f>
        <v/>
      </c>
      <c r="FC25" s="161" t="str" cm="1">
        <f t="array" ref="FC25">IFERROR(INDEX('Variable index'!$E$57:$F$65,MATCH(FB$25,'Variable index'!$C$57:$C$65,0),$D$12),"")</f>
        <v/>
      </c>
      <c r="FF25" s="236" t="str">
        <f>IF(_xlfn.XLOOKUP(FF$14,TableOpenSpace['#],TableOpenSpace[Waste disposal - type of waste (if applicable)])&lt;&gt;"",_xlfn.XLOOKUP(FF$14,TableOpenSpace['#],TableOpenSpace[Waste disposal - type of waste (if applicable)]),"")</f>
        <v/>
      </c>
      <c r="FG25" s="161" t="str" cm="1">
        <f t="array" ref="FG25">IFERROR(INDEX('Variable index'!$E$57:$F$65,MATCH(FF$25,'Variable index'!$C$57:$C$65,0),$D$12),"")</f>
        <v/>
      </c>
      <c r="FJ25" s="236" t="str">
        <f>IF(_xlfn.XLOOKUP(FJ$14,TableOpenSpace['#],TableOpenSpace[Waste disposal - type of waste (if applicable)])&lt;&gt;"",_xlfn.XLOOKUP(FJ$14,TableOpenSpace['#],TableOpenSpace[Waste disposal - type of waste (if applicable)]),"")</f>
        <v/>
      </c>
      <c r="FK25" s="161" t="str" cm="1">
        <f t="array" ref="FK25">IFERROR(INDEX('Variable index'!$E$57:$F$65,MATCH(FJ$25,'Variable index'!$C$57:$C$65,0),$D$12),"")</f>
        <v/>
      </c>
      <c r="FN25" s="236" t="str">
        <f>IF(_xlfn.XLOOKUP(FN$14,TableOpenSpace['#],TableOpenSpace[Waste disposal - type of waste (if applicable)])&lt;&gt;"",_xlfn.XLOOKUP(FN$14,TableOpenSpace['#],TableOpenSpace[Waste disposal - type of waste (if applicable)]),"")</f>
        <v/>
      </c>
      <c r="FO25" s="161" t="str" cm="1">
        <f t="array" ref="FO25">IFERROR(INDEX('Variable index'!$E$57:$F$65,MATCH(FN$25,'Variable index'!$C$57:$C$65,0),$D$12),"")</f>
        <v/>
      </c>
      <c r="FR25" s="236" t="str">
        <f>IF(_xlfn.XLOOKUP(FR$14,TableOpenSpace['#],TableOpenSpace[Waste disposal - type of waste (if applicable)])&lt;&gt;"",_xlfn.XLOOKUP(FR$14,TableOpenSpace['#],TableOpenSpace[Waste disposal - type of waste (if applicable)]),"")</f>
        <v/>
      </c>
      <c r="FS25" s="161" t="str" cm="1">
        <f t="array" ref="FS25">IFERROR(INDEX('Variable index'!$E$57:$F$65,MATCH(FR$25,'Variable index'!$C$57:$C$65,0),$D$12),"")</f>
        <v/>
      </c>
      <c r="FV25" s="236" t="str">
        <f>IF(_xlfn.XLOOKUP(FV$14,TableOpenSpace['#],TableOpenSpace[Waste disposal - type of waste (if applicable)])&lt;&gt;"",_xlfn.XLOOKUP(FV$14,TableOpenSpace['#],TableOpenSpace[Waste disposal - type of waste (if applicable)]),"")</f>
        <v/>
      </c>
      <c r="FW25" s="161" t="str" cm="1">
        <f t="array" ref="FW25">IFERROR(INDEX('Variable index'!$E$57:$F$65,MATCH(FV$25,'Variable index'!$C$57:$C$65,0),$D$12),"")</f>
        <v/>
      </c>
      <c r="FZ25" s="236" t="str">
        <f>IF(_xlfn.XLOOKUP(FZ$14,TableOpenSpace['#],TableOpenSpace[Waste disposal - type of waste (if applicable)])&lt;&gt;"",_xlfn.XLOOKUP(FZ$14,TableOpenSpace['#],TableOpenSpace[Waste disposal - type of waste (if applicable)]),"")</f>
        <v/>
      </c>
      <c r="GA25" s="161" t="str" cm="1">
        <f t="array" ref="GA25">IFERROR(INDEX('Variable index'!$E$57:$F$65,MATCH(FZ$25,'Variable index'!$C$57:$C$65,0),$D$12),"")</f>
        <v/>
      </c>
      <c r="GD25" s="236" t="str">
        <f>IF(_xlfn.XLOOKUP(GD$14,TableOpenSpace['#],TableOpenSpace[Waste disposal - type of waste (if applicable)])&lt;&gt;"",_xlfn.XLOOKUP(GD$14,TableOpenSpace['#],TableOpenSpace[Waste disposal - type of waste (if applicable)]),"")</f>
        <v/>
      </c>
      <c r="GE25" s="161" t="str" cm="1">
        <f t="array" ref="GE25">IFERROR(INDEX('Variable index'!$E$57:$F$65,MATCH(GD$25,'Variable index'!$C$57:$C$65,0),$D$12),"")</f>
        <v/>
      </c>
      <c r="GH25" s="236" t="str">
        <f>IF(_xlfn.XLOOKUP(GH$14,TableOpenSpace['#],TableOpenSpace[Waste disposal - type of waste (if applicable)])&lt;&gt;"",_xlfn.XLOOKUP(GH$14,TableOpenSpace['#],TableOpenSpace[Waste disposal - type of waste (if applicable)]),"")</f>
        <v/>
      </c>
      <c r="GI25" s="161" t="str" cm="1">
        <f t="array" ref="GI25">IFERROR(INDEX('Variable index'!$E$57:$F$65,MATCH(GH$25,'Variable index'!$C$57:$C$65,0),$D$12),"")</f>
        <v/>
      </c>
      <c r="GL25" s="236" t="str">
        <f>IF(_xlfn.XLOOKUP(GL$14,TableOpenSpace['#],TableOpenSpace[Waste disposal - type of waste (if applicable)])&lt;&gt;"",_xlfn.XLOOKUP(GL$14,TableOpenSpace['#],TableOpenSpace[Waste disposal - type of waste (if applicable)]),"")</f>
        <v/>
      </c>
      <c r="GM25" s="161" t="str" cm="1">
        <f t="array" ref="GM25">IFERROR(INDEX('Variable index'!$E$57:$F$65,MATCH(GL$25,'Variable index'!$C$57:$C$65,0),$D$12),"")</f>
        <v/>
      </c>
      <c r="GP25" s="236" t="str">
        <f>IF(_xlfn.XLOOKUP(GP$14,TableOpenSpace['#],TableOpenSpace[Waste disposal - type of waste (if applicable)])&lt;&gt;"",_xlfn.XLOOKUP(GP$14,TableOpenSpace['#],TableOpenSpace[Waste disposal - type of waste (if applicable)]),"")</f>
        <v/>
      </c>
      <c r="GQ25" s="161" t="str" cm="1">
        <f t="array" ref="GQ25">IFERROR(INDEX('Variable index'!$E$57:$F$65,MATCH(GP$25,'Variable index'!$C$57:$C$65,0),$D$12),"")</f>
        <v/>
      </c>
      <c r="GT25" s="236" t="str">
        <f>IF(_xlfn.XLOOKUP(GT$14,TableOpenSpace['#],TableOpenSpace[Waste disposal - type of waste (if applicable)])&lt;&gt;"",_xlfn.XLOOKUP(GT$14,TableOpenSpace['#],TableOpenSpace[Waste disposal - type of waste (if applicable)]),"")</f>
        <v/>
      </c>
      <c r="GU25" s="161" t="str" cm="1">
        <f t="array" ref="GU25">IFERROR(INDEX('Variable index'!$E$57:$F$65,MATCH(GT$25,'Variable index'!$C$57:$C$65,0),$D$12),"")</f>
        <v/>
      </c>
    </row>
    <row r="26" spans="4:204" x14ac:dyDescent="0.2">
      <c r="D26" t="s">
        <v>154</v>
      </c>
      <c r="F26" s="309" t="str">
        <f>IF(_xlfn.XLOOKUP(F$14,TableOpenSpace['#],TableOpenSpace[Waste disposal quantity (in tonnes)])&lt;&gt;"",_xlfn.XLOOKUP(F$14,TableOpenSpace['#],TableOpenSpace[Waste disposal quantity (in tonnes)]),"")</f>
        <v/>
      </c>
      <c r="H26" s="168" t="str">
        <f>IFERROR(G25*F26,"")</f>
        <v/>
      </c>
      <c r="J26" s="309" t="str">
        <f>IF(_xlfn.XLOOKUP(J$14,TableOpenSpace['#],TableOpenSpace[Waste disposal quantity (in tonnes)])&lt;&gt;"",_xlfn.XLOOKUP(J$14,TableOpenSpace['#],TableOpenSpace[Waste disposal quantity (in tonnes)]),"")</f>
        <v/>
      </c>
      <c r="L26" s="168" t="str">
        <f>IFERROR(K25*J26,"")</f>
        <v/>
      </c>
      <c r="N26" s="309" t="str">
        <f>IF(_xlfn.XLOOKUP(N$14,TableOpenSpace['#],TableOpenSpace[Waste disposal quantity (in tonnes)])&lt;&gt;"",_xlfn.XLOOKUP(N$14,TableOpenSpace['#],TableOpenSpace[Waste disposal quantity (in tonnes)]),"")</f>
        <v/>
      </c>
      <c r="P26" s="168" t="str">
        <f>IFERROR(O25*N26,"")</f>
        <v/>
      </c>
      <c r="R26" s="309" t="str">
        <f>IF(_xlfn.XLOOKUP(R$14,TableOpenSpace['#],TableOpenSpace[Waste disposal quantity (in tonnes)])&lt;&gt;"",_xlfn.XLOOKUP(R$14,TableOpenSpace['#],TableOpenSpace[Waste disposal quantity (in tonnes)]),"")</f>
        <v/>
      </c>
      <c r="T26" s="168" t="str">
        <f>IFERROR(S25*R26,"")</f>
        <v/>
      </c>
      <c r="V26" s="309" t="str">
        <f>IF(_xlfn.XLOOKUP(V$14,TableOpenSpace['#],TableOpenSpace[Waste disposal quantity (in tonnes)])&lt;&gt;"",_xlfn.XLOOKUP(V$14,TableOpenSpace['#],TableOpenSpace[Waste disposal quantity (in tonnes)]),"")</f>
        <v/>
      </c>
      <c r="X26" s="168" t="str">
        <f>IFERROR(W25*V26,"")</f>
        <v/>
      </c>
      <c r="Z26" s="309" t="str">
        <f>IF(_xlfn.XLOOKUP(Z$14,TableOpenSpace['#],TableOpenSpace[Waste disposal quantity (in tonnes)])&lt;&gt;"",_xlfn.XLOOKUP(Z$14,TableOpenSpace['#],TableOpenSpace[Waste disposal quantity (in tonnes)]),"")</f>
        <v/>
      </c>
      <c r="AB26" s="168" t="str">
        <f>IFERROR(AA25*Z26,"")</f>
        <v/>
      </c>
      <c r="AD26" s="309" t="str">
        <f>IF(_xlfn.XLOOKUP(AD$14,TableOpenSpace['#],TableOpenSpace[Waste disposal quantity (in tonnes)])&lt;&gt;"",_xlfn.XLOOKUP(AD$14,TableOpenSpace['#],TableOpenSpace[Waste disposal quantity (in tonnes)]),"")</f>
        <v/>
      </c>
      <c r="AF26" s="168" t="str">
        <f>IFERROR(AE25*AD26,"")</f>
        <v/>
      </c>
      <c r="AH26" s="309" t="str">
        <f>IF(_xlfn.XLOOKUP(AH$14,TableOpenSpace['#],TableOpenSpace[Waste disposal quantity (in tonnes)])&lt;&gt;"",_xlfn.XLOOKUP(AH$14,TableOpenSpace['#],TableOpenSpace[Waste disposal quantity (in tonnes)]),"")</f>
        <v/>
      </c>
      <c r="AJ26" s="168" t="str">
        <f>IFERROR(AI25*AH26,"")</f>
        <v/>
      </c>
      <c r="AL26" s="309" t="str">
        <f>IF(_xlfn.XLOOKUP(AL$14,TableOpenSpace['#],TableOpenSpace[Waste disposal quantity (in tonnes)])&lt;&gt;"",_xlfn.XLOOKUP(AL$14,TableOpenSpace['#],TableOpenSpace[Waste disposal quantity (in tonnes)]),"")</f>
        <v/>
      </c>
      <c r="AN26" s="168" t="str">
        <f>IFERROR(AM25*AL26,"")</f>
        <v/>
      </c>
      <c r="AP26" s="309" t="str">
        <f>IF(_xlfn.XLOOKUP(AP$14,TableOpenSpace['#],TableOpenSpace[Waste disposal quantity (in tonnes)])&lt;&gt;"",_xlfn.XLOOKUP(AP$14,TableOpenSpace['#],TableOpenSpace[Waste disposal quantity (in tonnes)]),"")</f>
        <v/>
      </c>
      <c r="AR26" s="168" t="str">
        <f>IFERROR(AQ25*AP26,"")</f>
        <v/>
      </c>
      <c r="AT26" s="309" t="str">
        <f>IF(_xlfn.XLOOKUP(AT$14,TableOpenSpace['#],TableOpenSpace[Waste disposal quantity (in tonnes)])&lt;&gt;"",_xlfn.XLOOKUP(AT$14,TableOpenSpace['#],TableOpenSpace[Waste disposal quantity (in tonnes)]),"")</f>
        <v/>
      </c>
      <c r="AV26" s="168" t="str">
        <f>IFERROR(AU25*AT26,"")</f>
        <v/>
      </c>
      <c r="AX26" s="309" t="str">
        <f>IF(_xlfn.XLOOKUP(AX$14,TableOpenSpace['#],TableOpenSpace[Waste disposal quantity (in tonnes)])&lt;&gt;"",_xlfn.XLOOKUP(AX$14,TableOpenSpace['#],TableOpenSpace[Waste disposal quantity (in tonnes)]),"")</f>
        <v/>
      </c>
      <c r="AZ26" s="168" t="str">
        <f>IFERROR(AY25*AX26,"")</f>
        <v/>
      </c>
      <c r="BB26" s="309" t="str">
        <f>IF(_xlfn.XLOOKUP(BB$14,TableOpenSpace['#],TableOpenSpace[Waste disposal quantity (in tonnes)])&lt;&gt;"",_xlfn.XLOOKUP(BB$14,TableOpenSpace['#],TableOpenSpace[Waste disposal quantity (in tonnes)]),"")</f>
        <v/>
      </c>
      <c r="BD26" s="168" t="str">
        <f>IFERROR(BC25*BB26,"")</f>
        <v/>
      </c>
      <c r="BF26" s="309" t="str">
        <f>IF(_xlfn.XLOOKUP(BF$14,TableOpenSpace['#],TableOpenSpace[Waste disposal quantity (in tonnes)])&lt;&gt;"",_xlfn.XLOOKUP(BF$14,TableOpenSpace['#],TableOpenSpace[Waste disposal quantity (in tonnes)]),"")</f>
        <v/>
      </c>
      <c r="BH26" s="168" t="str">
        <f>IFERROR(BG25*BF26,"")</f>
        <v/>
      </c>
      <c r="BJ26" s="309" t="str">
        <f>IF(_xlfn.XLOOKUP(BJ$14,TableOpenSpace['#],TableOpenSpace[Waste disposal quantity (in tonnes)])&lt;&gt;"",_xlfn.XLOOKUP(BJ$14,TableOpenSpace['#],TableOpenSpace[Waste disposal quantity (in tonnes)]),"")</f>
        <v/>
      </c>
      <c r="BL26" s="168" t="str">
        <f>IFERROR(BK25*BJ26,"")</f>
        <v/>
      </c>
      <c r="BN26" s="309" t="str">
        <f>IF(_xlfn.XLOOKUP(BN$14,TableOpenSpace['#],TableOpenSpace[Waste disposal quantity (in tonnes)])&lt;&gt;"",_xlfn.XLOOKUP(BN$14,TableOpenSpace['#],TableOpenSpace[Waste disposal quantity (in tonnes)]),"")</f>
        <v/>
      </c>
      <c r="BP26" s="168" t="str">
        <f>IFERROR(BO25*BN26,"")</f>
        <v/>
      </c>
      <c r="BR26" s="309" t="str">
        <f>IF(_xlfn.XLOOKUP(BR$14,TableOpenSpace['#],TableOpenSpace[Waste disposal quantity (in tonnes)])&lt;&gt;"",_xlfn.XLOOKUP(BR$14,TableOpenSpace['#],TableOpenSpace[Waste disposal quantity (in tonnes)]),"")</f>
        <v/>
      </c>
      <c r="BT26" s="168" t="str">
        <f>IFERROR(BS25*BR26,"")</f>
        <v/>
      </c>
      <c r="BV26" s="309" t="str">
        <f>IF(_xlfn.XLOOKUP(BV$14,TableOpenSpace['#],TableOpenSpace[Waste disposal quantity (in tonnes)])&lt;&gt;"",_xlfn.XLOOKUP(BV$14,TableOpenSpace['#],TableOpenSpace[Waste disposal quantity (in tonnes)]),"")</f>
        <v/>
      </c>
      <c r="BX26" s="168" t="str">
        <f>IFERROR(BW25*BV26,"")</f>
        <v/>
      </c>
      <c r="BZ26" s="309" t="str">
        <f>IF(_xlfn.XLOOKUP(BZ$14,TableOpenSpace['#],TableOpenSpace[Waste disposal quantity (in tonnes)])&lt;&gt;"",_xlfn.XLOOKUP(BZ$14,TableOpenSpace['#],TableOpenSpace[Waste disposal quantity (in tonnes)]),"")</f>
        <v/>
      </c>
      <c r="CB26" s="168" t="str">
        <f>IFERROR(CA25*BZ26,"")</f>
        <v/>
      </c>
      <c r="CD26" s="309" t="str">
        <f>IF(_xlfn.XLOOKUP(CD$14,TableOpenSpace['#],TableOpenSpace[Waste disposal quantity (in tonnes)])&lt;&gt;"",_xlfn.XLOOKUP(CD$14,TableOpenSpace['#],TableOpenSpace[Waste disposal quantity (in tonnes)]),"")</f>
        <v/>
      </c>
      <c r="CF26" s="168" t="str">
        <f>IFERROR(CE25*CD26,"")</f>
        <v/>
      </c>
      <c r="CH26" s="309" t="str">
        <f>IF(_xlfn.XLOOKUP(CH$14,TableOpenSpace['#],TableOpenSpace[Waste disposal quantity (in tonnes)])&lt;&gt;"",_xlfn.XLOOKUP(CH$14,TableOpenSpace['#],TableOpenSpace[Waste disposal quantity (in tonnes)]),"")</f>
        <v/>
      </c>
      <c r="CJ26" s="168" t="str">
        <f>IFERROR(CI25*CH26,"")</f>
        <v/>
      </c>
      <c r="CL26" s="309" t="str">
        <f>IF(_xlfn.XLOOKUP(CL$14,TableOpenSpace['#],TableOpenSpace[Waste disposal quantity (in tonnes)])&lt;&gt;"",_xlfn.XLOOKUP(CL$14,TableOpenSpace['#],TableOpenSpace[Waste disposal quantity (in tonnes)]),"")</f>
        <v/>
      </c>
      <c r="CN26" s="168" t="str">
        <f>IFERROR(CM25*CL26,"")</f>
        <v/>
      </c>
      <c r="CP26" s="309" t="str">
        <f>IF(_xlfn.XLOOKUP(CP$14,TableOpenSpace['#],TableOpenSpace[Waste disposal quantity (in tonnes)])&lt;&gt;"",_xlfn.XLOOKUP(CP$14,TableOpenSpace['#],TableOpenSpace[Waste disposal quantity (in tonnes)]),"")</f>
        <v/>
      </c>
      <c r="CR26" s="168" t="str">
        <f>IFERROR(CQ25*CP26,"")</f>
        <v/>
      </c>
      <c r="CT26" s="309" t="str">
        <f>IF(_xlfn.XLOOKUP(CT$14,TableOpenSpace['#],TableOpenSpace[Waste disposal quantity (in tonnes)])&lt;&gt;"",_xlfn.XLOOKUP(CT$14,TableOpenSpace['#],TableOpenSpace[Waste disposal quantity (in tonnes)]),"")</f>
        <v/>
      </c>
      <c r="CV26" s="168" t="str">
        <f>IFERROR(CU25*CT26,"")</f>
        <v/>
      </c>
      <c r="CX26" s="309" t="str">
        <f>IF(_xlfn.XLOOKUP(CX$14,TableOpenSpace['#],TableOpenSpace[Waste disposal quantity (in tonnes)])&lt;&gt;"",_xlfn.XLOOKUP(CX$14,TableOpenSpace['#],TableOpenSpace[Waste disposal quantity (in tonnes)]),"")</f>
        <v/>
      </c>
      <c r="CZ26" s="168" t="str">
        <f>IFERROR(CY25*CX26,"")</f>
        <v/>
      </c>
      <c r="DB26" s="309" t="str">
        <f>IF(_xlfn.XLOOKUP(DB$14,TableOpenSpace['#],TableOpenSpace[Waste disposal quantity (in tonnes)])&lt;&gt;"",_xlfn.XLOOKUP(DB$14,TableOpenSpace['#],TableOpenSpace[Waste disposal quantity (in tonnes)]),"")</f>
        <v/>
      </c>
      <c r="DD26" s="168" t="str">
        <f>IFERROR(DC25*DB26,"")</f>
        <v/>
      </c>
      <c r="DF26" s="309" t="str">
        <f>IF(_xlfn.XLOOKUP(DF$14,TableOpenSpace['#],TableOpenSpace[Waste disposal quantity (in tonnes)])&lt;&gt;"",_xlfn.XLOOKUP(DF$14,TableOpenSpace['#],TableOpenSpace[Waste disposal quantity (in tonnes)]),"")</f>
        <v/>
      </c>
      <c r="DH26" s="168" t="str">
        <f>IFERROR(DG25*DF26,"")</f>
        <v/>
      </c>
      <c r="DJ26" s="309" t="str">
        <f>IF(_xlfn.XLOOKUP(DJ$14,TableOpenSpace['#],TableOpenSpace[Waste disposal quantity (in tonnes)])&lt;&gt;"",_xlfn.XLOOKUP(DJ$14,TableOpenSpace['#],TableOpenSpace[Waste disposal quantity (in tonnes)]),"")</f>
        <v/>
      </c>
      <c r="DL26" s="168" t="str">
        <f>IFERROR(DK25*DJ26,"")</f>
        <v/>
      </c>
      <c r="DN26" s="309" t="str">
        <f>IF(_xlfn.XLOOKUP(DN$14,TableOpenSpace['#],TableOpenSpace[Waste disposal quantity (in tonnes)])&lt;&gt;"",_xlfn.XLOOKUP(DN$14,TableOpenSpace['#],TableOpenSpace[Waste disposal quantity (in tonnes)]),"")</f>
        <v/>
      </c>
      <c r="DP26" s="168" t="str">
        <f>IFERROR(DO25*DN26,"")</f>
        <v/>
      </c>
      <c r="DR26" s="309" t="str">
        <f>IF(_xlfn.XLOOKUP(DR$14,TableOpenSpace['#],TableOpenSpace[Waste disposal quantity (in tonnes)])&lt;&gt;"",_xlfn.XLOOKUP(DR$14,TableOpenSpace['#],TableOpenSpace[Waste disposal quantity (in tonnes)]),"")</f>
        <v/>
      </c>
      <c r="DT26" s="168" t="str">
        <f>IFERROR(DS25*DR26,"")</f>
        <v/>
      </c>
      <c r="DV26" s="309" t="str">
        <f>IF(_xlfn.XLOOKUP(DV$14,TableOpenSpace['#],TableOpenSpace[Waste disposal quantity (in tonnes)])&lt;&gt;"",_xlfn.XLOOKUP(DV$14,TableOpenSpace['#],TableOpenSpace[Waste disposal quantity (in tonnes)]),"")</f>
        <v/>
      </c>
      <c r="DX26" s="168" t="str">
        <f>IFERROR(DW25*DV26,"")</f>
        <v/>
      </c>
      <c r="DZ26" s="309" t="str">
        <f>IF(_xlfn.XLOOKUP(DZ$14,TableOpenSpace['#],TableOpenSpace[Waste disposal quantity (in tonnes)])&lt;&gt;"",_xlfn.XLOOKUP(DZ$14,TableOpenSpace['#],TableOpenSpace[Waste disposal quantity (in tonnes)]),"")</f>
        <v/>
      </c>
      <c r="EB26" s="168" t="str">
        <f>IFERROR(EA25*DZ26,"")</f>
        <v/>
      </c>
      <c r="ED26" s="309" t="str">
        <f>IF(_xlfn.XLOOKUP(ED$14,TableOpenSpace['#],TableOpenSpace[Waste disposal quantity (in tonnes)])&lt;&gt;"",_xlfn.XLOOKUP(ED$14,TableOpenSpace['#],TableOpenSpace[Waste disposal quantity (in tonnes)]),"")</f>
        <v/>
      </c>
      <c r="EF26" s="168" t="str">
        <f>IFERROR(EE25*ED26,"")</f>
        <v/>
      </c>
      <c r="EH26" s="309" t="str">
        <f>IF(_xlfn.XLOOKUP(EH$14,TableOpenSpace['#],TableOpenSpace[Waste disposal quantity (in tonnes)])&lt;&gt;"",_xlfn.XLOOKUP(EH$14,TableOpenSpace['#],TableOpenSpace[Waste disposal quantity (in tonnes)]),"")</f>
        <v/>
      </c>
      <c r="EJ26" s="168" t="str">
        <f>IFERROR(EI25*EH26,"")</f>
        <v/>
      </c>
      <c r="EL26" s="309" t="str">
        <f>IF(_xlfn.XLOOKUP(EL$14,TableOpenSpace['#],TableOpenSpace[Waste disposal quantity (in tonnes)])&lt;&gt;"",_xlfn.XLOOKUP(EL$14,TableOpenSpace['#],TableOpenSpace[Waste disposal quantity (in tonnes)]),"")</f>
        <v/>
      </c>
      <c r="EN26" s="168" t="str">
        <f>IFERROR(EM25*EL26,"")</f>
        <v/>
      </c>
      <c r="EP26" s="309" t="str">
        <f>IF(_xlfn.XLOOKUP(EP$14,TableOpenSpace['#],TableOpenSpace[Waste disposal quantity (in tonnes)])&lt;&gt;"",_xlfn.XLOOKUP(EP$14,TableOpenSpace['#],TableOpenSpace[Waste disposal quantity (in tonnes)]),"")</f>
        <v/>
      </c>
      <c r="ER26" s="168" t="str">
        <f>IFERROR(EQ25*EP26,"")</f>
        <v/>
      </c>
      <c r="ET26" s="309" t="str">
        <f>IF(_xlfn.XLOOKUP(ET$14,TableOpenSpace['#],TableOpenSpace[Waste disposal quantity (in tonnes)])&lt;&gt;"",_xlfn.XLOOKUP(ET$14,TableOpenSpace['#],TableOpenSpace[Waste disposal quantity (in tonnes)]),"")</f>
        <v/>
      </c>
      <c r="EV26" s="168" t="str">
        <f>IFERROR(EU25*ET26,"")</f>
        <v/>
      </c>
      <c r="EX26" s="309" t="str">
        <f>IF(_xlfn.XLOOKUP(EX$14,TableOpenSpace['#],TableOpenSpace[Waste disposal quantity (in tonnes)])&lt;&gt;"",_xlfn.XLOOKUP(EX$14,TableOpenSpace['#],TableOpenSpace[Waste disposal quantity (in tonnes)]),"")</f>
        <v/>
      </c>
      <c r="EZ26" s="168" t="str">
        <f>IFERROR(EY25*EX26,"")</f>
        <v/>
      </c>
      <c r="FB26" s="309" t="str">
        <f>IF(_xlfn.XLOOKUP(FB$14,TableOpenSpace['#],TableOpenSpace[Waste disposal quantity (in tonnes)])&lt;&gt;"",_xlfn.XLOOKUP(FB$14,TableOpenSpace['#],TableOpenSpace[Waste disposal quantity (in tonnes)]),"")</f>
        <v/>
      </c>
      <c r="FD26" s="168" t="str">
        <f>IFERROR(FC25*FB26,"")</f>
        <v/>
      </c>
      <c r="FF26" s="309" t="str">
        <f>IF(_xlfn.XLOOKUP(FF$14,TableOpenSpace['#],TableOpenSpace[Waste disposal quantity (in tonnes)])&lt;&gt;"",_xlfn.XLOOKUP(FF$14,TableOpenSpace['#],TableOpenSpace[Waste disposal quantity (in tonnes)]),"")</f>
        <v/>
      </c>
      <c r="FH26" s="168" t="str">
        <f>IFERROR(FG25*FF26,"")</f>
        <v/>
      </c>
      <c r="FJ26" s="309" t="str">
        <f>IF(_xlfn.XLOOKUP(FJ$14,TableOpenSpace['#],TableOpenSpace[Waste disposal quantity (in tonnes)])&lt;&gt;"",_xlfn.XLOOKUP(FJ$14,TableOpenSpace['#],TableOpenSpace[Waste disposal quantity (in tonnes)]),"")</f>
        <v/>
      </c>
      <c r="FL26" s="168" t="str">
        <f>IFERROR(FK25*FJ26,"")</f>
        <v/>
      </c>
      <c r="FN26" s="309" t="str">
        <f>IF(_xlfn.XLOOKUP(FN$14,TableOpenSpace['#],TableOpenSpace[Waste disposal quantity (in tonnes)])&lt;&gt;"",_xlfn.XLOOKUP(FN$14,TableOpenSpace['#],TableOpenSpace[Waste disposal quantity (in tonnes)]),"")</f>
        <v/>
      </c>
      <c r="FP26" s="168" t="str">
        <f>IFERROR(FO25*FN26,"")</f>
        <v/>
      </c>
      <c r="FR26" s="309" t="str">
        <f>IF(_xlfn.XLOOKUP(FR$14,TableOpenSpace['#],TableOpenSpace[Waste disposal quantity (in tonnes)])&lt;&gt;"",_xlfn.XLOOKUP(FR$14,TableOpenSpace['#],TableOpenSpace[Waste disposal quantity (in tonnes)]),"")</f>
        <v/>
      </c>
      <c r="FT26" s="168" t="str">
        <f>IFERROR(FS25*FR26,"")</f>
        <v/>
      </c>
      <c r="FV26" s="309" t="str">
        <f>IF(_xlfn.XLOOKUP(FV$14,TableOpenSpace['#],TableOpenSpace[Waste disposal quantity (in tonnes)])&lt;&gt;"",_xlfn.XLOOKUP(FV$14,TableOpenSpace['#],TableOpenSpace[Waste disposal quantity (in tonnes)]),"")</f>
        <v/>
      </c>
      <c r="FX26" s="168" t="str">
        <f>IFERROR(FW25*FV26,"")</f>
        <v/>
      </c>
      <c r="FZ26" s="309" t="str">
        <f>IF(_xlfn.XLOOKUP(FZ$14,TableOpenSpace['#],TableOpenSpace[Waste disposal quantity (in tonnes)])&lt;&gt;"",_xlfn.XLOOKUP(FZ$14,TableOpenSpace['#],TableOpenSpace[Waste disposal quantity (in tonnes)]),"")</f>
        <v/>
      </c>
      <c r="GB26" s="168" t="str">
        <f>IFERROR(GA25*FZ26,"")</f>
        <v/>
      </c>
      <c r="GD26" s="309" t="str">
        <f>IF(_xlfn.XLOOKUP(GD$14,TableOpenSpace['#],TableOpenSpace[Waste disposal quantity (in tonnes)])&lt;&gt;"",_xlfn.XLOOKUP(GD$14,TableOpenSpace['#],TableOpenSpace[Waste disposal quantity (in tonnes)]),"")</f>
        <v/>
      </c>
      <c r="GF26" s="168" t="str">
        <f>IFERROR(GE25*GD26,"")</f>
        <v/>
      </c>
      <c r="GH26" s="309" t="str">
        <f>IF(_xlfn.XLOOKUP(GH$14,TableOpenSpace['#],TableOpenSpace[Waste disposal quantity (in tonnes)])&lt;&gt;"",_xlfn.XLOOKUP(GH$14,TableOpenSpace['#],TableOpenSpace[Waste disposal quantity (in tonnes)]),"")</f>
        <v/>
      </c>
      <c r="GJ26" s="168" t="str">
        <f>IFERROR(GI25*GH26,"")</f>
        <v/>
      </c>
      <c r="GL26" s="309" t="str">
        <f>IF(_xlfn.XLOOKUP(GL$14,TableOpenSpace['#],TableOpenSpace[Waste disposal quantity (in tonnes)])&lt;&gt;"",_xlfn.XLOOKUP(GL$14,TableOpenSpace['#],TableOpenSpace[Waste disposal quantity (in tonnes)]),"")</f>
        <v/>
      </c>
      <c r="GN26" s="168" t="str">
        <f>IFERROR(GM25*GL26,"")</f>
        <v/>
      </c>
      <c r="GP26" s="309" t="str">
        <f>IF(_xlfn.XLOOKUP(GP$14,TableOpenSpace['#],TableOpenSpace[Waste disposal quantity (in tonnes)])&lt;&gt;"",_xlfn.XLOOKUP(GP$14,TableOpenSpace['#],TableOpenSpace[Waste disposal quantity (in tonnes)]),"")</f>
        <v/>
      </c>
      <c r="GR26" s="168" t="str">
        <f>IFERROR(GQ25*GP26,"")</f>
        <v/>
      </c>
      <c r="GT26" s="309" t="str">
        <f>IF(_xlfn.XLOOKUP(GT$14,TableOpenSpace['#],TableOpenSpace[Waste disposal quantity (in tonnes)])&lt;&gt;"",_xlfn.XLOOKUP(GT$14,TableOpenSpace['#],TableOpenSpace[Waste disposal quantity (in tonnes)]),"")</f>
        <v/>
      </c>
      <c r="GV26" s="168" t="str">
        <f>IFERROR(GU25*GT26,"")</f>
        <v/>
      </c>
    </row>
    <row r="27" spans="4:204" x14ac:dyDescent="0.2">
      <c r="D27" t="s">
        <v>155</v>
      </c>
      <c r="F27" s="236" t="str">
        <f>IF(_xlfn.XLOOKUP(F$14,TableOpenSpace['#],TableOpenSpace[Contaminated land remediation (if applicable)])&lt;&gt;"",_xlfn.XLOOKUP(F$14,TableOpenSpace['#],TableOpenSpace[Contaminated land remediation (if applicable)]),"")</f>
        <v/>
      </c>
      <c r="G27" s="161" t="str" cm="1">
        <f t="array" ref="G27">IFERROR(INDEX('Variable index'!$E$68:$F$73,MATCH(F$27,'Variable index'!$C$68:$C$73,0),$D$12),"")</f>
        <v/>
      </c>
      <c r="J27" s="236" t="str">
        <f>IF(_xlfn.XLOOKUP(J$14,TableOpenSpace['#],TableOpenSpace[Contaminated land remediation (if applicable)])&lt;&gt;"",_xlfn.XLOOKUP(J$14,TableOpenSpace['#],TableOpenSpace[Contaminated land remediation (if applicable)]),"")</f>
        <v/>
      </c>
      <c r="K27" s="161" t="str" cm="1">
        <f t="array" ref="K27">IFERROR(INDEX('Variable index'!$E$68:$F$73,MATCH(J$27,'Variable index'!$C$68:$C$73,0),$D$12),"")</f>
        <v/>
      </c>
      <c r="N27" s="236" t="str">
        <f>IF(_xlfn.XLOOKUP(N$14,TableOpenSpace['#],TableOpenSpace[Contaminated land remediation (if applicable)])&lt;&gt;"",_xlfn.XLOOKUP(N$14,TableOpenSpace['#],TableOpenSpace[Contaminated land remediation (if applicable)]),"")</f>
        <v/>
      </c>
      <c r="O27" s="161" t="str" cm="1">
        <f t="array" ref="O27">IFERROR(INDEX('Variable index'!$E$68:$F$73,MATCH(N$27,'Variable index'!$C$68:$C$73,0),$D$12),"")</f>
        <v/>
      </c>
      <c r="R27" s="236" t="str">
        <f>IF(_xlfn.XLOOKUP(R$14,TableOpenSpace['#],TableOpenSpace[Contaminated land remediation (if applicable)])&lt;&gt;"",_xlfn.XLOOKUP(R$14,TableOpenSpace['#],TableOpenSpace[Contaminated land remediation (if applicable)]),"")</f>
        <v/>
      </c>
      <c r="S27" s="161" t="str" cm="1">
        <f t="array" ref="S27">IFERROR(INDEX('Variable index'!$E$68:$F$73,MATCH(R$27,'Variable index'!$C$68:$C$73,0),$D$12),"")</f>
        <v/>
      </c>
      <c r="V27" s="236" t="str">
        <f>IF(_xlfn.XLOOKUP(V$14,TableOpenSpace['#],TableOpenSpace[Contaminated land remediation (if applicable)])&lt;&gt;"",_xlfn.XLOOKUP(V$14,TableOpenSpace['#],TableOpenSpace[Contaminated land remediation (if applicable)]),"")</f>
        <v/>
      </c>
      <c r="W27" s="161" t="str" cm="1">
        <f t="array" ref="W27">IFERROR(INDEX('Variable index'!$E$68:$F$73,MATCH(V$27,'Variable index'!$C$68:$C$73,0),$D$12),"")</f>
        <v/>
      </c>
      <c r="Z27" s="236" t="str">
        <f>IF(_xlfn.XLOOKUP(Z$14,TableOpenSpace['#],TableOpenSpace[Contaminated land remediation (if applicable)])&lt;&gt;"",_xlfn.XLOOKUP(Z$14,TableOpenSpace['#],TableOpenSpace[Contaminated land remediation (if applicable)]),"")</f>
        <v/>
      </c>
      <c r="AA27" s="161" t="str" cm="1">
        <f t="array" ref="AA27">IFERROR(INDEX('Variable index'!$E$68:$F$73,MATCH(Z$27,'Variable index'!$C$68:$C$73,0),$D$12),"")</f>
        <v/>
      </c>
      <c r="AD27" s="236" t="str">
        <f>IF(_xlfn.XLOOKUP(AD$14,TableOpenSpace['#],TableOpenSpace[Contaminated land remediation (if applicable)])&lt;&gt;"",_xlfn.XLOOKUP(AD$14,TableOpenSpace['#],TableOpenSpace[Contaminated land remediation (if applicable)]),"")</f>
        <v/>
      </c>
      <c r="AE27" s="161" t="str" cm="1">
        <f t="array" ref="AE27">IFERROR(INDEX('Variable index'!$E$68:$F$73,MATCH(AD$27,'Variable index'!$C$68:$C$73,0),$D$12),"")</f>
        <v/>
      </c>
      <c r="AH27" s="236" t="str">
        <f>IF(_xlfn.XLOOKUP(AH$14,TableOpenSpace['#],TableOpenSpace[Contaminated land remediation (if applicable)])&lt;&gt;"",_xlfn.XLOOKUP(AH$14,TableOpenSpace['#],TableOpenSpace[Contaminated land remediation (if applicable)]),"")</f>
        <v/>
      </c>
      <c r="AI27" s="161" t="str" cm="1">
        <f t="array" ref="AI27">IFERROR(INDEX('Variable index'!$E$68:$F$73,MATCH(AH$27,'Variable index'!$C$68:$C$73,0),$D$12),"")</f>
        <v/>
      </c>
      <c r="AL27" s="236" t="str">
        <f>IF(_xlfn.XLOOKUP(AL$14,TableOpenSpace['#],TableOpenSpace[Contaminated land remediation (if applicable)])&lt;&gt;"",_xlfn.XLOOKUP(AL$14,TableOpenSpace['#],TableOpenSpace[Contaminated land remediation (if applicable)]),"")</f>
        <v/>
      </c>
      <c r="AM27" s="161" t="str" cm="1">
        <f t="array" ref="AM27">IFERROR(INDEX('Variable index'!$E$68:$F$73,MATCH(AL$27,'Variable index'!$C$68:$C$73,0),$D$12),"")</f>
        <v/>
      </c>
      <c r="AP27" s="236" t="str">
        <f>IF(_xlfn.XLOOKUP(AP$14,TableOpenSpace['#],TableOpenSpace[Contaminated land remediation (if applicable)])&lt;&gt;"",_xlfn.XLOOKUP(AP$14,TableOpenSpace['#],TableOpenSpace[Contaminated land remediation (if applicable)]),"")</f>
        <v/>
      </c>
      <c r="AQ27" s="161" t="str" cm="1">
        <f t="array" ref="AQ27">IFERROR(INDEX('Variable index'!$E$68:$F$73,MATCH(AP$27,'Variable index'!$C$68:$C$73,0),$D$12),"")</f>
        <v/>
      </c>
      <c r="AT27" s="236" t="str">
        <f>IF(_xlfn.XLOOKUP(AT$14,TableOpenSpace['#],TableOpenSpace[Contaminated land remediation (if applicable)])&lt;&gt;"",_xlfn.XLOOKUP(AT$14,TableOpenSpace['#],TableOpenSpace[Contaminated land remediation (if applicable)]),"")</f>
        <v/>
      </c>
      <c r="AU27" s="161" t="str" cm="1">
        <f t="array" ref="AU27">IFERROR(INDEX('Variable index'!$E$68:$F$73,MATCH(AT$27,'Variable index'!$C$68:$C$73,0),$D$12),"")</f>
        <v/>
      </c>
      <c r="AX27" s="236" t="str">
        <f>IF(_xlfn.XLOOKUP(AX$14,TableOpenSpace['#],TableOpenSpace[Contaminated land remediation (if applicable)])&lt;&gt;"",_xlfn.XLOOKUP(AX$14,TableOpenSpace['#],TableOpenSpace[Contaminated land remediation (if applicable)]),"")</f>
        <v/>
      </c>
      <c r="AY27" s="161" t="str" cm="1">
        <f t="array" ref="AY27">IFERROR(INDEX('Variable index'!$E$68:$F$73,MATCH(AX$27,'Variable index'!$C$68:$C$73,0),$D$12),"")</f>
        <v/>
      </c>
      <c r="BB27" s="236" t="str">
        <f>IF(_xlfn.XLOOKUP(BB$14,TableOpenSpace['#],TableOpenSpace[Contaminated land remediation (if applicable)])&lt;&gt;"",_xlfn.XLOOKUP(BB$14,TableOpenSpace['#],TableOpenSpace[Contaminated land remediation (if applicable)]),"")</f>
        <v/>
      </c>
      <c r="BC27" s="161" t="str" cm="1">
        <f t="array" ref="BC27">IFERROR(INDEX('Variable index'!$E$68:$F$73,MATCH(BB$27,'Variable index'!$C$68:$C$73,0),$D$12),"")</f>
        <v/>
      </c>
      <c r="BF27" s="236" t="str">
        <f>IF(_xlfn.XLOOKUP(BF$14,TableOpenSpace['#],TableOpenSpace[Contaminated land remediation (if applicable)])&lt;&gt;"",_xlfn.XLOOKUP(BF$14,TableOpenSpace['#],TableOpenSpace[Contaminated land remediation (if applicable)]),"")</f>
        <v/>
      </c>
      <c r="BG27" s="161" t="str" cm="1">
        <f t="array" ref="BG27">IFERROR(INDEX('Variable index'!$E$68:$F$73,MATCH(BF$27,'Variable index'!$C$68:$C$73,0),$D$12),"")</f>
        <v/>
      </c>
      <c r="BJ27" s="236" t="str">
        <f>IF(_xlfn.XLOOKUP(BJ$14,TableOpenSpace['#],TableOpenSpace[Contaminated land remediation (if applicable)])&lt;&gt;"",_xlfn.XLOOKUP(BJ$14,TableOpenSpace['#],TableOpenSpace[Contaminated land remediation (if applicable)]),"")</f>
        <v/>
      </c>
      <c r="BK27" s="161" t="str" cm="1">
        <f t="array" ref="BK27">IFERROR(INDEX('Variable index'!$E$68:$F$73,MATCH(BJ$27,'Variable index'!$C$68:$C$73,0),$D$12),"")</f>
        <v/>
      </c>
      <c r="BN27" s="236" t="str">
        <f>IF(_xlfn.XLOOKUP(BN$14,TableOpenSpace['#],TableOpenSpace[Contaminated land remediation (if applicable)])&lt;&gt;"",_xlfn.XLOOKUP(BN$14,TableOpenSpace['#],TableOpenSpace[Contaminated land remediation (if applicable)]),"")</f>
        <v/>
      </c>
      <c r="BO27" s="161" t="str" cm="1">
        <f t="array" ref="BO27">IFERROR(INDEX('Variable index'!$E$68:$F$73,MATCH(BN$27,'Variable index'!$C$68:$C$73,0),$D$12),"")</f>
        <v/>
      </c>
      <c r="BR27" s="236" t="str">
        <f>IF(_xlfn.XLOOKUP(BR$14,TableOpenSpace['#],TableOpenSpace[Contaminated land remediation (if applicable)])&lt;&gt;"",_xlfn.XLOOKUP(BR$14,TableOpenSpace['#],TableOpenSpace[Contaminated land remediation (if applicable)]),"")</f>
        <v/>
      </c>
      <c r="BS27" s="161" t="str" cm="1">
        <f t="array" ref="BS27">IFERROR(INDEX('Variable index'!$E$68:$F$73,MATCH(BR$27,'Variable index'!$C$68:$C$73,0),$D$12),"")</f>
        <v/>
      </c>
      <c r="BV27" s="236" t="str">
        <f>IF(_xlfn.XLOOKUP(BV$14,TableOpenSpace['#],TableOpenSpace[Contaminated land remediation (if applicable)])&lt;&gt;"",_xlfn.XLOOKUP(BV$14,TableOpenSpace['#],TableOpenSpace[Contaminated land remediation (if applicable)]),"")</f>
        <v/>
      </c>
      <c r="BW27" s="161" t="str" cm="1">
        <f t="array" ref="BW27">IFERROR(INDEX('Variable index'!$E$68:$F$73,MATCH(BV$27,'Variable index'!$C$68:$C$73,0),$D$12),"")</f>
        <v/>
      </c>
      <c r="BZ27" s="236" t="str">
        <f>IF(_xlfn.XLOOKUP(BZ$14,TableOpenSpace['#],TableOpenSpace[Contaminated land remediation (if applicable)])&lt;&gt;"",_xlfn.XLOOKUP(BZ$14,TableOpenSpace['#],TableOpenSpace[Contaminated land remediation (if applicable)]),"")</f>
        <v/>
      </c>
      <c r="CA27" s="161" t="str" cm="1">
        <f t="array" ref="CA27">IFERROR(INDEX('Variable index'!$E$68:$F$73,MATCH(BZ$27,'Variable index'!$C$68:$C$73,0),$D$12),"")</f>
        <v/>
      </c>
      <c r="CD27" s="236" t="str">
        <f>IF(_xlfn.XLOOKUP(CD$14,TableOpenSpace['#],TableOpenSpace[Contaminated land remediation (if applicable)])&lt;&gt;"",_xlfn.XLOOKUP(CD$14,TableOpenSpace['#],TableOpenSpace[Contaminated land remediation (if applicable)]),"")</f>
        <v/>
      </c>
      <c r="CE27" s="161" t="str" cm="1">
        <f t="array" ref="CE27">IFERROR(INDEX('Variable index'!$E$68:$F$73,MATCH(CD$27,'Variable index'!$C$68:$C$73,0),$D$12),"")</f>
        <v/>
      </c>
      <c r="CH27" s="236" t="str">
        <f>IF(_xlfn.XLOOKUP(CH$14,TableOpenSpace['#],TableOpenSpace[Contaminated land remediation (if applicable)])&lt;&gt;"",_xlfn.XLOOKUP(CH$14,TableOpenSpace['#],TableOpenSpace[Contaminated land remediation (if applicable)]),"")</f>
        <v/>
      </c>
      <c r="CI27" s="161" t="str" cm="1">
        <f t="array" ref="CI27">IFERROR(INDEX('Variable index'!$E$68:$F$73,MATCH(CH$27,'Variable index'!$C$68:$C$73,0),$D$12),"")</f>
        <v/>
      </c>
      <c r="CL27" s="236" t="str">
        <f>IF(_xlfn.XLOOKUP(CL$14,TableOpenSpace['#],TableOpenSpace[Contaminated land remediation (if applicable)])&lt;&gt;"",_xlfn.XLOOKUP(CL$14,TableOpenSpace['#],TableOpenSpace[Contaminated land remediation (if applicable)]),"")</f>
        <v/>
      </c>
      <c r="CM27" s="161" t="str" cm="1">
        <f t="array" ref="CM27">IFERROR(INDEX('Variable index'!$E$68:$F$73,MATCH(CL$27,'Variable index'!$C$68:$C$73,0),$D$12),"")</f>
        <v/>
      </c>
      <c r="CP27" s="236" t="str">
        <f>IF(_xlfn.XLOOKUP(CP$14,TableOpenSpace['#],TableOpenSpace[Contaminated land remediation (if applicable)])&lt;&gt;"",_xlfn.XLOOKUP(CP$14,TableOpenSpace['#],TableOpenSpace[Contaminated land remediation (if applicable)]),"")</f>
        <v/>
      </c>
      <c r="CQ27" s="161" t="str" cm="1">
        <f t="array" ref="CQ27">IFERROR(INDEX('Variable index'!$E$68:$F$73,MATCH(CP$27,'Variable index'!$C$68:$C$73,0),$D$12),"")</f>
        <v/>
      </c>
      <c r="CT27" s="236" t="str">
        <f>IF(_xlfn.XLOOKUP(CT$14,TableOpenSpace['#],TableOpenSpace[Contaminated land remediation (if applicable)])&lt;&gt;"",_xlfn.XLOOKUP(CT$14,TableOpenSpace['#],TableOpenSpace[Contaminated land remediation (if applicable)]),"")</f>
        <v/>
      </c>
      <c r="CU27" s="161" t="str" cm="1">
        <f t="array" ref="CU27">IFERROR(INDEX('Variable index'!$E$68:$F$73,MATCH(CT$27,'Variable index'!$C$68:$C$73,0),$D$12),"")</f>
        <v/>
      </c>
      <c r="CX27" s="236" t="str">
        <f>IF(_xlfn.XLOOKUP(CX$14,TableOpenSpace['#],TableOpenSpace[Contaminated land remediation (if applicable)])&lt;&gt;"",_xlfn.XLOOKUP(CX$14,TableOpenSpace['#],TableOpenSpace[Contaminated land remediation (if applicable)]),"")</f>
        <v/>
      </c>
      <c r="CY27" s="161" t="str" cm="1">
        <f t="array" ref="CY27">IFERROR(INDEX('Variable index'!$E$68:$F$73,MATCH(CX$27,'Variable index'!$C$68:$C$73,0),$D$12),"")</f>
        <v/>
      </c>
      <c r="DB27" s="236" t="str">
        <f>IF(_xlfn.XLOOKUP(DB$14,TableOpenSpace['#],TableOpenSpace[Contaminated land remediation (if applicable)])&lt;&gt;"",_xlfn.XLOOKUP(DB$14,TableOpenSpace['#],TableOpenSpace[Contaminated land remediation (if applicable)]),"")</f>
        <v/>
      </c>
      <c r="DC27" s="161" t="str" cm="1">
        <f t="array" ref="DC27">IFERROR(INDEX('Variable index'!$E$68:$F$73,MATCH(DB$27,'Variable index'!$C$68:$C$73,0),$D$12),"")</f>
        <v/>
      </c>
      <c r="DF27" s="236" t="str">
        <f>IF(_xlfn.XLOOKUP(DF$14,TableOpenSpace['#],TableOpenSpace[Contaminated land remediation (if applicable)])&lt;&gt;"",_xlfn.XLOOKUP(DF$14,TableOpenSpace['#],TableOpenSpace[Contaminated land remediation (if applicable)]),"")</f>
        <v/>
      </c>
      <c r="DG27" s="161" t="str" cm="1">
        <f t="array" ref="DG27">IFERROR(INDEX('Variable index'!$E$68:$F$73,MATCH(DF$27,'Variable index'!$C$68:$C$73,0),$D$12),"")</f>
        <v/>
      </c>
      <c r="DJ27" s="236" t="str">
        <f>IF(_xlfn.XLOOKUP(DJ$14,TableOpenSpace['#],TableOpenSpace[Contaminated land remediation (if applicable)])&lt;&gt;"",_xlfn.XLOOKUP(DJ$14,TableOpenSpace['#],TableOpenSpace[Contaminated land remediation (if applicable)]),"")</f>
        <v/>
      </c>
      <c r="DK27" s="161" t="str" cm="1">
        <f t="array" ref="DK27">IFERROR(INDEX('Variable index'!$E$68:$F$73,MATCH(DJ$27,'Variable index'!$C$68:$C$73,0),$D$12),"")</f>
        <v/>
      </c>
      <c r="DN27" s="236" t="str">
        <f>IF(_xlfn.XLOOKUP(DN$14,TableOpenSpace['#],TableOpenSpace[Contaminated land remediation (if applicable)])&lt;&gt;"",_xlfn.XLOOKUP(DN$14,TableOpenSpace['#],TableOpenSpace[Contaminated land remediation (if applicable)]),"")</f>
        <v/>
      </c>
      <c r="DO27" s="161" t="str" cm="1">
        <f t="array" ref="DO27">IFERROR(INDEX('Variable index'!$E$68:$F$73,MATCH(DN$27,'Variable index'!$C$68:$C$73,0),$D$12),"")</f>
        <v/>
      </c>
      <c r="DR27" s="236" t="str">
        <f>IF(_xlfn.XLOOKUP(DR$14,TableOpenSpace['#],TableOpenSpace[Contaminated land remediation (if applicable)])&lt;&gt;"",_xlfn.XLOOKUP(DR$14,TableOpenSpace['#],TableOpenSpace[Contaminated land remediation (if applicable)]),"")</f>
        <v/>
      </c>
      <c r="DS27" s="161" t="str" cm="1">
        <f t="array" ref="DS27">IFERROR(INDEX('Variable index'!$E$68:$F$73,MATCH(DR$27,'Variable index'!$C$68:$C$73,0),$D$12),"")</f>
        <v/>
      </c>
      <c r="DV27" s="236" t="str">
        <f>IF(_xlfn.XLOOKUP(DV$14,TableOpenSpace['#],TableOpenSpace[Contaminated land remediation (if applicable)])&lt;&gt;"",_xlfn.XLOOKUP(DV$14,TableOpenSpace['#],TableOpenSpace[Contaminated land remediation (if applicable)]),"")</f>
        <v/>
      </c>
      <c r="DW27" s="161" t="str" cm="1">
        <f t="array" ref="DW27">IFERROR(INDEX('Variable index'!$E$68:$F$73,MATCH(DV$27,'Variable index'!$C$68:$C$73,0),$D$12),"")</f>
        <v/>
      </c>
      <c r="DZ27" s="236" t="str">
        <f>IF(_xlfn.XLOOKUP(DZ$14,TableOpenSpace['#],TableOpenSpace[Contaminated land remediation (if applicable)])&lt;&gt;"",_xlfn.XLOOKUP(DZ$14,TableOpenSpace['#],TableOpenSpace[Contaminated land remediation (if applicable)]),"")</f>
        <v/>
      </c>
      <c r="EA27" s="161" t="str" cm="1">
        <f t="array" ref="EA27">IFERROR(INDEX('Variable index'!$E$68:$F$73,MATCH(DZ$27,'Variable index'!$C$68:$C$73,0),$D$12),"")</f>
        <v/>
      </c>
      <c r="ED27" s="236" t="str">
        <f>IF(_xlfn.XLOOKUP(ED$14,TableOpenSpace['#],TableOpenSpace[Contaminated land remediation (if applicable)])&lt;&gt;"",_xlfn.XLOOKUP(ED$14,TableOpenSpace['#],TableOpenSpace[Contaminated land remediation (if applicable)]),"")</f>
        <v/>
      </c>
      <c r="EE27" s="161" t="str" cm="1">
        <f t="array" ref="EE27">IFERROR(INDEX('Variable index'!$E$68:$F$73,MATCH(ED$27,'Variable index'!$C$68:$C$73,0),$D$12),"")</f>
        <v/>
      </c>
      <c r="EH27" s="236" t="str">
        <f>IF(_xlfn.XLOOKUP(EH$14,TableOpenSpace['#],TableOpenSpace[Contaminated land remediation (if applicable)])&lt;&gt;"",_xlfn.XLOOKUP(EH$14,TableOpenSpace['#],TableOpenSpace[Contaminated land remediation (if applicable)]),"")</f>
        <v/>
      </c>
      <c r="EI27" s="161" t="str" cm="1">
        <f t="array" ref="EI27">IFERROR(INDEX('Variable index'!$E$68:$F$73,MATCH(EH$27,'Variable index'!$C$68:$C$73,0),$D$12),"")</f>
        <v/>
      </c>
      <c r="EL27" s="236" t="str">
        <f>IF(_xlfn.XLOOKUP(EL$14,TableOpenSpace['#],TableOpenSpace[Contaminated land remediation (if applicable)])&lt;&gt;"",_xlfn.XLOOKUP(EL$14,TableOpenSpace['#],TableOpenSpace[Contaminated land remediation (if applicable)]),"")</f>
        <v/>
      </c>
      <c r="EM27" s="161" t="str" cm="1">
        <f t="array" ref="EM27">IFERROR(INDEX('Variable index'!$E$68:$F$73,MATCH(EL$27,'Variable index'!$C$68:$C$73,0),$D$12),"")</f>
        <v/>
      </c>
      <c r="EP27" s="236" t="str">
        <f>IF(_xlfn.XLOOKUP(EP$14,TableOpenSpace['#],TableOpenSpace[Contaminated land remediation (if applicable)])&lt;&gt;"",_xlfn.XLOOKUP(EP$14,TableOpenSpace['#],TableOpenSpace[Contaminated land remediation (if applicable)]),"")</f>
        <v/>
      </c>
      <c r="EQ27" s="161" t="str" cm="1">
        <f t="array" ref="EQ27">IFERROR(INDEX('Variable index'!$E$68:$F$73,MATCH(EP$27,'Variable index'!$C$68:$C$73,0),$D$12),"")</f>
        <v/>
      </c>
      <c r="ET27" s="236" t="str">
        <f>IF(_xlfn.XLOOKUP(ET$14,TableOpenSpace['#],TableOpenSpace[Contaminated land remediation (if applicable)])&lt;&gt;"",_xlfn.XLOOKUP(ET$14,TableOpenSpace['#],TableOpenSpace[Contaminated land remediation (if applicable)]),"")</f>
        <v/>
      </c>
      <c r="EU27" s="161" t="str" cm="1">
        <f t="array" ref="EU27">IFERROR(INDEX('Variable index'!$E$68:$F$73,MATCH(ET$27,'Variable index'!$C$68:$C$73,0),$D$12),"")</f>
        <v/>
      </c>
      <c r="EX27" s="236" t="str">
        <f>IF(_xlfn.XLOOKUP(EX$14,TableOpenSpace['#],TableOpenSpace[Contaminated land remediation (if applicable)])&lt;&gt;"",_xlfn.XLOOKUP(EX$14,TableOpenSpace['#],TableOpenSpace[Contaminated land remediation (if applicable)]),"")</f>
        <v/>
      </c>
      <c r="EY27" s="161" t="str" cm="1">
        <f t="array" ref="EY27">IFERROR(INDEX('Variable index'!$E$68:$F$73,MATCH(EX$27,'Variable index'!$C$68:$C$73,0),$D$12),"")</f>
        <v/>
      </c>
      <c r="FB27" s="236" t="str">
        <f>IF(_xlfn.XLOOKUP(FB$14,TableOpenSpace['#],TableOpenSpace[Contaminated land remediation (if applicable)])&lt;&gt;"",_xlfn.XLOOKUP(FB$14,TableOpenSpace['#],TableOpenSpace[Contaminated land remediation (if applicable)]),"")</f>
        <v/>
      </c>
      <c r="FC27" s="161" t="str" cm="1">
        <f t="array" ref="FC27">IFERROR(INDEX('Variable index'!$E$68:$F$73,MATCH(FB$27,'Variable index'!$C$68:$C$73,0),$D$12),"")</f>
        <v/>
      </c>
      <c r="FF27" s="236" t="str">
        <f>IF(_xlfn.XLOOKUP(FF$14,TableOpenSpace['#],TableOpenSpace[Contaminated land remediation (if applicable)])&lt;&gt;"",_xlfn.XLOOKUP(FF$14,TableOpenSpace['#],TableOpenSpace[Contaminated land remediation (if applicable)]),"")</f>
        <v/>
      </c>
      <c r="FG27" s="161" t="str" cm="1">
        <f t="array" ref="FG27">IFERROR(INDEX('Variable index'!$E$68:$F$73,MATCH(FF$27,'Variable index'!$C$68:$C$73,0),$D$12),"")</f>
        <v/>
      </c>
      <c r="FJ27" s="236" t="str">
        <f>IF(_xlfn.XLOOKUP(FJ$14,TableOpenSpace['#],TableOpenSpace[Contaminated land remediation (if applicable)])&lt;&gt;"",_xlfn.XLOOKUP(FJ$14,TableOpenSpace['#],TableOpenSpace[Contaminated land remediation (if applicable)]),"")</f>
        <v/>
      </c>
      <c r="FK27" s="161" t="str" cm="1">
        <f t="array" ref="FK27">IFERROR(INDEX('Variable index'!$E$68:$F$73,MATCH(FJ$27,'Variable index'!$C$68:$C$73,0),$D$12),"")</f>
        <v/>
      </c>
      <c r="FN27" s="236" t="str">
        <f>IF(_xlfn.XLOOKUP(FN$14,TableOpenSpace['#],TableOpenSpace[Contaminated land remediation (if applicable)])&lt;&gt;"",_xlfn.XLOOKUP(FN$14,TableOpenSpace['#],TableOpenSpace[Contaminated land remediation (if applicable)]),"")</f>
        <v/>
      </c>
      <c r="FO27" s="161" t="str" cm="1">
        <f t="array" ref="FO27">IFERROR(INDEX('Variable index'!$E$68:$F$73,MATCH(FN$27,'Variable index'!$C$68:$C$73,0),$D$12),"")</f>
        <v/>
      </c>
      <c r="FR27" s="236" t="str">
        <f>IF(_xlfn.XLOOKUP(FR$14,TableOpenSpace['#],TableOpenSpace[Contaminated land remediation (if applicable)])&lt;&gt;"",_xlfn.XLOOKUP(FR$14,TableOpenSpace['#],TableOpenSpace[Contaminated land remediation (if applicable)]),"")</f>
        <v/>
      </c>
      <c r="FS27" s="161" t="str" cm="1">
        <f t="array" ref="FS27">IFERROR(INDEX('Variable index'!$E$68:$F$73,MATCH(FR$27,'Variable index'!$C$68:$C$73,0),$D$12),"")</f>
        <v/>
      </c>
      <c r="FV27" s="236" t="str">
        <f>IF(_xlfn.XLOOKUP(FV$14,TableOpenSpace['#],TableOpenSpace[Contaminated land remediation (if applicable)])&lt;&gt;"",_xlfn.XLOOKUP(FV$14,TableOpenSpace['#],TableOpenSpace[Contaminated land remediation (if applicable)]),"")</f>
        <v/>
      </c>
      <c r="FW27" s="161" t="str" cm="1">
        <f t="array" ref="FW27">IFERROR(INDEX('Variable index'!$E$68:$F$73,MATCH(FV$27,'Variable index'!$C$68:$C$73,0),$D$12),"")</f>
        <v/>
      </c>
      <c r="FZ27" s="236" t="str">
        <f>IF(_xlfn.XLOOKUP(FZ$14,TableOpenSpace['#],TableOpenSpace[Contaminated land remediation (if applicable)])&lt;&gt;"",_xlfn.XLOOKUP(FZ$14,TableOpenSpace['#],TableOpenSpace[Contaminated land remediation (if applicable)]),"")</f>
        <v/>
      </c>
      <c r="GA27" s="161" t="str" cm="1">
        <f t="array" ref="GA27">IFERROR(INDEX('Variable index'!$E$68:$F$73,MATCH(FZ$27,'Variable index'!$C$68:$C$73,0),$D$12),"")</f>
        <v/>
      </c>
      <c r="GD27" s="236" t="str">
        <f>IF(_xlfn.XLOOKUP(GD$14,TableOpenSpace['#],TableOpenSpace[Contaminated land remediation (if applicable)])&lt;&gt;"",_xlfn.XLOOKUP(GD$14,TableOpenSpace['#],TableOpenSpace[Contaminated land remediation (if applicable)]),"")</f>
        <v/>
      </c>
      <c r="GE27" s="161" t="str" cm="1">
        <f t="array" ref="GE27">IFERROR(INDEX('Variable index'!$E$68:$F$73,MATCH(GD$27,'Variable index'!$C$68:$C$73,0),$D$12),"")</f>
        <v/>
      </c>
      <c r="GH27" s="236" t="str">
        <f>IF(_xlfn.XLOOKUP(GH$14,TableOpenSpace['#],TableOpenSpace[Contaminated land remediation (if applicable)])&lt;&gt;"",_xlfn.XLOOKUP(GH$14,TableOpenSpace['#],TableOpenSpace[Contaminated land remediation (if applicable)]),"")</f>
        <v/>
      </c>
      <c r="GI27" s="161" t="str" cm="1">
        <f t="array" ref="GI27">IFERROR(INDEX('Variable index'!$E$68:$F$73,MATCH(GH$27,'Variable index'!$C$68:$C$73,0),$D$12),"")</f>
        <v/>
      </c>
      <c r="GL27" s="236" t="str">
        <f>IF(_xlfn.XLOOKUP(GL$14,TableOpenSpace['#],TableOpenSpace[Contaminated land remediation (if applicable)])&lt;&gt;"",_xlfn.XLOOKUP(GL$14,TableOpenSpace['#],TableOpenSpace[Contaminated land remediation (if applicable)]),"")</f>
        <v/>
      </c>
      <c r="GM27" s="161" t="str" cm="1">
        <f t="array" ref="GM27">IFERROR(INDEX('Variable index'!$E$68:$F$73,MATCH(GL$27,'Variable index'!$C$68:$C$73,0),$D$12),"")</f>
        <v/>
      </c>
      <c r="GP27" s="236" t="str">
        <f>IF(_xlfn.XLOOKUP(GP$14,TableOpenSpace['#],TableOpenSpace[Contaminated land remediation (if applicable)])&lt;&gt;"",_xlfn.XLOOKUP(GP$14,TableOpenSpace['#],TableOpenSpace[Contaminated land remediation (if applicable)]),"")</f>
        <v/>
      </c>
      <c r="GQ27" s="161" t="str" cm="1">
        <f t="array" ref="GQ27">IFERROR(INDEX('Variable index'!$E$68:$F$73,MATCH(GP$27,'Variable index'!$C$68:$C$73,0),$D$12),"")</f>
        <v/>
      </c>
      <c r="GT27" s="236" t="str">
        <f>IF(_xlfn.XLOOKUP(GT$14,TableOpenSpace['#],TableOpenSpace[Contaminated land remediation (if applicable)])&lt;&gt;"",_xlfn.XLOOKUP(GT$14,TableOpenSpace['#],TableOpenSpace[Contaminated land remediation (if applicable)]),"")</f>
        <v/>
      </c>
      <c r="GU27" s="161" t="str" cm="1">
        <f t="array" ref="GU27">IFERROR(INDEX('Variable index'!$E$68:$F$73,MATCH(GT$27,'Variable index'!$C$68:$C$73,0),$D$12),"")</f>
        <v/>
      </c>
    </row>
    <row r="28" spans="4:204" x14ac:dyDescent="0.2">
      <c r="D28" t="s">
        <v>156</v>
      </c>
      <c r="F28" s="309" t="str">
        <f>IF(_xlfn.XLOOKUP(F$14,TableOpenSpace['#],TableOpenSpace[Contaminated land area (in square metres)])&lt;&gt;"",_xlfn.XLOOKUP(F$14,TableOpenSpace['#],TableOpenSpace[Contaminated land area (in square metres)]),"")</f>
        <v/>
      </c>
      <c r="H28" s="168" t="str">
        <f>IFERROR(G27*F28,"")</f>
        <v/>
      </c>
      <c r="J28" s="309" t="str">
        <f>IF(_xlfn.XLOOKUP(J$14,TableOpenSpace['#],TableOpenSpace[Contaminated land area (in square metres)])&lt;&gt;"",_xlfn.XLOOKUP(J$14,TableOpenSpace['#],TableOpenSpace[Contaminated land area (in square metres)]),"")</f>
        <v/>
      </c>
      <c r="L28" s="168" t="str">
        <f>IFERROR(K27*J28,"")</f>
        <v/>
      </c>
      <c r="N28" s="309" t="str">
        <f>IF(_xlfn.XLOOKUP(N$14,TableOpenSpace['#],TableOpenSpace[Contaminated land area (in square metres)])&lt;&gt;"",_xlfn.XLOOKUP(N$14,TableOpenSpace['#],TableOpenSpace[Contaminated land area (in square metres)]),"")</f>
        <v/>
      </c>
      <c r="P28" s="168" t="str">
        <f>IFERROR(O27*N28,"")</f>
        <v/>
      </c>
      <c r="R28" s="309" t="str">
        <f>IF(_xlfn.XLOOKUP(R$14,TableOpenSpace['#],TableOpenSpace[Contaminated land area (in square metres)])&lt;&gt;"",_xlfn.XLOOKUP(R$14,TableOpenSpace['#],TableOpenSpace[Contaminated land area (in square metres)]),"")</f>
        <v/>
      </c>
      <c r="T28" s="168" t="str">
        <f>IFERROR(S27*R28,"")</f>
        <v/>
      </c>
      <c r="V28" s="309" t="str">
        <f>IF(_xlfn.XLOOKUP(V$14,TableOpenSpace['#],TableOpenSpace[Contaminated land area (in square metres)])&lt;&gt;"",_xlfn.XLOOKUP(V$14,TableOpenSpace['#],TableOpenSpace[Contaminated land area (in square metres)]),"")</f>
        <v/>
      </c>
      <c r="X28" s="168" t="str">
        <f>IFERROR(W27*V28,"")</f>
        <v/>
      </c>
      <c r="Z28" s="309" t="str">
        <f>IF(_xlfn.XLOOKUP(Z$14,TableOpenSpace['#],TableOpenSpace[Contaminated land area (in square metres)])&lt;&gt;"",_xlfn.XLOOKUP(Z$14,TableOpenSpace['#],TableOpenSpace[Contaminated land area (in square metres)]),"")</f>
        <v/>
      </c>
      <c r="AB28" s="168" t="str">
        <f>IFERROR(AA27*Z28,"")</f>
        <v/>
      </c>
      <c r="AD28" s="309" t="str">
        <f>IF(_xlfn.XLOOKUP(AD$14,TableOpenSpace['#],TableOpenSpace[Contaminated land area (in square metres)])&lt;&gt;"",_xlfn.XLOOKUP(AD$14,TableOpenSpace['#],TableOpenSpace[Contaminated land area (in square metres)]),"")</f>
        <v/>
      </c>
      <c r="AF28" s="168" t="str">
        <f>IFERROR(AE27*AD28,"")</f>
        <v/>
      </c>
      <c r="AH28" s="309" t="str">
        <f>IF(_xlfn.XLOOKUP(AH$14,TableOpenSpace['#],TableOpenSpace[Contaminated land area (in square metres)])&lt;&gt;"",_xlfn.XLOOKUP(AH$14,TableOpenSpace['#],TableOpenSpace[Contaminated land area (in square metres)]),"")</f>
        <v/>
      </c>
      <c r="AJ28" s="168" t="str">
        <f>IFERROR(AI27*AH28,"")</f>
        <v/>
      </c>
      <c r="AL28" s="309" t="str">
        <f>IF(_xlfn.XLOOKUP(AL$14,TableOpenSpace['#],TableOpenSpace[Contaminated land area (in square metres)])&lt;&gt;"",_xlfn.XLOOKUP(AL$14,TableOpenSpace['#],TableOpenSpace[Contaminated land area (in square metres)]),"")</f>
        <v/>
      </c>
      <c r="AN28" s="168" t="str">
        <f>IFERROR(AM27*AL28,"")</f>
        <v/>
      </c>
      <c r="AP28" s="309" t="str">
        <f>IF(_xlfn.XLOOKUP(AP$14,TableOpenSpace['#],TableOpenSpace[Contaminated land area (in square metres)])&lt;&gt;"",_xlfn.XLOOKUP(AP$14,TableOpenSpace['#],TableOpenSpace[Contaminated land area (in square metres)]),"")</f>
        <v/>
      </c>
      <c r="AR28" s="168" t="str">
        <f>IFERROR(AQ27*AP28,"")</f>
        <v/>
      </c>
      <c r="AT28" s="309" t="str">
        <f>IF(_xlfn.XLOOKUP(AT$14,TableOpenSpace['#],TableOpenSpace[Contaminated land area (in square metres)])&lt;&gt;"",_xlfn.XLOOKUP(AT$14,TableOpenSpace['#],TableOpenSpace[Contaminated land area (in square metres)]),"")</f>
        <v/>
      </c>
      <c r="AV28" s="168" t="str">
        <f>IFERROR(AU27*AT28,"")</f>
        <v/>
      </c>
      <c r="AX28" s="309" t="str">
        <f>IF(_xlfn.XLOOKUP(AX$14,TableOpenSpace['#],TableOpenSpace[Contaminated land area (in square metres)])&lt;&gt;"",_xlfn.XLOOKUP(AX$14,TableOpenSpace['#],TableOpenSpace[Contaminated land area (in square metres)]),"")</f>
        <v/>
      </c>
      <c r="AZ28" s="168" t="str">
        <f>IFERROR(AY27*AX28,"")</f>
        <v/>
      </c>
      <c r="BB28" s="309" t="str">
        <f>IF(_xlfn.XLOOKUP(BB$14,TableOpenSpace['#],TableOpenSpace[Contaminated land area (in square metres)])&lt;&gt;"",_xlfn.XLOOKUP(BB$14,TableOpenSpace['#],TableOpenSpace[Contaminated land area (in square metres)]),"")</f>
        <v/>
      </c>
      <c r="BD28" s="168" t="str">
        <f>IFERROR(BC27*BB28,"")</f>
        <v/>
      </c>
      <c r="BF28" s="309" t="str">
        <f>IF(_xlfn.XLOOKUP(BF$14,TableOpenSpace['#],TableOpenSpace[Contaminated land area (in square metres)])&lt;&gt;"",_xlfn.XLOOKUP(BF$14,TableOpenSpace['#],TableOpenSpace[Contaminated land area (in square metres)]),"")</f>
        <v/>
      </c>
      <c r="BH28" s="168" t="str">
        <f>IFERROR(BG27*BF28,"")</f>
        <v/>
      </c>
      <c r="BJ28" s="309" t="str">
        <f>IF(_xlfn.XLOOKUP(BJ$14,TableOpenSpace['#],TableOpenSpace[Contaminated land area (in square metres)])&lt;&gt;"",_xlfn.XLOOKUP(BJ$14,TableOpenSpace['#],TableOpenSpace[Contaminated land area (in square metres)]),"")</f>
        <v/>
      </c>
      <c r="BL28" s="168" t="str">
        <f>IFERROR(BK27*BJ28,"")</f>
        <v/>
      </c>
      <c r="BN28" s="309" t="str">
        <f>IF(_xlfn.XLOOKUP(BN$14,TableOpenSpace['#],TableOpenSpace[Contaminated land area (in square metres)])&lt;&gt;"",_xlfn.XLOOKUP(BN$14,TableOpenSpace['#],TableOpenSpace[Contaminated land area (in square metres)]),"")</f>
        <v/>
      </c>
      <c r="BP28" s="168" t="str">
        <f>IFERROR(BO27*BN28,"")</f>
        <v/>
      </c>
      <c r="BR28" s="309" t="str">
        <f>IF(_xlfn.XLOOKUP(BR$14,TableOpenSpace['#],TableOpenSpace[Contaminated land area (in square metres)])&lt;&gt;"",_xlfn.XLOOKUP(BR$14,TableOpenSpace['#],TableOpenSpace[Contaminated land area (in square metres)]),"")</f>
        <v/>
      </c>
      <c r="BT28" s="168" t="str">
        <f>IFERROR(BS27*BR28,"")</f>
        <v/>
      </c>
      <c r="BV28" s="309" t="str">
        <f>IF(_xlfn.XLOOKUP(BV$14,TableOpenSpace['#],TableOpenSpace[Contaminated land area (in square metres)])&lt;&gt;"",_xlfn.XLOOKUP(BV$14,TableOpenSpace['#],TableOpenSpace[Contaminated land area (in square metres)]),"")</f>
        <v/>
      </c>
      <c r="BX28" s="168" t="str">
        <f>IFERROR(BW27*BV28,"")</f>
        <v/>
      </c>
      <c r="BZ28" s="309" t="str">
        <f>IF(_xlfn.XLOOKUP(BZ$14,TableOpenSpace['#],TableOpenSpace[Contaminated land area (in square metres)])&lt;&gt;"",_xlfn.XLOOKUP(BZ$14,TableOpenSpace['#],TableOpenSpace[Contaminated land area (in square metres)]),"")</f>
        <v/>
      </c>
      <c r="CB28" s="168" t="str">
        <f>IFERROR(CA27*BZ28,"")</f>
        <v/>
      </c>
      <c r="CD28" s="309" t="str">
        <f>IF(_xlfn.XLOOKUP(CD$14,TableOpenSpace['#],TableOpenSpace[Contaminated land area (in square metres)])&lt;&gt;"",_xlfn.XLOOKUP(CD$14,TableOpenSpace['#],TableOpenSpace[Contaminated land area (in square metres)]),"")</f>
        <v/>
      </c>
      <c r="CF28" s="168" t="str">
        <f>IFERROR(CE27*CD28,"")</f>
        <v/>
      </c>
      <c r="CH28" s="309" t="str">
        <f>IF(_xlfn.XLOOKUP(CH$14,TableOpenSpace['#],TableOpenSpace[Contaminated land area (in square metres)])&lt;&gt;"",_xlfn.XLOOKUP(CH$14,TableOpenSpace['#],TableOpenSpace[Contaminated land area (in square metres)]),"")</f>
        <v/>
      </c>
      <c r="CJ28" s="168" t="str">
        <f>IFERROR(CI27*CH28,"")</f>
        <v/>
      </c>
      <c r="CL28" s="309" t="str">
        <f>IF(_xlfn.XLOOKUP(CL$14,TableOpenSpace['#],TableOpenSpace[Contaminated land area (in square metres)])&lt;&gt;"",_xlfn.XLOOKUP(CL$14,TableOpenSpace['#],TableOpenSpace[Contaminated land area (in square metres)]),"")</f>
        <v/>
      </c>
      <c r="CN28" s="168" t="str">
        <f>IFERROR(CM27*CL28,"")</f>
        <v/>
      </c>
      <c r="CP28" s="309" t="str">
        <f>IF(_xlfn.XLOOKUP(CP$14,TableOpenSpace['#],TableOpenSpace[Contaminated land area (in square metres)])&lt;&gt;"",_xlfn.XLOOKUP(CP$14,TableOpenSpace['#],TableOpenSpace[Contaminated land area (in square metres)]),"")</f>
        <v/>
      </c>
      <c r="CR28" s="168" t="str">
        <f>IFERROR(CQ27*CP28,"")</f>
        <v/>
      </c>
      <c r="CT28" s="309" t="str">
        <f>IF(_xlfn.XLOOKUP(CT$14,TableOpenSpace['#],TableOpenSpace[Contaminated land area (in square metres)])&lt;&gt;"",_xlfn.XLOOKUP(CT$14,TableOpenSpace['#],TableOpenSpace[Contaminated land area (in square metres)]),"")</f>
        <v/>
      </c>
      <c r="CV28" s="168" t="str">
        <f>IFERROR(CU27*CT28,"")</f>
        <v/>
      </c>
      <c r="CX28" s="309" t="str">
        <f>IF(_xlfn.XLOOKUP(CX$14,TableOpenSpace['#],TableOpenSpace[Contaminated land area (in square metres)])&lt;&gt;"",_xlfn.XLOOKUP(CX$14,TableOpenSpace['#],TableOpenSpace[Contaminated land area (in square metres)]),"")</f>
        <v/>
      </c>
      <c r="CZ28" s="168" t="str">
        <f>IFERROR(CY27*CX28,"")</f>
        <v/>
      </c>
      <c r="DB28" s="309" t="str">
        <f>IF(_xlfn.XLOOKUP(DB$14,TableOpenSpace['#],TableOpenSpace[Contaminated land area (in square metres)])&lt;&gt;"",_xlfn.XLOOKUP(DB$14,TableOpenSpace['#],TableOpenSpace[Contaminated land area (in square metres)]),"")</f>
        <v/>
      </c>
      <c r="DD28" s="168" t="str">
        <f>IFERROR(DC27*DB28,"")</f>
        <v/>
      </c>
      <c r="DF28" s="309" t="str">
        <f>IF(_xlfn.XLOOKUP(DF$14,TableOpenSpace['#],TableOpenSpace[Contaminated land area (in square metres)])&lt;&gt;"",_xlfn.XLOOKUP(DF$14,TableOpenSpace['#],TableOpenSpace[Contaminated land area (in square metres)]),"")</f>
        <v/>
      </c>
      <c r="DH28" s="168" t="str">
        <f>IFERROR(DG27*DF28,"")</f>
        <v/>
      </c>
      <c r="DJ28" s="309" t="str">
        <f>IF(_xlfn.XLOOKUP(DJ$14,TableOpenSpace['#],TableOpenSpace[Contaminated land area (in square metres)])&lt;&gt;"",_xlfn.XLOOKUP(DJ$14,TableOpenSpace['#],TableOpenSpace[Contaminated land area (in square metres)]),"")</f>
        <v/>
      </c>
      <c r="DL28" s="168" t="str">
        <f>IFERROR(DK27*DJ28,"")</f>
        <v/>
      </c>
      <c r="DN28" s="309" t="str">
        <f>IF(_xlfn.XLOOKUP(DN$14,TableOpenSpace['#],TableOpenSpace[Contaminated land area (in square metres)])&lt;&gt;"",_xlfn.XLOOKUP(DN$14,TableOpenSpace['#],TableOpenSpace[Contaminated land area (in square metres)]),"")</f>
        <v/>
      </c>
      <c r="DP28" s="168" t="str">
        <f>IFERROR(DO27*DN28,"")</f>
        <v/>
      </c>
      <c r="DR28" s="309" t="str">
        <f>IF(_xlfn.XLOOKUP(DR$14,TableOpenSpace['#],TableOpenSpace[Contaminated land area (in square metres)])&lt;&gt;"",_xlfn.XLOOKUP(DR$14,TableOpenSpace['#],TableOpenSpace[Contaminated land area (in square metres)]),"")</f>
        <v/>
      </c>
      <c r="DT28" s="168" t="str">
        <f>IFERROR(DS27*DR28,"")</f>
        <v/>
      </c>
      <c r="DV28" s="309" t="str">
        <f>IF(_xlfn.XLOOKUP(DV$14,TableOpenSpace['#],TableOpenSpace[Contaminated land area (in square metres)])&lt;&gt;"",_xlfn.XLOOKUP(DV$14,TableOpenSpace['#],TableOpenSpace[Contaminated land area (in square metres)]),"")</f>
        <v/>
      </c>
      <c r="DX28" s="168" t="str">
        <f>IFERROR(DW27*DV28,"")</f>
        <v/>
      </c>
      <c r="DZ28" s="309" t="str">
        <f>IF(_xlfn.XLOOKUP(DZ$14,TableOpenSpace['#],TableOpenSpace[Contaminated land area (in square metres)])&lt;&gt;"",_xlfn.XLOOKUP(DZ$14,TableOpenSpace['#],TableOpenSpace[Contaminated land area (in square metres)]),"")</f>
        <v/>
      </c>
      <c r="EB28" s="168" t="str">
        <f>IFERROR(EA27*DZ28,"")</f>
        <v/>
      </c>
      <c r="ED28" s="309" t="str">
        <f>IF(_xlfn.XLOOKUP(ED$14,TableOpenSpace['#],TableOpenSpace[Contaminated land area (in square metres)])&lt;&gt;"",_xlfn.XLOOKUP(ED$14,TableOpenSpace['#],TableOpenSpace[Contaminated land area (in square metres)]),"")</f>
        <v/>
      </c>
      <c r="EF28" s="168" t="str">
        <f>IFERROR(EE27*ED28,"")</f>
        <v/>
      </c>
      <c r="EH28" s="309" t="str">
        <f>IF(_xlfn.XLOOKUP(EH$14,TableOpenSpace['#],TableOpenSpace[Contaminated land area (in square metres)])&lt;&gt;"",_xlfn.XLOOKUP(EH$14,TableOpenSpace['#],TableOpenSpace[Contaminated land area (in square metres)]),"")</f>
        <v/>
      </c>
      <c r="EJ28" s="168" t="str">
        <f>IFERROR(EI27*EH28,"")</f>
        <v/>
      </c>
      <c r="EL28" s="309" t="str">
        <f>IF(_xlfn.XLOOKUP(EL$14,TableOpenSpace['#],TableOpenSpace[Contaminated land area (in square metres)])&lt;&gt;"",_xlfn.XLOOKUP(EL$14,TableOpenSpace['#],TableOpenSpace[Contaminated land area (in square metres)]),"")</f>
        <v/>
      </c>
      <c r="EN28" s="168" t="str">
        <f>IFERROR(EM27*EL28,"")</f>
        <v/>
      </c>
      <c r="EP28" s="309" t="str">
        <f>IF(_xlfn.XLOOKUP(EP$14,TableOpenSpace['#],TableOpenSpace[Contaminated land area (in square metres)])&lt;&gt;"",_xlfn.XLOOKUP(EP$14,TableOpenSpace['#],TableOpenSpace[Contaminated land area (in square metres)]),"")</f>
        <v/>
      </c>
      <c r="ER28" s="168" t="str">
        <f>IFERROR(EQ27*EP28,"")</f>
        <v/>
      </c>
      <c r="ET28" s="309" t="str">
        <f>IF(_xlfn.XLOOKUP(ET$14,TableOpenSpace['#],TableOpenSpace[Contaminated land area (in square metres)])&lt;&gt;"",_xlfn.XLOOKUP(ET$14,TableOpenSpace['#],TableOpenSpace[Contaminated land area (in square metres)]),"")</f>
        <v/>
      </c>
      <c r="EV28" s="168" t="str">
        <f>IFERROR(EU27*ET28,"")</f>
        <v/>
      </c>
      <c r="EX28" s="309" t="str">
        <f>IF(_xlfn.XLOOKUP(EX$14,TableOpenSpace['#],TableOpenSpace[Contaminated land area (in square metres)])&lt;&gt;"",_xlfn.XLOOKUP(EX$14,TableOpenSpace['#],TableOpenSpace[Contaminated land area (in square metres)]),"")</f>
        <v/>
      </c>
      <c r="EZ28" s="168" t="str">
        <f>IFERROR(EY27*EX28,"")</f>
        <v/>
      </c>
      <c r="FB28" s="309" t="str">
        <f>IF(_xlfn.XLOOKUP(FB$14,TableOpenSpace['#],TableOpenSpace[Contaminated land area (in square metres)])&lt;&gt;"",_xlfn.XLOOKUP(FB$14,TableOpenSpace['#],TableOpenSpace[Contaminated land area (in square metres)]),"")</f>
        <v/>
      </c>
      <c r="FD28" s="168" t="str">
        <f>IFERROR(FC27*FB28,"")</f>
        <v/>
      </c>
      <c r="FF28" s="309" t="str">
        <f>IF(_xlfn.XLOOKUP(FF$14,TableOpenSpace['#],TableOpenSpace[Contaminated land area (in square metres)])&lt;&gt;"",_xlfn.XLOOKUP(FF$14,TableOpenSpace['#],TableOpenSpace[Contaminated land area (in square metres)]),"")</f>
        <v/>
      </c>
      <c r="FH28" s="168" t="str">
        <f>IFERROR(FG27*FF28,"")</f>
        <v/>
      </c>
      <c r="FJ28" s="309" t="str">
        <f>IF(_xlfn.XLOOKUP(FJ$14,TableOpenSpace['#],TableOpenSpace[Contaminated land area (in square metres)])&lt;&gt;"",_xlfn.XLOOKUP(FJ$14,TableOpenSpace['#],TableOpenSpace[Contaminated land area (in square metres)]),"")</f>
        <v/>
      </c>
      <c r="FL28" s="168" t="str">
        <f>IFERROR(FK27*FJ28,"")</f>
        <v/>
      </c>
      <c r="FN28" s="309" t="str">
        <f>IF(_xlfn.XLOOKUP(FN$14,TableOpenSpace['#],TableOpenSpace[Contaminated land area (in square metres)])&lt;&gt;"",_xlfn.XLOOKUP(FN$14,TableOpenSpace['#],TableOpenSpace[Contaminated land area (in square metres)]),"")</f>
        <v/>
      </c>
      <c r="FP28" s="168" t="str">
        <f>IFERROR(FO27*FN28,"")</f>
        <v/>
      </c>
      <c r="FR28" s="309" t="str">
        <f>IF(_xlfn.XLOOKUP(FR$14,TableOpenSpace['#],TableOpenSpace[Contaminated land area (in square metres)])&lt;&gt;"",_xlfn.XLOOKUP(FR$14,TableOpenSpace['#],TableOpenSpace[Contaminated land area (in square metres)]),"")</f>
        <v/>
      </c>
      <c r="FT28" s="168" t="str">
        <f>IFERROR(FS27*FR28,"")</f>
        <v/>
      </c>
      <c r="FV28" s="309" t="str">
        <f>IF(_xlfn.XLOOKUP(FV$14,TableOpenSpace['#],TableOpenSpace[Contaminated land area (in square metres)])&lt;&gt;"",_xlfn.XLOOKUP(FV$14,TableOpenSpace['#],TableOpenSpace[Contaminated land area (in square metres)]),"")</f>
        <v/>
      </c>
      <c r="FX28" s="168" t="str">
        <f>IFERROR(FW27*FV28,"")</f>
        <v/>
      </c>
      <c r="FZ28" s="309" t="str">
        <f>IF(_xlfn.XLOOKUP(FZ$14,TableOpenSpace['#],TableOpenSpace[Contaminated land area (in square metres)])&lt;&gt;"",_xlfn.XLOOKUP(FZ$14,TableOpenSpace['#],TableOpenSpace[Contaminated land area (in square metres)]),"")</f>
        <v/>
      </c>
      <c r="GB28" s="168" t="str">
        <f>IFERROR(GA27*FZ28,"")</f>
        <v/>
      </c>
      <c r="GD28" s="309" t="str">
        <f>IF(_xlfn.XLOOKUP(GD$14,TableOpenSpace['#],TableOpenSpace[Contaminated land area (in square metres)])&lt;&gt;"",_xlfn.XLOOKUP(GD$14,TableOpenSpace['#],TableOpenSpace[Contaminated land area (in square metres)]),"")</f>
        <v/>
      </c>
      <c r="GF28" s="168" t="str">
        <f>IFERROR(GE27*GD28,"")</f>
        <v/>
      </c>
      <c r="GH28" s="309" t="str">
        <f>IF(_xlfn.XLOOKUP(GH$14,TableOpenSpace['#],TableOpenSpace[Contaminated land area (in square metres)])&lt;&gt;"",_xlfn.XLOOKUP(GH$14,TableOpenSpace['#],TableOpenSpace[Contaminated land area (in square metres)]),"")</f>
        <v/>
      </c>
      <c r="GJ28" s="168" t="str">
        <f>IFERROR(GI27*GH28,"")</f>
        <v/>
      </c>
      <c r="GL28" s="309" t="str">
        <f>IF(_xlfn.XLOOKUP(GL$14,TableOpenSpace['#],TableOpenSpace[Contaminated land area (in square metres)])&lt;&gt;"",_xlfn.XLOOKUP(GL$14,TableOpenSpace['#],TableOpenSpace[Contaminated land area (in square metres)]),"")</f>
        <v/>
      </c>
      <c r="GN28" s="168" t="str">
        <f>IFERROR(GM27*GL28,"")</f>
        <v/>
      </c>
      <c r="GP28" s="309" t="str">
        <f>IF(_xlfn.XLOOKUP(GP$14,TableOpenSpace['#],TableOpenSpace[Contaminated land area (in square metres)])&lt;&gt;"",_xlfn.XLOOKUP(GP$14,TableOpenSpace['#],TableOpenSpace[Contaminated land area (in square metres)]),"")</f>
        <v/>
      </c>
      <c r="GR28" s="168" t="str">
        <f>IFERROR(GQ27*GP28,"")</f>
        <v/>
      </c>
      <c r="GT28" s="309" t="str">
        <f>IF(_xlfn.XLOOKUP(GT$14,TableOpenSpace['#],TableOpenSpace[Contaminated land area (in square metres)])&lt;&gt;"",_xlfn.XLOOKUP(GT$14,TableOpenSpace['#],TableOpenSpace[Contaminated land area (in square metres)]),"")</f>
        <v/>
      </c>
      <c r="GV28" s="168" t="str">
        <f>IFERROR(GU27*GT28,"")</f>
        <v/>
      </c>
    </row>
    <row r="29" spans="4:204" x14ac:dyDescent="0.2">
      <c r="D29" t="s">
        <v>157</v>
      </c>
      <c r="F29" s="192"/>
      <c r="G29" s="169" t="str" cm="1">
        <f t="array" ref="G29">IF(H21&lt;&gt;"",_xlfn.IFS(AND(H21&gt;='Variable index'!$K$35,H21&lt;'Variable index'!$K$36),'Variable index'!$L$35,AND(H21&gt;='Variable index'!$K$36,H21&lt;'Variable index'!$K$37),'Variable index'!$L$36,AND(H21&gt;='Variable index'!$K$37,H21&lt;'Variable index'!$K$38),'Variable index'!$L$37,H21&gt;='Variable index'!$K$38,'Variable index'!$L$38),"")</f>
        <v/>
      </c>
      <c r="H29" s="168" t="str">
        <f>IFERROR(H$21*G29,"")</f>
        <v/>
      </c>
      <c r="J29" s="192"/>
      <c r="K29" s="310" t="str" cm="1">
        <f t="array" ref="K29">IF(L21&lt;&gt;"",_xlfn.IFS(AND(L21&gt;='Variable index'!$K$35,L21&lt;'Variable index'!$K$36),'Variable index'!$L$35,AND(L21&gt;='Variable index'!$K$36,L21&lt;'Variable index'!$K$37),'Variable index'!$L$36,AND(L21&gt;='Variable index'!$K$37,L21&lt;'Variable index'!$K$38),'Variable index'!$L$37,L21&gt;='Variable index'!$K$38,'Variable index'!$L$38),"")</f>
        <v/>
      </c>
      <c r="L29" s="168" t="str">
        <f>IFERROR(L$21*K29,"")</f>
        <v/>
      </c>
      <c r="N29" s="192"/>
      <c r="O29" s="310" t="str" cm="1">
        <f t="array" ref="O29">IF(P21&lt;&gt;"",_xlfn.IFS(AND(P21&gt;='Variable index'!$K$35,P21&lt;'Variable index'!$K$36),'Variable index'!$L$35,AND(P21&gt;='Variable index'!$K$36,P21&lt;'Variable index'!$K$37),'Variable index'!$L$36,AND(P21&gt;='Variable index'!$K$37,P21&lt;'Variable index'!$K$38),'Variable index'!$L$37,P21&gt;='Variable index'!$K$38,'Variable index'!$L$38),"")</f>
        <v/>
      </c>
      <c r="P29" s="168" t="str">
        <f>IFERROR(P$21*O29,"")</f>
        <v/>
      </c>
      <c r="R29" s="192"/>
      <c r="S29" s="310" t="str" cm="1">
        <f t="array" ref="S29">IF(T21&lt;&gt;"",_xlfn.IFS(AND(T21&gt;='Variable index'!$K$35,T21&lt;'Variable index'!$K$36),'Variable index'!$L$35,AND(T21&gt;='Variable index'!$K$36,T21&lt;'Variable index'!$K$37),'Variable index'!$L$36,AND(T21&gt;='Variable index'!$K$37,T21&lt;'Variable index'!$K$38),'Variable index'!$L$37,T21&gt;='Variable index'!$K$38,'Variable index'!$L$38),"")</f>
        <v/>
      </c>
      <c r="T29" s="168" t="str">
        <f>IFERROR(T$21*S29,"")</f>
        <v/>
      </c>
      <c r="V29" s="192"/>
      <c r="W29" s="310" t="str" cm="1">
        <f t="array" ref="W29">IF(X21&lt;&gt;"",_xlfn.IFS(AND(X21&gt;='Variable index'!$K$35,X21&lt;'Variable index'!$K$36),'Variable index'!$L$35,AND(X21&gt;='Variable index'!$K$36,X21&lt;'Variable index'!$K$37),'Variable index'!$L$36,AND(X21&gt;='Variable index'!$K$37,X21&lt;'Variable index'!$K$38),'Variable index'!$L$37,X21&gt;='Variable index'!$K$38,'Variable index'!$L$38),"")</f>
        <v/>
      </c>
      <c r="X29" s="168" t="str">
        <f>IFERROR(X$21*W29,"")</f>
        <v/>
      </c>
      <c r="Z29" s="192"/>
      <c r="AA29" s="310" t="str" cm="1">
        <f t="array" ref="AA29">IF(AB21&lt;&gt;"",_xlfn.IFS(AND(AB21&gt;='Variable index'!$K$35,AB21&lt;'Variable index'!$K$36),'Variable index'!$L$35,AND(AB21&gt;='Variable index'!$K$36,AB21&lt;'Variable index'!$K$37),'Variable index'!$L$36,AND(AB21&gt;='Variable index'!$K$37,AB21&lt;'Variable index'!$K$38),'Variable index'!$L$37,AB21&gt;='Variable index'!$K$38,'Variable index'!$L$38),"")</f>
        <v/>
      </c>
      <c r="AB29" s="168" t="str">
        <f>IFERROR(AB$21*AA29,"")</f>
        <v/>
      </c>
      <c r="AD29" s="192"/>
      <c r="AE29" s="310" t="str" cm="1">
        <f t="array" ref="AE29">IF(AF21&lt;&gt;"",_xlfn.IFS(AND(AF21&gt;='Variable index'!$K$35,AF21&lt;'Variable index'!$K$36),'Variable index'!$L$35,AND(AF21&gt;='Variable index'!$K$36,AF21&lt;'Variable index'!$K$37),'Variable index'!$L$36,AND(AF21&gt;='Variable index'!$K$37,AF21&lt;'Variable index'!$K$38),'Variable index'!$L$37,AF21&gt;='Variable index'!$K$38,'Variable index'!$L$38),"")</f>
        <v/>
      </c>
      <c r="AF29" s="168" t="str">
        <f>IFERROR(AF$21*AE29,"")</f>
        <v/>
      </c>
      <c r="AH29" s="192"/>
      <c r="AI29" s="310" t="str" cm="1">
        <f t="array" ref="AI29">IF(AJ21&lt;&gt;"",_xlfn.IFS(AND(AJ21&gt;='Variable index'!$K$35,AJ21&lt;'Variable index'!$K$36),'Variable index'!$L$35,AND(AJ21&gt;='Variable index'!$K$36,AJ21&lt;'Variable index'!$K$37),'Variable index'!$L$36,AND(AJ21&gt;='Variable index'!$K$37,AJ21&lt;'Variable index'!$K$38),'Variable index'!$L$37,AJ21&gt;='Variable index'!$K$38,'Variable index'!$L$38),"")</f>
        <v/>
      </c>
      <c r="AJ29" s="168" t="str">
        <f>IFERROR(AJ$21*AI29,"")</f>
        <v/>
      </c>
      <c r="AL29" s="192"/>
      <c r="AM29" s="310" t="str" cm="1">
        <f t="array" ref="AM29">IF(AN21&lt;&gt;"",_xlfn.IFS(AND(AN21&gt;='Variable index'!$K$35,AN21&lt;'Variable index'!$K$36),'Variable index'!$L$35,AND(AN21&gt;='Variable index'!$K$36,AN21&lt;'Variable index'!$K$37),'Variable index'!$L$36,AND(AN21&gt;='Variable index'!$K$37,AN21&lt;'Variable index'!$K$38),'Variable index'!$L$37,AN21&gt;='Variable index'!$K$38,'Variable index'!$L$38),"")</f>
        <v/>
      </c>
      <c r="AN29" s="168" t="str">
        <f>IFERROR(AN$21*AM29,"")</f>
        <v/>
      </c>
      <c r="AP29" s="192"/>
      <c r="AQ29" s="310" t="str" cm="1">
        <f t="array" ref="AQ29">IF(AR21&lt;&gt;"",_xlfn.IFS(AND(AR21&gt;='Variable index'!$K$35,AR21&lt;'Variable index'!$K$36),'Variable index'!$L$35,AND(AR21&gt;='Variable index'!$K$36,AR21&lt;'Variable index'!$K$37),'Variable index'!$L$36,AND(AR21&gt;='Variable index'!$K$37,AR21&lt;'Variable index'!$K$38),'Variable index'!$L$37,AR21&gt;='Variable index'!$K$38,'Variable index'!$L$38),"")</f>
        <v/>
      </c>
      <c r="AR29" s="168" t="str">
        <f>IFERROR(AR$21*AQ29,"")</f>
        <v/>
      </c>
      <c r="AT29" s="192"/>
      <c r="AU29" s="310" t="str" cm="1">
        <f t="array" ref="AU29">IF(AV21&lt;&gt;"",_xlfn.IFS(AND(AV21&gt;='Variable index'!$K$35,AV21&lt;'Variable index'!$K$36),'Variable index'!$L$35,AND(AV21&gt;='Variable index'!$K$36,AV21&lt;'Variable index'!$K$37),'Variable index'!$L$36,AND(AV21&gt;='Variable index'!$K$37,AV21&lt;'Variable index'!$K$38),'Variable index'!$L$37,AV21&gt;='Variable index'!$K$38,'Variable index'!$L$38),"")</f>
        <v/>
      </c>
      <c r="AV29" s="168" t="str">
        <f>IFERROR(AV$21*AU29,"")</f>
        <v/>
      </c>
      <c r="AX29" s="192"/>
      <c r="AY29" s="310" t="str" cm="1">
        <f t="array" ref="AY29">IF(AZ21&lt;&gt;"",_xlfn.IFS(AND(AZ21&gt;='Variable index'!$K$35,AZ21&lt;'Variable index'!$K$36),'Variable index'!$L$35,AND(AZ21&gt;='Variable index'!$K$36,AZ21&lt;'Variable index'!$K$37),'Variable index'!$L$36,AND(AZ21&gt;='Variable index'!$K$37,AZ21&lt;'Variable index'!$K$38),'Variable index'!$L$37,AZ21&gt;='Variable index'!$K$38,'Variable index'!$L$38),"")</f>
        <v/>
      </c>
      <c r="AZ29" s="168" t="str">
        <f>IFERROR(AZ$21*AY29,"")</f>
        <v/>
      </c>
      <c r="BB29" s="192"/>
      <c r="BC29" s="310" t="str" cm="1">
        <f t="array" ref="BC29">IF(BD21&lt;&gt;"",_xlfn.IFS(AND(BD21&gt;='Variable index'!$K$35,BD21&lt;'Variable index'!$K$36),'Variable index'!$L$35,AND(BD21&gt;='Variable index'!$K$36,BD21&lt;'Variable index'!$K$37),'Variable index'!$L$36,AND(BD21&gt;='Variable index'!$K$37,BD21&lt;'Variable index'!$K$38),'Variable index'!$L$37,BD21&gt;='Variable index'!$K$38,'Variable index'!$L$38),"")</f>
        <v/>
      </c>
      <c r="BD29" s="168" t="str">
        <f>IFERROR(BD$21*BC29,"")</f>
        <v/>
      </c>
      <c r="BF29" s="192"/>
      <c r="BG29" s="310" t="str" cm="1">
        <f t="array" ref="BG29">IF(BH21&lt;&gt;"",_xlfn.IFS(AND(BH21&gt;='Variable index'!$K$35,BH21&lt;'Variable index'!$K$36),'Variable index'!$L$35,AND(BH21&gt;='Variable index'!$K$36,BH21&lt;'Variable index'!$K$37),'Variable index'!$L$36,AND(BH21&gt;='Variable index'!$K$37,BH21&lt;'Variable index'!$K$38),'Variable index'!$L$37,BH21&gt;='Variable index'!$K$38,'Variable index'!$L$38),"")</f>
        <v/>
      </c>
      <c r="BH29" s="168" t="str">
        <f>IFERROR(BH$21*BG29,"")</f>
        <v/>
      </c>
      <c r="BJ29" s="192"/>
      <c r="BK29" s="310" t="str" cm="1">
        <f t="array" ref="BK29">IF(BL21&lt;&gt;"",_xlfn.IFS(AND(BL21&gt;='Variable index'!$K$35,BL21&lt;'Variable index'!$K$36),'Variable index'!$L$35,AND(BL21&gt;='Variable index'!$K$36,BL21&lt;'Variable index'!$K$37),'Variable index'!$L$36,AND(BL21&gt;='Variable index'!$K$37,BL21&lt;'Variable index'!$K$38),'Variable index'!$L$37,BL21&gt;='Variable index'!$K$38,'Variable index'!$L$38),"")</f>
        <v/>
      </c>
      <c r="BL29" s="168" t="str">
        <f>IFERROR(BL$21*BK29,"")</f>
        <v/>
      </c>
      <c r="BN29" s="192"/>
      <c r="BO29" s="310" t="str" cm="1">
        <f t="array" ref="BO29">IF(BP21&lt;&gt;"",_xlfn.IFS(AND(BP21&gt;='Variable index'!$K$35,BP21&lt;'Variable index'!$K$36),'Variable index'!$L$35,AND(BP21&gt;='Variable index'!$K$36,BP21&lt;'Variable index'!$K$37),'Variable index'!$L$36,AND(BP21&gt;='Variable index'!$K$37,BP21&lt;'Variable index'!$K$38),'Variable index'!$L$37,BP21&gt;='Variable index'!$K$38,'Variable index'!$L$38),"")</f>
        <v/>
      </c>
      <c r="BP29" s="168" t="str">
        <f>IFERROR(BP$21*BO29,"")</f>
        <v/>
      </c>
      <c r="BR29" s="192"/>
      <c r="BS29" s="310" t="str" cm="1">
        <f t="array" ref="BS29">IF(BT21&lt;&gt;"",_xlfn.IFS(AND(BT21&gt;='Variable index'!$K$35,BT21&lt;'Variable index'!$K$36),'Variable index'!$L$35,AND(BT21&gt;='Variable index'!$K$36,BT21&lt;'Variable index'!$K$37),'Variable index'!$L$36,AND(BT21&gt;='Variable index'!$K$37,BT21&lt;'Variable index'!$K$38),'Variable index'!$L$37,BT21&gt;='Variable index'!$K$38,'Variable index'!$L$38),"")</f>
        <v/>
      </c>
      <c r="BT29" s="168" t="str">
        <f>IFERROR(BT$21*BS29,"")</f>
        <v/>
      </c>
      <c r="BV29" s="192"/>
      <c r="BW29" s="310" t="str" cm="1">
        <f t="array" ref="BW29">IF(BX21&lt;&gt;"",_xlfn.IFS(AND(BX21&gt;='Variable index'!$K$35,BX21&lt;'Variable index'!$K$36),'Variable index'!$L$35,AND(BX21&gt;='Variable index'!$K$36,BX21&lt;'Variable index'!$K$37),'Variable index'!$L$36,AND(BX21&gt;='Variable index'!$K$37,BX21&lt;'Variable index'!$K$38),'Variable index'!$L$37,BX21&gt;='Variable index'!$K$38,'Variable index'!$L$38),"")</f>
        <v/>
      </c>
      <c r="BX29" s="168" t="str">
        <f>IFERROR(BX$21*BW29,"")</f>
        <v/>
      </c>
      <c r="BZ29" s="192"/>
      <c r="CA29" s="310" t="str" cm="1">
        <f t="array" ref="CA29">IF(CB21&lt;&gt;"",_xlfn.IFS(AND(CB21&gt;='Variable index'!$K$35,CB21&lt;'Variable index'!$K$36),'Variable index'!$L$35,AND(CB21&gt;='Variable index'!$K$36,CB21&lt;'Variable index'!$K$37),'Variable index'!$L$36,AND(CB21&gt;='Variable index'!$K$37,CB21&lt;'Variable index'!$K$38),'Variable index'!$L$37,CB21&gt;='Variable index'!$K$38,'Variable index'!$L$38),"")</f>
        <v/>
      </c>
      <c r="CB29" s="168" t="str">
        <f>IFERROR(CB$21*CA29,"")</f>
        <v/>
      </c>
      <c r="CD29" s="192"/>
      <c r="CE29" s="310" t="str" cm="1">
        <f t="array" ref="CE29">IF(CF21&lt;&gt;"",_xlfn.IFS(AND(CF21&gt;='Variable index'!$K$35,CF21&lt;'Variable index'!$K$36),'Variable index'!$L$35,AND(CF21&gt;='Variable index'!$K$36,CF21&lt;'Variable index'!$K$37),'Variable index'!$L$36,AND(CF21&gt;='Variable index'!$K$37,CF21&lt;'Variable index'!$K$38),'Variable index'!$L$37,CF21&gt;='Variable index'!$K$38,'Variable index'!$L$38),"")</f>
        <v/>
      </c>
      <c r="CF29" s="168" t="str">
        <f>IFERROR(CF$21*CE29,"")</f>
        <v/>
      </c>
      <c r="CH29" s="192"/>
      <c r="CI29" s="310" t="str" cm="1">
        <f t="array" ref="CI29">IF(CJ21&lt;&gt;"",_xlfn.IFS(AND(CJ21&gt;='Variable index'!$K$35,CJ21&lt;'Variable index'!$K$36),'Variable index'!$L$35,AND(CJ21&gt;='Variable index'!$K$36,CJ21&lt;'Variable index'!$K$37),'Variable index'!$L$36,AND(CJ21&gt;='Variable index'!$K$37,CJ21&lt;'Variable index'!$K$38),'Variable index'!$L$37,CJ21&gt;='Variable index'!$K$38,'Variable index'!$L$38),"")</f>
        <v/>
      </c>
      <c r="CJ29" s="168" t="str">
        <f>IFERROR(CJ$21*CI29,"")</f>
        <v/>
      </c>
      <c r="CL29" s="192"/>
      <c r="CM29" s="310" t="str" cm="1">
        <f t="array" ref="CM29">IF(CN21&lt;&gt;"",_xlfn.IFS(AND(CN21&gt;='Variable index'!$K$35,CN21&lt;'Variable index'!$K$36),'Variable index'!$L$35,AND(CN21&gt;='Variable index'!$K$36,CN21&lt;'Variable index'!$K$37),'Variable index'!$L$36,AND(CN21&gt;='Variable index'!$K$37,CN21&lt;'Variable index'!$K$38),'Variable index'!$L$37,CN21&gt;='Variable index'!$K$38,'Variable index'!$L$38),"")</f>
        <v/>
      </c>
      <c r="CN29" s="168" t="str">
        <f>IFERROR(CN$21*CM29,"")</f>
        <v/>
      </c>
      <c r="CP29" s="192"/>
      <c r="CQ29" s="310" t="str" cm="1">
        <f t="array" ref="CQ29">IF(CR21&lt;&gt;"",_xlfn.IFS(AND(CR21&gt;='Variable index'!$K$35,CR21&lt;'Variable index'!$K$36),'Variable index'!$L$35,AND(CR21&gt;='Variable index'!$K$36,CR21&lt;'Variable index'!$K$37),'Variable index'!$L$36,AND(CR21&gt;='Variable index'!$K$37,CR21&lt;'Variable index'!$K$38),'Variable index'!$L$37,CR21&gt;='Variable index'!$K$38,'Variable index'!$L$38),"")</f>
        <v/>
      </c>
      <c r="CR29" s="168" t="str">
        <f>IFERROR(CR$21*CQ29,"")</f>
        <v/>
      </c>
      <c r="CT29" s="192"/>
      <c r="CU29" s="310" t="str" cm="1">
        <f t="array" ref="CU29">IF(CV21&lt;&gt;"",_xlfn.IFS(AND(CV21&gt;='Variable index'!$K$35,CV21&lt;'Variable index'!$K$36),'Variable index'!$L$35,AND(CV21&gt;='Variable index'!$K$36,CV21&lt;'Variable index'!$K$37),'Variable index'!$L$36,AND(CV21&gt;='Variable index'!$K$37,CV21&lt;'Variable index'!$K$38),'Variable index'!$L$37,CV21&gt;='Variable index'!$K$38,'Variable index'!$L$38),"")</f>
        <v/>
      </c>
      <c r="CV29" s="168" t="str">
        <f>IFERROR(CV$21*CU29,"")</f>
        <v/>
      </c>
      <c r="CX29" s="192"/>
      <c r="CY29" s="310" t="str" cm="1">
        <f t="array" ref="CY29">IF(CZ21&lt;&gt;"",_xlfn.IFS(AND(CZ21&gt;='Variable index'!$K$35,CZ21&lt;'Variable index'!$K$36),'Variable index'!$L$35,AND(CZ21&gt;='Variable index'!$K$36,CZ21&lt;'Variable index'!$K$37),'Variable index'!$L$36,AND(CZ21&gt;='Variable index'!$K$37,CZ21&lt;'Variable index'!$K$38),'Variable index'!$L$37,CZ21&gt;='Variable index'!$K$38,'Variable index'!$L$38),"")</f>
        <v/>
      </c>
      <c r="CZ29" s="168" t="str">
        <f>IFERROR(CZ$21*CY29,"")</f>
        <v/>
      </c>
      <c r="DB29" s="192"/>
      <c r="DC29" s="310" t="str" cm="1">
        <f t="array" ref="DC29">IF(DD21&lt;&gt;"",_xlfn.IFS(AND(DD21&gt;='Variable index'!$K$35,DD21&lt;'Variable index'!$K$36),'Variable index'!$L$35,AND(DD21&gt;='Variable index'!$K$36,DD21&lt;'Variable index'!$K$37),'Variable index'!$L$36,AND(DD21&gt;='Variable index'!$K$37,DD21&lt;'Variable index'!$K$38),'Variable index'!$L$37,DD21&gt;='Variable index'!$K$38,'Variable index'!$L$38),"")</f>
        <v/>
      </c>
      <c r="DD29" s="168" t="str">
        <f>IFERROR(DD$21*DC29,"")</f>
        <v/>
      </c>
      <c r="DF29" s="192"/>
      <c r="DG29" s="310" t="str" cm="1">
        <f t="array" ref="DG29">IF(DH21&lt;&gt;"",_xlfn.IFS(AND(DH21&gt;='Variable index'!$K$35,DH21&lt;'Variable index'!$K$36),'Variable index'!$L$35,AND(DH21&gt;='Variable index'!$K$36,DH21&lt;'Variable index'!$K$37),'Variable index'!$L$36,AND(DH21&gt;='Variable index'!$K$37,DH21&lt;'Variable index'!$K$38),'Variable index'!$L$37,DH21&gt;='Variable index'!$K$38,'Variable index'!$L$38),"")</f>
        <v/>
      </c>
      <c r="DH29" s="168" t="str">
        <f>IFERROR(DH$21*DG29,"")</f>
        <v/>
      </c>
      <c r="DJ29" s="192"/>
      <c r="DK29" s="310" t="str" cm="1">
        <f t="array" ref="DK29">IF(DL21&lt;&gt;"",_xlfn.IFS(AND(DL21&gt;='Variable index'!$K$35,DL21&lt;'Variable index'!$K$36),'Variable index'!$L$35,AND(DL21&gt;='Variable index'!$K$36,DL21&lt;'Variable index'!$K$37),'Variable index'!$L$36,AND(DL21&gt;='Variable index'!$K$37,DL21&lt;'Variable index'!$K$38),'Variable index'!$L$37,DL21&gt;='Variable index'!$K$38,'Variable index'!$L$38),"")</f>
        <v/>
      </c>
      <c r="DL29" s="168" t="str">
        <f>IFERROR(DL$21*DK29,"")</f>
        <v/>
      </c>
      <c r="DN29" s="192"/>
      <c r="DO29" s="310" t="str" cm="1">
        <f t="array" ref="DO29">IF(DP21&lt;&gt;"",_xlfn.IFS(AND(DP21&gt;='Variable index'!$K$35,DP21&lt;'Variable index'!$K$36),'Variable index'!$L$35,AND(DP21&gt;='Variable index'!$K$36,DP21&lt;'Variable index'!$K$37),'Variable index'!$L$36,AND(DP21&gt;='Variable index'!$K$37,DP21&lt;'Variable index'!$K$38),'Variable index'!$L$37,DP21&gt;='Variable index'!$K$38,'Variable index'!$L$38),"")</f>
        <v/>
      </c>
      <c r="DP29" s="168" t="str">
        <f>IFERROR(DP$21*DO29,"")</f>
        <v/>
      </c>
      <c r="DR29" s="192"/>
      <c r="DS29" s="310" t="str" cm="1">
        <f t="array" ref="DS29">IF(DT21&lt;&gt;"",_xlfn.IFS(AND(DT21&gt;='Variable index'!$K$35,DT21&lt;'Variable index'!$K$36),'Variable index'!$L$35,AND(DT21&gt;='Variable index'!$K$36,DT21&lt;'Variable index'!$K$37),'Variable index'!$L$36,AND(DT21&gt;='Variable index'!$K$37,DT21&lt;'Variable index'!$K$38),'Variable index'!$L$37,DT21&gt;='Variable index'!$K$38,'Variable index'!$L$38),"")</f>
        <v/>
      </c>
      <c r="DT29" s="168" t="str">
        <f>IFERROR(DT$21*DS29,"")</f>
        <v/>
      </c>
      <c r="DV29" s="192"/>
      <c r="DW29" s="310" t="str" cm="1">
        <f t="array" ref="DW29">IF(DX21&lt;&gt;"",_xlfn.IFS(AND(DX21&gt;='Variable index'!$K$35,DX21&lt;'Variable index'!$K$36),'Variable index'!$L$35,AND(DX21&gt;='Variable index'!$K$36,DX21&lt;'Variable index'!$K$37),'Variable index'!$L$36,AND(DX21&gt;='Variable index'!$K$37,DX21&lt;'Variable index'!$K$38),'Variable index'!$L$37,DX21&gt;='Variable index'!$K$38,'Variable index'!$L$38),"")</f>
        <v/>
      </c>
      <c r="DX29" s="168" t="str">
        <f>IFERROR(DX$21*DW29,"")</f>
        <v/>
      </c>
      <c r="DZ29" s="192"/>
      <c r="EA29" s="310" t="str" cm="1">
        <f t="array" ref="EA29">IF(EB21&lt;&gt;"",_xlfn.IFS(AND(EB21&gt;='Variable index'!$K$35,EB21&lt;'Variable index'!$K$36),'Variable index'!$L$35,AND(EB21&gt;='Variable index'!$K$36,EB21&lt;'Variable index'!$K$37),'Variable index'!$L$36,AND(EB21&gt;='Variable index'!$K$37,EB21&lt;'Variable index'!$K$38),'Variable index'!$L$37,EB21&gt;='Variable index'!$K$38,'Variable index'!$L$38),"")</f>
        <v/>
      </c>
      <c r="EB29" s="168" t="str">
        <f>IFERROR(EB$21*EA29,"")</f>
        <v/>
      </c>
      <c r="ED29" s="192"/>
      <c r="EE29" s="310" t="str" cm="1">
        <f t="array" ref="EE29">IF(EF21&lt;&gt;"",_xlfn.IFS(AND(EF21&gt;='Variable index'!$K$35,EF21&lt;'Variable index'!$K$36),'Variable index'!$L$35,AND(EF21&gt;='Variable index'!$K$36,EF21&lt;'Variable index'!$K$37),'Variable index'!$L$36,AND(EF21&gt;='Variable index'!$K$37,EF21&lt;'Variable index'!$K$38),'Variable index'!$L$37,EF21&gt;='Variable index'!$K$38,'Variable index'!$L$38),"")</f>
        <v/>
      </c>
      <c r="EF29" s="168" t="str">
        <f>IFERROR(EF$21*EE29,"")</f>
        <v/>
      </c>
      <c r="EH29" s="192"/>
      <c r="EI29" s="310" t="str" cm="1">
        <f t="array" ref="EI29">IF(EJ21&lt;&gt;"",_xlfn.IFS(AND(EJ21&gt;='Variable index'!$K$35,EJ21&lt;'Variable index'!$K$36),'Variable index'!$L$35,AND(EJ21&gt;='Variable index'!$K$36,EJ21&lt;'Variable index'!$K$37),'Variable index'!$L$36,AND(EJ21&gt;='Variable index'!$K$37,EJ21&lt;'Variable index'!$K$38),'Variable index'!$L$37,EJ21&gt;='Variable index'!$K$38,'Variable index'!$L$38),"")</f>
        <v/>
      </c>
      <c r="EJ29" s="168" t="str">
        <f>IFERROR(EJ$21*EI29,"")</f>
        <v/>
      </c>
      <c r="EL29" s="192"/>
      <c r="EM29" s="310" t="str" cm="1">
        <f t="array" ref="EM29">IF(EN21&lt;&gt;"",_xlfn.IFS(AND(EN21&gt;='Variable index'!$K$35,EN21&lt;'Variable index'!$K$36),'Variable index'!$L$35,AND(EN21&gt;='Variable index'!$K$36,EN21&lt;'Variable index'!$K$37),'Variable index'!$L$36,AND(EN21&gt;='Variable index'!$K$37,EN21&lt;'Variable index'!$K$38),'Variable index'!$L$37,EN21&gt;='Variable index'!$K$38,'Variable index'!$L$38),"")</f>
        <v/>
      </c>
      <c r="EN29" s="168" t="str">
        <f>IFERROR(EN$21*EM29,"")</f>
        <v/>
      </c>
      <c r="EP29" s="192"/>
      <c r="EQ29" s="310" t="str" cm="1">
        <f t="array" ref="EQ29">IF(ER21&lt;&gt;"",_xlfn.IFS(AND(ER21&gt;='Variable index'!$K$35,ER21&lt;'Variable index'!$K$36),'Variable index'!$L$35,AND(ER21&gt;='Variable index'!$K$36,ER21&lt;'Variable index'!$K$37),'Variable index'!$L$36,AND(ER21&gt;='Variable index'!$K$37,ER21&lt;'Variable index'!$K$38),'Variable index'!$L$37,ER21&gt;='Variable index'!$K$38,'Variable index'!$L$38),"")</f>
        <v/>
      </c>
      <c r="ER29" s="168" t="str">
        <f>IFERROR(ER$21*EQ29,"")</f>
        <v/>
      </c>
      <c r="ET29" s="192"/>
      <c r="EU29" s="310" t="str" cm="1">
        <f t="array" ref="EU29">IF(EV21&lt;&gt;"",_xlfn.IFS(AND(EV21&gt;='Variable index'!$K$35,EV21&lt;'Variable index'!$K$36),'Variable index'!$L$35,AND(EV21&gt;='Variable index'!$K$36,EV21&lt;'Variable index'!$K$37),'Variable index'!$L$36,AND(EV21&gt;='Variable index'!$K$37,EV21&lt;'Variable index'!$K$38),'Variable index'!$L$37,EV21&gt;='Variable index'!$K$38,'Variable index'!$L$38),"")</f>
        <v/>
      </c>
      <c r="EV29" s="168" t="str">
        <f>IFERROR(EV$21*EU29,"")</f>
        <v/>
      </c>
      <c r="EX29" s="192"/>
      <c r="EY29" s="310" t="str" cm="1">
        <f t="array" ref="EY29">IF(EZ21&lt;&gt;"",_xlfn.IFS(AND(EZ21&gt;='Variable index'!$K$35,EZ21&lt;'Variable index'!$K$36),'Variable index'!$L$35,AND(EZ21&gt;='Variable index'!$K$36,EZ21&lt;'Variable index'!$K$37),'Variable index'!$L$36,AND(EZ21&gt;='Variable index'!$K$37,EZ21&lt;'Variable index'!$K$38),'Variable index'!$L$37,EZ21&gt;='Variable index'!$K$38,'Variable index'!$L$38),"")</f>
        <v/>
      </c>
      <c r="EZ29" s="168" t="str">
        <f>IFERROR(EZ$21*EY29,"")</f>
        <v/>
      </c>
      <c r="FB29" s="192"/>
      <c r="FC29" s="310" t="str" cm="1">
        <f t="array" ref="FC29">IF(FD21&lt;&gt;"",_xlfn.IFS(AND(FD21&gt;='Variable index'!$K$35,FD21&lt;'Variable index'!$K$36),'Variable index'!$L$35,AND(FD21&gt;='Variable index'!$K$36,FD21&lt;'Variable index'!$K$37),'Variable index'!$L$36,AND(FD21&gt;='Variable index'!$K$37,FD21&lt;'Variable index'!$K$38),'Variable index'!$L$37,FD21&gt;='Variable index'!$K$38,'Variable index'!$L$38),"")</f>
        <v/>
      </c>
      <c r="FD29" s="168" t="str">
        <f>IFERROR(FD$21*FC29,"")</f>
        <v/>
      </c>
      <c r="FF29" s="192"/>
      <c r="FG29" s="310" t="str" cm="1">
        <f t="array" ref="FG29">IF(FH21&lt;&gt;"",_xlfn.IFS(AND(FH21&gt;='Variable index'!$K$35,FH21&lt;'Variable index'!$K$36),'Variable index'!$L$35,AND(FH21&gt;='Variable index'!$K$36,FH21&lt;'Variable index'!$K$37),'Variable index'!$L$36,AND(FH21&gt;='Variable index'!$K$37,FH21&lt;'Variable index'!$K$38),'Variable index'!$L$37,FH21&gt;='Variable index'!$K$38,'Variable index'!$L$38),"")</f>
        <v/>
      </c>
      <c r="FH29" s="168" t="str">
        <f>IFERROR(FH$21*FG29,"")</f>
        <v/>
      </c>
      <c r="FJ29" s="192"/>
      <c r="FK29" s="310" t="str" cm="1">
        <f t="array" ref="FK29">IF(FL21&lt;&gt;"",_xlfn.IFS(AND(FL21&gt;='Variable index'!$K$35,FL21&lt;'Variable index'!$K$36),'Variable index'!$L$35,AND(FL21&gt;='Variable index'!$K$36,FL21&lt;'Variable index'!$K$37),'Variable index'!$L$36,AND(FL21&gt;='Variable index'!$K$37,FL21&lt;'Variable index'!$K$38),'Variable index'!$L$37,FL21&gt;='Variable index'!$K$38,'Variable index'!$L$38),"")</f>
        <v/>
      </c>
      <c r="FL29" s="168" t="str">
        <f>IFERROR(FL$21*FK29,"")</f>
        <v/>
      </c>
      <c r="FN29" s="192"/>
      <c r="FO29" s="310" t="str" cm="1">
        <f t="array" ref="FO29">IF(FP21&lt;&gt;"",_xlfn.IFS(AND(FP21&gt;='Variable index'!$K$35,FP21&lt;'Variable index'!$K$36),'Variable index'!$L$35,AND(FP21&gt;='Variable index'!$K$36,FP21&lt;'Variable index'!$K$37),'Variable index'!$L$36,AND(FP21&gt;='Variable index'!$K$37,FP21&lt;'Variable index'!$K$38),'Variable index'!$L$37,FP21&gt;='Variable index'!$K$38,'Variable index'!$L$38),"")</f>
        <v/>
      </c>
      <c r="FP29" s="168" t="str">
        <f>IFERROR(FP$21*FO29,"")</f>
        <v/>
      </c>
      <c r="FR29" s="192"/>
      <c r="FS29" s="310" t="str" cm="1">
        <f t="array" ref="FS29">IF(FT21&lt;&gt;"",_xlfn.IFS(AND(FT21&gt;='Variable index'!$K$35,FT21&lt;'Variable index'!$K$36),'Variable index'!$L$35,AND(FT21&gt;='Variable index'!$K$36,FT21&lt;'Variable index'!$K$37),'Variable index'!$L$36,AND(FT21&gt;='Variable index'!$K$37,FT21&lt;'Variable index'!$K$38),'Variable index'!$L$37,FT21&gt;='Variable index'!$K$38,'Variable index'!$L$38),"")</f>
        <v/>
      </c>
      <c r="FT29" s="168" t="str">
        <f>IFERROR(FT$21*FS29,"")</f>
        <v/>
      </c>
      <c r="FV29" s="192"/>
      <c r="FW29" s="310" t="str" cm="1">
        <f t="array" ref="FW29">IF(FX21&lt;&gt;"",_xlfn.IFS(AND(FX21&gt;='Variable index'!$K$35,FX21&lt;'Variable index'!$K$36),'Variable index'!$L$35,AND(FX21&gt;='Variable index'!$K$36,FX21&lt;'Variable index'!$K$37),'Variable index'!$L$36,AND(FX21&gt;='Variable index'!$K$37,FX21&lt;'Variable index'!$K$38),'Variable index'!$L$37,FX21&gt;='Variable index'!$K$38,'Variable index'!$L$38),"")</f>
        <v/>
      </c>
      <c r="FX29" s="168" t="str">
        <f>IFERROR(FX$21*FW29,"")</f>
        <v/>
      </c>
      <c r="FZ29" s="192"/>
      <c r="GA29" s="310" t="str" cm="1">
        <f t="array" ref="GA29">IF(GB21&lt;&gt;"",_xlfn.IFS(AND(GB21&gt;='Variable index'!$K$35,GB21&lt;'Variable index'!$K$36),'Variable index'!$L$35,AND(GB21&gt;='Variable index'!$K$36,GB21&lt;'Variable index'!$K$37),'Variable index'!$L$36,AND(GB21&gt;='Variable index'!$K$37,GB21&lt;'Variable index'!$K$38),'Variable index'!$L$37,GB21&gt;='Variable index'!$K$38,'Variable index'!$L$38),"")</f>
        <v/>
      </c>
      <c r="GB29" s="168" t="str">
        <f>IFERROR(GB$21*GA29,"")</f>
        <v/>
      </c>
      <c r="GD29" s="192"/>
      <c r="GE29" s="310" t="str" cm="1">
        <f t="array" ref="GE29">IF(GF21&lt;&gt;"",_xlfn.IFS(AND(GF21&gt;='Variable index'!$K$35,GF21&lt;'Variable index'!$K$36),'Variable index'!$L$35,AND(GF21&gt;='Variable index'!$K$36,GF21&lt;'Variable index'!$K$37),'Variable index'!$L$36,AND(GF21&gt;='Variable index'!$K$37,GF21&lt;'Variable index'!$K$38),'Variable index'!$L$37,GF21&gt;='Variable index'!$K$38,'Variable index'!$L$38),"")</f>
        <v/>
      </c>
      <c r="GF29" s="168" t="str">
        <f>IFERROR(GF$21*GE29,"")</f>
        <v/>
      </c>
      <c r="GH29" s="192"/>
      <c r="GI29" s="310" t="str" cm="1">
        <f t="array" ref="GI29">IF(GJ21&lt;&gt;"",_xlfn.IFS(AND(GJ21&gt;='Variable index'!$K$35,GJ21&lt;'Variable index'!$K$36),'Variable index'!$L$35,AND(GJ21&gt;='Variable index'!$K$36,GJ21&lt;'Variable index'!$K$37),'Variable index'!$L$36,AND(GJ21&gt;='Variable index'!$K$37,GJ21&lt;'Variable index'!$K$38),'Variable index'!$L$37,GJ21&gt;='Variable index'!$K$38,'Variable index'!$L$38),"")</f>
        <v/>
      </c>
      <c r="GJ29" s="168" t="str">
        <f>IFERROR(GJ$21*GI29,"")</f>
        <v/>
      </c>
      <c r="GL29" s="192"/>
      <c r="GM29" s="310" t="str" cm="1">
        <f t="array" ref="GM29">IF(GN21&lt;&gt;"",_xlfn.IFS(AND(GN21&gt;='Variable index'!$K$35,GN21&lt;'Variable index'!$K$36),'Variable index'!$L$35,AND(GN21&gt;='Variable index'!$K$36,GN21&lt;'Variable index'!$K$37),'Variable index'!$L$36,AND(GN21&gt;='Variable index'!$K$37,GN21&lt;'Variable index'!$K$38),'Variable index'!$L$37,GN21&gt;='Variable index'!$K$38,'Variable index'!$L$38),"")</f>
        <v/>
      </c>
      <c r="GN29" s="168" t="str">
        <f>IFERROR(GN$21*GM29,"")</f>
        <v/>
      </c>
      <c r="GP29" s="192"/>
      <c r="GQ29" s="310" t="str" cm="1">
        <f t="array" ref="GQ29">IF(GR21&lt;&gt;"",_xlfn.IFS(AND(GR21&gt;='Variable index'!$K$35,GR21&lt;'Variable index'!$K$36),'Variable index'!$L$35,AND(GR21&gt;='Variable index'!$K$36,GR21&lt;'Variable index'!$K$37),'Variable index'!$L$36,AND(GR21&gt;='Variable index'!$K$37,GR21&lt;'Variable index'!$K$38),'Variable index'!$L$37,GR21&gt;='Variable index'!$K$38,'Variable index'!$L$38),"")</f>
        <v/>
      </c>
      <c r="GR29" s="168" t="str">
        <f>IFERROR(GR$21*GQ29,"")</f>
        <v/>
      </c>
      <c r="GT29" s="192"/>
      <c r="GU29" s="310" t="str" cm="1">
        <f t="array" ref="GU29">IF(GV21&lt;&gt;"",_xlfn.IFS(AND(GV21&gt;='Variable index'!$K$35,GV21&lt;'Variable index'!$K$36),'Variable index'!$L$35,AND(GV21&gt;='Variable index'!$K$36,GV21&lt;'Variable index'!$K$37),'Variable index'!$L$36,AND(GV21&gt;='Variable index'!$K$37,GV21&lt;'Variable index'!$K$38),'Variable index'!$L$37,GV21&gt;='Variable index'!$K$38,'Variable index'!$L$38),"")</f>
        <v/>
      </c>
      <c r="GV29" s="168" t="str">
        <f>IFERROR(GV$21*GU29,"")</f>
        <v/>
      </c>
    </row>
    <row r="30" spans="4:204" x14ac:dyDescent="0.2">
      <c r="D30" t="s">
        <v>158</v>
      </c>
      <c r="F30" s="232" t="str">
        <f>IF(_xlfn.XLOOKUP(F$14,TableOpenSpace['#],TableOpenSpace[Is there a cultural heritage impact?])&lt;&gt;"",_xlfn.XLOOKUP(F$14,TableOpenSpace['#],TableOpenSpace[Is there a cultural heritage impact?]),"")</f>
        <v/>
      </c>
      <c r="G30" s="311" t="str" cm="1">
        <f t="array" ref="G30">IF(F30&lt;&gt;"",_xlfn.IFS(F30="Yes",_xlfn.IFS(AND(H21&gt;='Variable index'!$K$35,H21&lt;'Variable index'!$K$36),'Variable index'!$M$35,AND(H21&gt;='Variable index'!$K$36,H21&lt;'Variable index'!$K$37),'Variable index'!$M$36,AND(H21&gt;='Variable index'!$K$37,H21&lt;'Variable index'!$K$38),'Variable index'!$M$37,H21&gt;='Variable index'!$K$38,'Variable index'!$M$38),F30="No",0),"")</f>
        <v/>
      </c>
      <c r="H30" s="168" t="str">
        <f>IFERROR(H$21*G30,"")</f>
        <v/>
      </c>
      <c r="J30" s="232" t="str">
        <f>IF(_xlfn.XLOOKUP(J$14,TableOpenSpace['#],TableOpenSpace[Is there a cultural heritage impact?])&lt;&gt;"",_xlfn.XLOOKUP(J$14,TableOpenSpace['#],TableOpenSpace[Is there a cultural heritage impact?]),"")</f>
        <v/>
      </c>
      <c r="K30" s="311" t="str" cm="1">
        <f t="array" ref="K30">IF(J30&lt;&gt;"",_xlfn.IFS(J30="Yes",_xlfn.IFS(AND(L21&gt;='Variable index'!$K$35,L21&lt;'Variable index'!$K$36),'Variable index'!$M$35,AND(L21&gt;='Variable index'!$K$36,L21&lt;'Variable index'!$K$37),'Variable index'!$M$36,AND(L21&gt;='Variable index'!$K$37,L21&lt;'Variable index'!$K$38),'Variable index'!$M$37,L21&gt;='Variable index'!$K$38,'Variable index'!$M$38),J30="No",0),"")</f>
        <v/>
      </c>
      <c r="L30" s="168" t="str">
        <f>IFERROR(L$21*K30,"")</f>
        <v/>
      </c>
      <c r="N30" s="232" t="str">
        <f>IF(_xlfn.XLOOKUP(N$14,TableOpenSpace['#],TableOpenSpace[Is there a cultural heritage impact?])&lt;&gt;"",_xlfn.XLOOKUP(N$14,TableOpenSpace['#],TableOpenSpace[Is there a cultural heritage impact?]),"")</f>
        <v/>
      </c>
      <c r="O30" s="311" t="str" cm="1">
        <f t="array" ref="O30">IF(N30&lt;&gt;"",_xlfn.IFS(N30="Yes",_xlfn.IFS(AND(P21&gt;='Variable index'!$K$35,P21&lt;'Variable index'!$K$36),'Variable index'!$M$35,AND(P21&gt;='Variable index'!$K$36,P21&lt;'Variable index'!$K$37),'Variable index'!$M$36,AND(P21&gt;='Variable index'!$K$37,P21&lt;'Variable index'!$K$38),'Variable index'!$M$37,P21&gt;='Variable index'!$K$38,'Variable index'!$M$38),N30="No",0),"")</f>
        <v/>
      </c>
      <c r="P30" s="168" t="str">
        <f>IFERROR(P$21*O30,"")</f>
        <v/>
      </c>
      <c r="R30" s="232" t="str">
        <f>IF(_xlfn.XLOOKUP(R$14,TableOpenSpace['#],TableOpenSpace[Is there a cultural heritage impact?])&lt;&gt;"",_xlfn.XLOOKUP(R$14,TableOpenSpace['#],TableOpenSpace[Is there a cultural heritage impact?]),"")</f>
        <v/>
      </c>
      <c r="S30" s="311" t="str" cm="1">
        <f t="array" ref="S30">IF(R30&lt;&gt;"",_xlfn.IFS(R30="Yes",_xlfn.IFS(AND(T21&gt;='Variable index'!$K$35,T21&lt;'Variable index'!$K$36),'Variable index'!$M$35,AND(T21&gt;='Variable index'!$K$36,T21&lt;'Variable index'!$K$37),'Variable index'!$M$36,AND(T21&gt;='Variable index'!$K$37,T21&lt;'Variable index'!$K$38),'Variable index'!$M$37,T21&gt;='Variable index'!$K$38,'Variable index'!$M$38),R30="No",0),"")</f>
        <v/>
      </c>
      <c r="T30" s="168" t="str">
        <f>IFERROR(T$21*S30,"")</f>
        <v/>
      </c>
      <c r="V30" s="232" t="str">
        <f>IF(_xlfn.XLOOKUP(V$14,TableOpenSpace['#],TableOpenSpace[Is there a cultural heritage impact?])&lt;&gt;"",_xlfn.XLOOKUP(V$14,TableOpenSpace['#],TableOpenSpace[Is there a cultural heritage impact?]),"")</f>
        <v/>
      </c>
      <c r="W30" s="311" t="str" cm="1">
        <f t="array" ref="W30">IF(V30&lt;&gt;"",_xlfn.IFS(V30="Yes",_xlfn.IFS(AND(X21&gt;='Variable index'!$K$35,X21&lt;'Variable index'!$K$36),'Variable index'!$M$35,AND(X21&gt;='Variable index'!$K$36,X21&lt;'Variable index'!$K$37),'Variable index'!$M$36,AND(X21&gt;='Variable index'!$K$37,X21&lt;'Variable index'!$K$38),'Variable index'!$M$37,X21&gt;='Variable index'!$K$38,'Variable index'!$M$38),V30="No",0),"")</f>
        <v/>
      </c>
      <c r="X30" s="168" t="str">
        <f>IFERROR(X$21*W30,"")</f>
        <v/>
      </c>
      <c r="Z30" s="232" t="str">
        <f>IF(_xlfn.XLOOKUP(Z$14,TableOpenSpace['#],TableOpenSpace[Is there a cultural heritage impact?])&lt;&gt;"",_xlfn.XLOOKUP(Z$14,TableOpenSpace['#],TableOpenSpace[Is there a cultural heritage impact?]),"")</f>
        <v/>
      </c>
      <c r="AA30" s="311" t="str" cm="1">
        <f t="array" ref="AA30">IF(Z30&lt;&gt;"",_xlfn.IFS(Z30="Yes",_xlfn.IFS(AND(AB21&gt;='Variable index'!$K$35,AB21&lt;'Variable index'!$K$36),'Variable index'!$M$35,AND(AB21&gt;='Variable index'!$K$36,AB21&lt;'Variable index'!$K$37),'Variable index'!$M$36,AND(AB21&gt;='Variable index'!$K$37,AB21&lt;'Variable index'!$K$38),'Variable index'!$M$37,AB21&gt;='Variable index'!$K$38,'Variable index'!$M$38),Z30="No",0),"")</f>
        <v/>
      </c>
      <c r="AB30" s="168" t="str">
        <f>IFERROR(AB$21*AA30,"")</f>
        <v/>
      </c>
      <c r="AD30" s="232" t="str">
        <f>IF(_xlfn.XLOOKUP(AD$14,TableOpenSpace['#],TableOpenSpace[Is there a cultural heritage impact?])&lt;&gt;"",_xlfn.XLOOKUP(AD$14,TableOpenSpace['#],TableOpenSpace[Is there a cultural heritage impact?]),"")</f>
        <v/>
      </c>
      <c r="AE30" s="311" t="str" cm="1">
        <f t="array" ref="AE30">IF(AD30&lt;&gt;"",_xlfn.IFS(AD30="Yes",_xlfn.IFS(AND(AF21&gt;='Variable index'!$K$35,AF21&lt;'Variable index'!$K$36),'Variable index'!$M$35,AND(AF21&gt;='Variable index'!$K$36,AF21&lt;'Variable index'!$K$37),'Variable index'!$M$36,AND(AF21&gt;='Variable index'!$K$37,AF21&lt;'Variable index'!$K$38),'Variable index'!$M$37,AF21&gt;='Variable index'!$K$38,'Variable index'!$M$38),AD30="No",0),"")</f>
        <v/>
      </c>
      <c r="AF30" s="168" t="str">
        <f>IFERROR(AF$21*AE30,"")</f>
        <v/>
      </c>
      <c r="AH30" s="232" t="str">
        <f>IF(_xlfn.XLOOKUP(AH$14,TableOpenSpace['#],TableOpenSpace[Is there a cultural heritage impact?])&lt;&gt;"",_xlfn.XLOOKUP(AH$14,TableOpenSpace['#],TableOpenSpace[Is there a cultural heritage impact?]),"")</f>
        <v/>
      </c>
      <c r="AI30" s="311" t="str" cm="1">
        <f t="array" ref="AI30">IF(AH30&lt;&gt;"",_xlfn.IFS(AH30="Yes",_xlfn.IFS(AND(AJ21&gt;='Variable index'!$K$35,AJ21&lt;'Variable index'!$K$36),'Variable index'!$M$35,AND(AJ21&gt;='Variable index'!$K$36,AJ21&lt;'Variable index'!$K$37),'Variable index'!$M$36,AND(AJ21&gt;='Variable index'!$K$37,AJ21&lt;'Variable index'!$K$38),'Variable index'!$M$37,AJ21&gt;='Variable index'!$K$38,'Variable index'!$M$38),AH30="No",0),"")</f>
        <v/>
      </c>
      <c r="AJ30" s="168" t="str">
        <f>IFERROR(AJ$21*AI30,"")</f>
        <v/>
      </c>
      <c r="AL30" s="232" t="str">
        <f>IF(_xlfn.XLOOKUP(AL$14,TableOpenSpace['#],TableOpenSpace[Is there a cultural heritage impact?])&lt;&gt;"",_xlfn.XLOOKUP(AL$14,TableOpenSpace['#],TableOpenSpace[Is there a cultural heritage impact?]),"")</f>
        <v/>
      </c>
      <c r="AM30" s="311" t="str" cm="1">
        <f t="array" ref="AM30">IF(AL30&lt;&gt;"",_xlfn.IFS(AL30="Yes",_xlfn.IFS(AND(AN21&gt;='Variable index'!$K$35,AN21&lt;'Variable index'!$K$36),'Variable index'!$M$35,AND(AN21&gt;='Variable index'!$K$36,AN21&lt;'Variable index'!$K$37),'Variable index'!$M$36,AND(AN21&gt;='Variable index'!$K$37,AN21&lt;'Variable index'!$K$38),'Variable index'!$M$37,AN21&gt;='Variable index'!$K$38,'Variable index'!$M$38),AL30="No",0),"")</f>
        <v/>
      </c>
      <c r="AN30" s="168" t="str">
        <f>IFERROR(AN$21*AM30,"")</f>
        <v/>
      </c>
      <c r="AP30" s="232" t="str">
        <f>IF(_xlfn.XLOOKUP(AP$14,TableOpenSpace['#],TableOpenSpace[Is there a cultural heritage impact?])&lt;&gt;"",_xlfn.XLOOKUP(AP$14,TableOpenSpace['#],TableOpenSpace[Is there a cultural heritage impact?]),"")</f>
        <v/>
      </c>
      <c r="AQ30" s="311" t="str" cm="1">
        <f t="array" ref="AQ30">IF(AP30&lt;&gt;"",_xlfn.IFS(AP30="Yes",_xlfn.IFS(AND(AR21&gt;='Variable index'!$K$35,AR21&lt;'Variable index'!$K$36),'Variable index'!$M$35,AND(AR21&gt;='Variable index'!$K$36,AR21&lt;'Variable index'!$K$37),'Variable index'!$M$36,AND(AR21&gt;='Variable index'!$K$37,AR21&lt;'Variable index'!$K$38),'Variable index'!$M$37,AR21&gt;='Variable index'!$K$38,'Variable index'!$M$38),AP30="No",0),"")</f>
        <v/>
      </c>
      <c r="AR30" s="168" t="str">
        <f>IFERROR(AR$21*AQ30,"")</f>
        <v/>
      </c>
      <c r="AT30" s="232" t="str">
        <f>IF(_xlfn.XLOOKUP(AT$14,TableOpenSpace['#],TableOpenSpace[Is there a cultural heritage impact?])&lt;&gt;"",_xlfn.XLOOKUP(AT$14,TableOpenSpace['#],TableOpenSpace[Is there a cultural heritage impact?]),"")</f>
        <v/>
      </c>
      <c r="AU30" s="311" t="str" cm="1">
        <f t="array" ref="AU30">IF(AT30&lt;&gt;"",_xlfn.IFS(AT30="Yes",_xlfn.IFS(AND(AV21&gt;='Variable index'!$K$35,AV21&lt;'Variable index'!$K$36),'Variable index'!$M$35,AND(AV21&gt;='Variable index'!$K$36,AV21&lt;'Variable index'!$K$37),'Variable index'!$M$36,AND(AV21&gt;='Variable index'!$K$37,AV21&lt;'Variable index'!$K$38),'Variable index'!$M$37,AV21&gt;='Variable index'!$K$38,'Variable index'!$M$38),AT30="No",0),"")</f>
        <v/>
      </c>
      <c r="AV30" s="168" t="str">
        <f>IFERROR(AV$21*AU30,"")</f>
        <v/>
      </c>
      <c r="AX30" s="232" t="str">
        <f>IF(_xlfn.XLOOKUP(AX$14,TableOpenSpace['#],TableOpenSpace[Is there a cultural heritage impact?])&lt;&gt;"",_xlfn.XLOOKUP(AX$14,TableOpenSpace['#],TableOpenSpace[Is there a cultural heritage impact?]),"")</f>
        <v/>
      </c>
      <c r="AY30" s="311" t="str" cm="1">
        <f t="array" ref="AY30">IF(AX30&lt;&gt;"",_xlfn.IFS(AX30="Yes",_xlfn.IFS(AND(AZ21&gt;='Variable index'!$K$35,AZ21&lt;'Variable index'!$K$36),'Variable index'!$M$35,AND(AZ21&gt;='Variable index'!$K$36,AZ21&lt;'Variable index'!$K$37),'Variable index'!$M$36,AND(AZ21&gt;='Variable index'!$K$37,AZ21&lt;'Variable index'!$K$38),'Variable index'!$M$37,AZ21&gt;='Variable index'!$K$38,'Variable index'!$M$38),AX30="No",0),"")</f>
        <v/>
      </c>
      <c r="AZ30" s="168" t="str">
        <f>IFERROR(AZ$21*AY30,"")</f>
        <v/>
      </c>
      <c r="BB30" s="232" t="str">
        <f>IF(_xlfn.XLOOKUP(BB$14,TableOpenSpace['#],TableOpenSpace[Is there a cultural heritage impact?])&lt;&gt;"",_xlfn.XLOOKUP(BB$14,TableOpenSpace['#],TableOpenSpace[Is there a cultural heritage impact?]),"")</f>
        <v/>
      </c>
      <c r="BC30" s="311" t="str" cm="1">
        <f t="array" ref="BC30">IF(BB30&lt;&gt;"",_xlfn.IFS(BB30="Yes",_xlfn.IFS(AND(BD21&gt;='Variable index'!$K$35,BD21&lt;'Variable index'!$K$36),'Variable index'!$M$35,AND(BD21&gt;='Variable index'!$K$36,BD21&lt;'Variable index'!$K$37),'Variable index'!$M$36,AND(BD21&gt;='Variable index'!$K$37,BD21&lt;'Variable index'!$K$38),'Variable index'!$M$37,BD21&gt;='Variable index'!$K$38,'Variable index'!$M$38),BB30="No",0),"")</f>
        <v/>
      </c>
      <c r="BD30" s="168" t="str">
        <f>IFERROR(BD$21*BC30,"")</f>
        <v/>
      </c>
      <c r="BF30" s="232" t="str">
        <f>IF(_xlfn.XLOOKUP(BF$14,TableOpenSpace['#],TableOpenSpace[Is there a cultural heritage impact?])&lt;&gt;"",_xlfn.XLOOKUP(BF$14,TableOpenSpace['#],TableOpenSpace[Is there a cultural heritage impact?]),"")</f>
        <v/>
      </c>
      <c r="BG30" s="311" t="str" cm="1">
        <f t="array" ref="BG30">IF(BF30&lt;&gt;"",_xlfn.IFS(BF30="Yes",_xlfn.IFS(AND(BH21&gt;='Variable index'!$K$35,BH21&lt;'Variable index'!$K$36),'Variable index'!$M$35,AND(BH21&gt;='Variable index'!$K$36,BH21&lt;'Variable index'!$K$37),'Variable index'!$M$36,AND(BH21&gt;='Variable index'!$K$37,BH21&lt;'Variable index'!$K$38),'Variable index'!$M$37,BH21&gt;='Variable index'!$K$38,'Variable index'!$M$38),BF30="No",0),"")</f>
        <v/>
      </c>
      <c r="BH30" s="168" t="str">
        <f>IFERROR(BH$21*BG30,"")</f>
        <v/>
      </c>
      <c r="BJ30" s="232" t="str">
        <f>IF(_xlfn.XLOOKUP(BJ$14,TableOpenSpace['#],TableOpenSpace[Is there a cultural heritage impact?])&lt;&gt;"",_xlfn.XLOOKUP(BJ$14,TableOpenSpace['#],TableOpenSpace[Is there a cultural heritage impact?]),"")</f>
        <v/>
      </c>
      <c r="BK30" s="311" t="str" cm="1">
        <f t="array" ref="BK30">IF(BJ30&lt;&gt;"",_xlfn.IFS(BJ30="Yes",_xlfn.IFS(AND(BL21&gt;='Variable index'!$K$35,BL21&lt;'Variable index'!$K$36),'Variable index'!$M$35,AND(BL21&gt;='Variable index'!$K$36,BL21&lt;'Variable index'!$K$37),'Variable index'!$M$36,AND(BL21&gt;='Variable index'!$K$37,BL21&lt;'Variable index'!$K$38),'Variable index'!$M$37,BL21&gt;='Variable index'!$K$38,'Variable index'!$M$38),BJ30="No",0),"")</f>
        <v/>
      </c>
      <c r="BL30" s="168" t="str">
        <f>IFERROR(BL$21*BK30,"")</f>
        <v/>
      </c>
      <c r="BN30" s="232" t="str">
        <f>IF(_xlfn.XLOOKUP(BN$14,TableOpenSpace['#],TableOpenSpace[Is there a cultural heritage impact?])&lt;&gt;"",_xlfn.XLOOKUP(BN$14,TableOpenSpace['#],TableOpenSpace[Is there a cultural heritage impact?]),"")</f>
        <v/>
      </c>
      <c r="BO30" s="311" t="str" cm="1">
        <f t="array" ref="BO30">IF(BN30&lt;&gt;"",_xlfn.IFS(BN30="Yes",_xlfn.IFS(AND(BP21&gt;='Variable index'!$K$35,BP21&lt;'Variable index'!$K$36),'Variable index'!$M$35,AND(BP21&gt;='Variable index'!$K$36,BP21&lt;'Variable index'!$K$37),'Variable index'!$M$36,AND(BP21&gt;='Variable index'!$K$37,BP21&lt;'Variable index'!$K$38),'Variable index'!$M$37,BP21&gt;='Variable index'!$K$38,'Variable index'!$M$38),BN30="No",0),"")</f>
        <v/>
      </c>
      <c r="BP30" s="168" t="str">
        <f>IFERROR(BP$21*BO30,"")</f>
        <v/>
      </c>
      <c r="BR30" s="232" t="str">
        <f>IF(_xlfn.XLOOKUP(BR$14,TableOpenSpace['#],TableOpenSpace[Is there a cultural heritage impact?])&lt;&gt;"",_xlfn.XLOOKUP(BR$14,TableOpenSpace['#],TableOpenSpace[Is there a cultural heritage impact?]),"")</f>
        <v/>
      </c>
      <c r="BS30" s="311" t="str" cm="1">
        <f t="array" ref="BS30">IF(BR30&lt;&gt;"",_xlfn.IFS(BR30="Yes",_xlfn.IFS(AND(BT21&gt;='Variable index'!$K$35,BT21&lt;'Variable index'!$K$36),'Variable index'!$M$35,AND(BT21&gt;='Variable index'!$K$36,BT21&lt;'Variable index'!$K$37),'Variable index'!$M$36,AND(BT21&gt;='Variable index'!$K$37,BT21&lt;'Variable index'!$K$38),'Variable index'!$M$37,BT21&gt;='Variable index'!$K$38,'Variable index'!$M$38),BR30="No",0),"")</f>
        <v/>
      </c>
      <c r="BT30" s="168" t="str">
        <f>IFERROR(BT$21*BS30,"")</f>
        <v/>
      </c>
      <c r="BV30" s="232" t="str">
        <f>IF(_xlfn.XLOOKUP(BV$14,TableOpenSpace['#],TableOpenSpace[Is there a cultural heritage impact?])&lt;&gt;"",_xlfn.XLOOKUP(BV$14,TableOpenSpace['#],TableOpenSpace[Is there a cultural heritage impact?]),"")</f>
        <v/>
      </c>
      <c r="BW30" s="311" t="str" cm="1">
        <f t="array" ref="BW30">IF(BV30&lt;&gt;"",_xlfn.IFS(BV30="Yes",_xlfn.IFS(AND(BX21&gt;='Variable index'!$K$35,BX21&lt;'Variable index'!$K$36),'Variable index'!$M$35,AND(BX21&gt;='Variable index'!$K$36,BX21&lt;'Variable index'!$K$37),'Variable index'!$M$36,AND(BX21&gt;='Variable index'!$K$37,BX21&lt;'Variable index'!$K$38),'Variable index'!$M$37,BX21&gt;='Variable index'!$K$38,'Variable index'!$M$38),BV30="No",0),"")</f>
        <v/>
      </c>
      <c r="BX30" s="168" t="str">
        <f>IFERROR(BX$21*BW30,"")</f>
        <v/>
      </c>
      <c r="BZ30" s="232" t="str">
        <f>IF(_xlfn.XLOOKUP(BZ$14,TableOpenSpace['#],TableOpenSpace[Is there a cultural heritage impact?])&lt;&gt;"",_xlfn.XLOOKUP(BZ$14,TableOpenSpace['#],TableOpenSpace[Is there a cultural heritage impact?]),"")</f>
        <v/>
      </c>
      <c r="CA30" s="311" t="str" cm="1">
        <f t="array" ref="CA30">IF(BZ30&lt;&gt;"",_xlfn.IFS(BZ30="Yes",_xlfn.IFS(AND(CB21&gt;='Variable index'!$K$35,CB21&lt;'Variable index'!$K$36),'Variable index'!$M$35,AND(CB21&gt;='Variable index'!$K$36,CB21&lt;'Variable index'!$K$37),'Variable index'!$M$36,AND(CB21&gt;='Variable index'!$K$37,CB21&lt;'Variable index'!$K$38),'Variable index'!$M$37,CB21&gt;='Variable index'!$K$38,'Variable index'!$M$38),BZ30="No",0),"")</f>
        <v/>
      </c>
      <c r="CB30" s="168" t="str">
        <f>IFERROR(CB$21*CA30,"")</f>
        <v/>
      </c>
      <c r="CD30" s="232" t="str">
        <f>IF(_xlfn.XLOOKUP(CD$14,TableOpenSpace['#],TableOpenSpace[Is there a cultural heritage impact?])&lt;&gt;"",_xlfn.XLOOKUP(CD$14,TableOpenSpace['#],TableOpenSpace[Is there a cultural heritage impact?]),"")</f>
        <v/>
      </c>
      <c r="CE30" s="311" t="str" cm="1">
        <f t="array" ref="CE30">IF(CD30&lt;&gt;"",_xlfn.IFS(CD30="Yes",_xlfn.IFS(AND(CF21&gt;='Variable index'!$K$35,CF21&lt;'Variable index'!$K$36),'Variable index'!$M$35,AND(CF21&gt;='Variable index'!$K$36,CF21&lt;'Variable index'!$K$37),'Variable index'!$M$36,AND(CF21&gt;='Variable index'!$K$37,CF21&lt;'Variable index'!$K$38),'Variable index'!$M$37,CF21&gt;='Variable index'!$K$38,'Variable index'!$M$38),CD30="No",0),"")</f>
        <v/>
      </c>
      <c r="CF30" s="168" t="str">
        <f>IFERROR(CF$21*CE30,"")</f>
        <v/>
      </c>
      <c r="CH30" s="232" t="str">
        <f>IF(_xlfn.XLOOKUP(CH$14,TableOpenSpace['#],TableOpenSpace[Is there a cultural heritage impact?])&lt;&gt;"",_xlfn.XLOOKUP(CH$14,TableOpenSpace['#],TableOpenSpace[Is there a cultural heritage impact?]),"")</f>
        <v/>
      </c>
      <c r="CI30" s="311" t="str" cm="1">
        <f t="array" ref="CI30">IF(CH30&lt;&gt;"",_xlfn.IFS(CH30="Yes",_xlfn.IFS(AND(CJ21&gt;='Variable index'!$K$35,CJ21&lt;'Variable index'!$K$36),'Variable index'!$M$35,AND(CJ21&gt;='Variable index'!$K$36,CJ21&lt;'Variable index'!$K$37),'Variable index'!$M$36,AND(CJ21&gt;='Variable index'!$K$37,CJ21&lt;'Variable index'!$K$38),'Variable index'!$M$37,CJ21&gt;='Variable index'!$K$38,'Variable index'!$M$38),CH30="No",0),"")</f>
        <v/>
      </c>
      <c r="CJ30" s="168" t="str">
        <f>IFERROR(CJ$21*CI30,"")</f>
        <v/>
      </c>
      <c r="CL30" s="232" t="str">
        <f>IF(_xlfn.XLOOKUP(CL$14,TableOpenSpace['#],TableOpenSpace[Is there a cultural heritage impact?])&lt;&gt;"",_xlfn.XLOOKUP(CL$14,TableOpenSpace['#],TableOpenSpace[Is there a cultural heritage impact?]),"")</f>
        <v/>
      </c>
      <c r="CM30" s="311" t="str" cm="1">
        <f t="array" ref="CM30">IF(CL30&lt;&gt;"",_xlfn.IFS(CL30="Yes",_xlfn.IFS(AND(CN21&gt;='Variable index'!$K$35,CN21&lt;'Variable index'!$K$36),'Variable index'!$M$35,AND(CN21&gt;='Variable index'!$K$36,CN21&lt;'Variable index'!$K$37),'Variable index'!$M$36,AND(CN21&gt;='Variable index'!$K$37,CN21&lt;'Variable index'!$K$38),'Variable index'!$M$37,CN21&gt;='Variable index'!$K$38,'Variable index'!$M$38),CL30="No",0),"")</f>
        <v/>
      </c>
      <c r="CN30" s="168" t="str">
        <f>IFERROR(CN$21*CM30,"")</f>
        <v/>
      </c>
      <c r="CP30" s="232" t="str">
        <f>IF(_xlfn.XLOOKUP(CP$14,TableOpenSpace['#],TableOpenSpace[Is there a cultural heritage impact?])&lt;&gt;"",_xlfn.XLOOKUP(CP$14,TableOpenSpace['#],TableOpenSpace[Is there a cultural heritage impact?]),"")</f>
        <v/>
      </c>
      <c r="CQ30" s="311" t="str" cm="1">
        <f t="array" ref="CQ30">IF(CP30&lt;&gt;"",_xlfn.IFS(CP30="Yes",_xlfn.IFS(AND(CR21&gt;='Variable index'!$K$35,CR21&lt;'Variable index'!$K$36),'Variable index'!$M$35,AND(CR21&gt;='Variable index'!$K$36,CR21&lt;'Variable index'!$K$37),'Variable index'!$M$36,AND(CR21&gt;='Variable index'!$K$37,CR21&lt;'Variable index'!$K$38),'Variable index'!$M$37,CR21&gt;='Variable index'!$K$38,'Variable index'!$M$38),CP30="No",0),"")</f>
        <v/>
      </c>
      <c r="CR30" s="168" t="str">
        <f>IFERROR(CR$21*CQ30,"")</f>
        <v/>
      </c>
      <c r="CT30" s="232" t="str">
        <f>IF(_xlfn.XLOOKUP(CT$14,TableOpenSpace['#],TableOpenSpace[Is there a cultural heritage impact?])&lt;&gt;"",_xlfn.XLOOKUP(CT$14,TableOpenSpace['#],TableOpenSpace[Is there a cultural heritage impact?]),"")</f>
        <v/>
      </c>
      <c r="CU30" s="311" t="str" cm="1">
        <f t="array" ref="CU30">IF(CT30&lt;&gt;"",_xlfn.IFS(CT30="Yes",_xlfn.IFS(AND(CV21&gt;='Variable index'!$K$35,CV21&lt;'Variable index'!$K$36),'Variable index'!$M$35,AND(CV21&gt;='Variable index'!$K$36,CV21&lt;'Variable index'!$K$37),'Variable index'!$M$36,AND(CV21&gt;='Variable index'!$K$37,CV21&lt;'Variable index'!$K$38),'Variable index'!$M$37,CV21&gt;='Variable index'!$K$38,'Variable index'!$M$38),CT30="No",0),"")</f>
        <v/>
      </c>
      <c r="CV30" s="168" t="str">
        <f>IFERROR(CV$21*CU30,"")</f>
        <v/>
      </c>
      <c r="CX30" s="232" t="str">
        <f>IF(_xlfn.XLOOKUP(CX$14,TableOpenSpace['#],TableOpenSpace[Is there a cultural heritage impact?])&lt;&gt;"",_xlfn.XLOOKUP(CX$14,TableOpenSpace['#],TableOpenSpace[Is there a cultural heritage impact?]),"")</f>
        <v/>
      </c>
      <c r="CY30" s="311" t="str" cm="1">
        <f t="array" ref="CY30">IF(CX30&lt;&gt;"",_xlfn.IFS(CX30="Yes",_xlfn.IFS(AND(CZ21&gt;='Variable index'!$K$35,CZ21&lt;'Variable index'!$K$36),'Variable index'!$M$35,AND(CZ21&gt;='Variable index'!$K$36,CZ21&lt;'Variable index'!$K$37),'Variable index'!$M$36,AND(CZ21&gt;='Variable index'!$K$37,CZ21&lt;'Variable index'!$K$38),'Variable index'!$M$37,CZ21&gt;='Variable index'!$K$38,'Variable index'!$M$38),CX30="No",0),"")</f>
        <v/>
      </c>
      <c r="CZ30" s="168" t="str">
        <f>IFERROR(CZ$21*CY30,"")</f>
        <v/>
      </c>
      <c r="DB30" s="232" t="str">
        <f>IF(_xlfn.XLOOKUP(DB$14,TableOpenSpace['#],TableOpenSpace[Is there a cultural heritage impact?])&lt;&gt;"",_xlfn.XLOOKUP(DB$14,TableOpenSpace['#],TableOpenSpace[Is there a cultural heritage impact?]),"")</f>
        <v/>
      </c>
      <c r="DC30" s="311" t="str" cm="1">
        <f t="array" ref="DC30">IF(DB30&lt;&gt;"",_xlfn.IFS(DB30="Yes",_xlfn.IFS(AND(DD21&gt;='Variable index'!$K$35,DD21&lt;'Variable index'!$K$36),'Variable index'!$M$35,AND(DD21&gt;='Variable index'!$K$36,DD21&lt;'Variable index'!$K$37),'Variable index'!$M$36,AND(DD21&gt;='Variable index'!$K$37,DD21&lt;'Variable index'!$K$38),'Variable index'!$M$37,DD21&gt;='Variable index'!$K$38,'Variable index'!$M$38),DB30="No",0),"")</f>
        <v/>
      </c>
      <c r="DD30" s="168" t="str">
        <f>IFERROR(DD$21*DC30,"")</f>
        <v/>
      </c>
      <c r="DF30" s="232" t="str">
        <f>IF(_xlfn.XLOOKUP(DF$14,TableOpenSpace['#],TableOpenSpace[Is there a cultural heritage impact?])&lt;&gt;"",_xlfn.XLOOKUP(DF$14,TableOpenSpace['#],TableOpenSpace[Is there a cultural heritage impact?]),"")</f>
        <v/>
      </c>
      <c r="DG30" s="311" t="str" cm="1">
        <f t="array" ref="DG30">IF(DF30&lt;&gt;"",_xlfn.IFS(DF30="Yes",_xlfn.IFS(AND(DH21&gt;='Variable index'!$K$35,DH21&lt;'Variable index'!$K$36),'Variable index'!$M$35,AND(DH21&gt;='Variable index'!$K$36,DH21&lt;'Variable index'!$K$37),'Variable index'!$M$36,AND(DH21&gt;='Variable index'!$K$37,DH21&lt;'Variable index'!$K$38),'Variable index'!$M$37,DH21&gt;='Variable index'!$K$38,'Variable index'!$M$38),DF30="No",0),"")</f>
        <v/>
      </c>
      <c r="DH30" s="168" t="str">
        <f>IFERROR(DH$21*DG30,"")</f>
        <v/>
      </c>
      <c r="DJ30" s="232" t="str">
        <f>IF(_xlfn.XLOOKUP(DJ$14,TableOpenSpace['#],TableOpenSpace[Is there a cultural heritage impact?])&lt;&gt;"",_xlfn.XLOOKUP(DJ$14,TableOpenSpace['#],TableOpenSpace[Is there a cultural heritage impact?]),"")</f>
        <v/>
      </c>
      <c r="DK30" s="311" t="str" cm="1">
        <f t="array" ref="DK30">IF(DJ30&lt;&gt;"",_xlfn.IFS(DJ30="Yes",_xlfn.IFS(AND(DL21&gt;='Variable index'!$K$35,DL21&lt;'Variable index'!$K$36),'Variable index'!$M$35,AND(DL21&gt;='Variable index'!$K$36,DL21&lt;'Variable index'!$K$37),'Variable index'!$M$36,AND(DL21&gt;='Variable index'!$K$37,DL21&lt;'Variable index'!$K$38),'Variable index'!$M$37,DL21&gt;='Variable index'!$K$38,'Variable index'!$M$38),DJ30="No",0),"")</f>
        <v/>
      </c>
      <c r="DL30" s="168" t="str">
        <f>IFERROR(DL$21*DK30,"")</f>
        <v/>
      </c>
      <c r="DN30" s="232" t="str">
        <f>IF(_xlfn.XLOOKUP(DN$14,TableOpenSpace['#],TableOpenSpace[Is there a cultural heritage impact?])&lt;&gt;"",_xlfn.XLOOKUP(DN$14,TableOpenSpace['#],TableOpenSpace[Is there a cultural heritage impact?]),"")</f>
        <v/>
      </c>
      <c r="DO30" s="311" t="str" cm="1">
        <f t="array" ref="DO30">IF(DN30&lt;&gt;"",_xlfn.IFS(DN30="Yes",_xlfn.IFS(AND(DP21&gt;='Variable index'!$K$35,DP21&lt;'Variable index'!$K$36),'Variable index'!$M$35,AND(DP21&gt;='Variable index'!$K$36,DP21&lt;'Variable index'!$K$37),'Variable index'!$M$36,AND(DP21&gt;='Variable index'!$K$37,DP21&lt;'Variable index'!$K$38),'Variable index'!$M$37,DP21&gt;='Variable index'!$K$38,'Variable index'!$M$38),DN30="No",0),"")</f>
        <v/>
      </c>
      <c r="DP30" s="168" t="str">
        <f>IFERROR(DP$21*DO30,"")</f>
        <v/>
      </c>
      <c r="DR30" s="232" t="str">
        <f>IF(_xlfn.XLOOKUP(DR$14,TableOpenSpace['#],TableOpenSpace[Is there a cultural heritage impact?])&lt;&gt;"",_xlfn.XLOOKUP(DR$14,TableOpenSpace['#],TableOpenSpace[Is there a cultural heritage impact?]),"")</f>
        <v/>
      </c>
      <c r="DS30" s="311" t="str" cm="1">
        <f t="array" ref="DS30">IF(DR30&lt;&gt;"",_xlfn.IFS(DR30="Yes",_xlfn.IFS(AND(DT21&gt;='Variable index'!$K$35,DT21&lt;'Variable index'!$K$36),'Variable index'!$M$35,AND(DT21&gt;='Variable index'!$K$36,DT21&lt;'Variable index'!$K$37),'Variable index'!$M$36,AND(DT21&gt;='Variable index'!$K$37,DT21&lt;'Variable index'!$K$38),'Variable index'!$M$37,DT21&gt;='Variable index'!$K$38,'Variable index'!$M$38),DR30="No",0),"")</f>
        <v/>
      </c>
      <c r="DT30" s="168" t="str">
        <f>IFERROR(DT$21*DS30,"")</f>
        <v/>
      </c>
      <c r="DV30" s="232" t="str">
        <f>IF(_xlfn.XLOOKUP(DV$14,TableOpenSpace['#],TableOpenSpace[Is there a cultural heritage impact?])&lt;&gt;"",_xlfn.XLOOKUP(DV$14,TableOpenSpace['#],TableOpenSpace[Is there a cultural heritage impact?]),"")</f>
        <v/>
      </c>
      <c r="DW30" s="311" t="str" cm="1">
        <f t="array" ref="DW30">IF(DV30&lt;&gt;"",_xlfn.IFS(DV30="Yes",_xlfn.IFS(AND(DX21&gt;='Variable index'!$K$35,DX21&lt;'Variable index'!$K$36),'Variable index'!$M$35,AND(DX21&gt;='Variable index'!$K$36,DX21&lt;'Variable index'!$K$37),'Variable index'!$M$36,AND(DX21&gt;='Variable index'!$K$37,DX21&lt;'Variable index'!$K$38),'Variable index'!$M$37,DX21&gt;='Variable index'!$K$38,'Variable index'!$M$38),DV30="No",0),"")</f>
        <v/>
      </c>
      <c r="DX30" s="168" t="str">
        <f>IFERROR(DX$21*DW30,"")</f>
        <v/>
      </c>
      <c r="DZ30" s="232" t="str">
        <f>IF(_xlfn.XLOOKUP(DZ$14,TableOpenSpace['#],TableOpenSpace[Is there a cultural heritage impact?])&lt;&gt;"",_xlfn.XLOOKUP(DZ$14,TableOpenSpace['#],TableOpenSpace[Is there a cultural heritage impact?]),"")</f>
        <v/>
      </c>
      <c r="EA30" s="311" t="str" cm="1">
        <f t="array" ref="EA30">IF(DZ30&lt;&gt;"",_xlfn.IFS(DZ30="Yes",_xlfn.IFS(AND(EB21&gt;='Variable index'!$K$35,EB21&lt;'Variable index'!$K$36),'Variable index'!$M$35,AND(EB21&gt;='Variable index'!$K$36,EB21&lt;'Variable index'!$K$37),'Variable index'!$M$36,AND(EB21&gt;='Variable index'!$K$37,EB21&lt;'Variable index'!$K$38),'Variable index'!$M$37,EB21&gt;='Variable index'!$K$38,'Variable index'!$M$38),DZ30="No",0),"")</f>
        <v/>
      </c>
      <c r="EB30" s="168" t="str">
        <f>IFERROR(EB$21*EA30,"")</f>
        <v/>
      </c>
      <c r="ED30" s="232" t="str">
        <f>IF(_xlfn.XLOOKUP(ED$14,TableOpenSpace['#],TableOpenSpace[Is there a cultural heritage impact?])&lt;&gt;"",_xlfn.XLOOKUP(ED$14,TableOpenSpace['#],TableOpenSpace[Is there a cultural heritage impact?]),"")</f>
        <v/>
      </c>
      <c r="EE30" s="311" t="str" cm="1">
        <f t="array" ref="EE30">IF(ED30&lt;&gt;"",_xlfn.IFS(ED30="Yes",_xlfn.IFS(AND(EF21&gt;='Variable index'!$K$35,EF21&lt;'Variable index'!$K$36),'Variable index'!$M$35,AND(EF21&gt;='Variable index'!$K$36,EF21&lt;'Variable index'!$K$37),'Variable index'!$M$36,AND(EF21&gt;='Variable index'!$K$37,EF21&lt;'Variable index'!$K$38),'Variable index'!$M$37,EF21&gt;='Variable index'!$K$38,'Variable index'!$M$38),ED30="No",0),"")</f>
        <v/>
      </c>
      <c r="EF30" s="168" t="str">
        <f>IFERROR(EF$21*EE30,"")</f>
        <v/>
      </c>
      <c r="EH30" s="232" t="str">
        <f>IF(_xlfn.XLOOKUP(EH$14,TableOpenSpace['#],TableOpenSpace[Is there a cultural heritage impact?])&lt;&gt;"",_xlfn.XLOOKUP(EH$14,TableOpenSpace['#],TableOpenSpace[Is there a cultural heritage impact?]),"")</f>
        <v/>
      </c>
      <c r="EI30" s="311" t="str" cm="1">
        <f t="array" ref="EI30">IF(EH30&lt;&gt;"",_xlfn.IFS(EH30="Yes",_xlfn.IFS(AND(EJ21&gt;='Variable index'!$K$35,EJ21&lt;'Variable index'!$K$36),'Variable index'!$M$35,AND(EJ21&gt;='Variable index'!$K$36,EJ21&lt;'Variable index'!$K$37),'Variable index'!$M$36,AND(EJ21&gt;='Variable index'!$K$37,EJ21&lt;'Variable index'!$K$38),'Variable index'!$M$37,EJ21&gt;='Variable index'!$K$38,'Variable index'!$M$38),EH30="No",0),"")</f>
        <v/>
      </c>
      <c r="EJ30" s="168" t="str">
        <f>IFERROR(EJ$21*EI30,"")</f>
        <v/>
      </c>
      <c r="EL30" s="232" t="str">
        <f>IF(_xlfn.XLOOKUP(EL$14,TableOpenSpace['#],TableOpenSpace[Is there a cultural heritage impact?])&lt;&gt;"",_xlfn.XLOOKUP(EL$14,TableOpenSpace['#],TableOpenSpace[Is there a cultural heritage impact?]),"")</f>
        <v/>
      </c>
      <c r="EM30" s="311" t="str" cm="1">
        <f t="array" ref="EM30">IF(EL30&lt;&gt;"",_xlfn.IFS(EL30="Yes",_xlfn.IFS(AND(EN21&gt;='Variable index'!$K$35,EN21&lt;'Variable index'!$K$36),'Variable index'!$M$35,AND(EN21&gt;='Variable index'!$K$36,EN21&lt;'Variable index'!$K$37),'Variable index'!$M$36,AND(EN21&gt;='Variable index'!$K$37,EN21&lt;'Variable index'!$K$38),'Variable index'!$M$37,EN21&gt;='Variable index'!$K$38,'Variable index'!$M$38),EL30="No",0),"")</f>
        <v/>
      </c>
      <c r="EN30" s="168" t="str">
        <f>IFERROR(EN$21*EM30,"")</f>
        <v/>
      </c>
      <c r="EP30" s="232" t="str">
        <f>IF(_xlfn.XLOOKUP(EP$14,TableOpenSpace['#],TableOpenSpace[Is there a cultural heritage impact?])&lt;&gt;"",_xlfn.XLOOKUP(EP$14,TableOpenSpace['#],TableOpenSpace[Is there a cultural heritage impact?]),"")</f>
        <v/>
      </c>
      <c r="EQ30" s="311" t="str" cm="1">
        <f t="array" ref="EQ30">IF(EP30&lt;&gt;"",_xlfn.IFS(EP30="Yes",_xlfn.IFS(AND(ER21&gt;='Variable index'!$K$35,ER21&lt;'Variable index'!$K$36),'Variable index'!$M$35,AND(ER21&gt;='Variable index'!$K$36,ER21&lt;'Variable index'!$K$37),'Variable index'!$M$36,AND(ER21&gt;='Variable index'!$K$37,ER21&lt;'Variable index'!$K$38),'Variable index'!$M$37,ER21&gt;='Variable index'!$K$38,'Variable index'!$M$38),EP30="No",0),"")</f>
        <v/>
      </c>
      <c r="ER30" s="168" t="str">
        <f>IFERROR(ER$21*EQ30,"")</f>
        <v/>
      </c>
      <c r="ET30" s="232" t="str">
        <f>IF(_xlfn.XLOOKUP(ET$14,TableOpenSpace['#],TableOpenSpace[Is there a cultural heritage impact?])&lt;&gt;"",_xlfn.XLOOKUP(ET$14,TableOpenSpace['#],TableOpenSpace[Is there a cultural heritage impact?]),"")</f>
        <v/>
      </c>
      <c r="EU30" s="311" t="str" cm="1">
        <f t="array" ref="EU30">IF(ET30&lt;&gt;"",_xlfn.IFS(ET30="Yes",_xlfn.IFS(AND(EV21&gt;='Variable index'!$K$35,EV21&lt;'Variable index'!$K$36),'Variable index'!$M$35,AND(EV21&gt;='Variable index'!$K$36,EV21&lt;'Variable index'!$K$37),'Variable index'!$M$36,AND(EV21&gt;='Variable index'!$K$37,EV21&lt;'Variable index'!$K$38),'Variable index'!$M$37,EV21&gt;='Variable index'!$K$38,'Variable index'!$M$38),ET30="No",0),"")</f>
        <v/>
      </c>
      <c r="EV30" s="168" t="str">
        <f>IFERROR(EV$21*EU30,"")</f>
        <v/>
      </c>
      <c r="EX30" s="232" t="str">
        <f>IF(_xlfn.XLOOKUP(EX$14,TableOpenSpace['#],TableOpenSpace[Is there a cultural heritage impact?])&lt;&gt;"",_xlfn.XLOOKUP(EX$14,TableOpenSpace['#],TableOpenSpace[Is there a cultural heritage impact?]),"")</f>
        <v/>
      </c>
      <c r="EY30" s="311" t="str" cm="1">
        <f t="array" ref="EY30">IF(EX30&lt;&gt;"",_xlfn.IFS(EX30="Yes",_xlfn.IFS(AND(EZ21&gt;='Variable index'!$K$35,EZ21&lt;'Variable index'!$K$36),'Variable index'!$M$35,AND(EZ21&gt;='Variable index'!$K$36,EZ21&lt;'Variable index'!$K$37),'Variable index'!$M$36,AND(EZ21&gt;='Variable index'!$K$37,EZ21&lt;'Variable index'!$K$38),'Variable index'!$M$37,EZ21&gt;='Variable index'!$K$38,'Variable index'!$M$38),EX30="No",0),"")</f>
        <v/>
      </c>
      <c r="EZ30" s="168" t="str">
        <f>IFERROR(EZ$21*EY30,"")</f>
        <v/>
      </c>
      <c r="FB30" s="232" t="str">
        <f>IF(_xlfn.XLOOKUP(FB$14,TableOpenSpace['#],TableOpenSpace[Is there a cultural heritage impact?])&lt;&gt;"",_xlfn.XLOOKUP(FB$14,TableOpenSpace['#],TableOpenSpace[Is there a cultural heritage impact?]),"")</f>
        <v/>
      </c>
      <c r="FC30" s="311" t="str" cm="1">
        <f t="array" ref="FC30">IF(FB30&lt;&gt;"",_xlfn.IFS(FB30="Yes",_xlfn.IFS(AND(FD21&gt;='Variable index'!$K$35,FD21&lt;'Variable index'!$K$36),'Variable index'!$M$35,AND(FD21&gt;='Variable index'!$K$36,FD21&lt;'Variable index'!$K$37),'Variable index'!$M$36,AND(FD21&gt;='Variable index'!$K$37,FD21&lt;'Variable index'!$K$38),'Variable index'!$M$37,FD21&gt;='Variable index'!$K$38,'Variable index'!$M$38),FB30="No",0),"")</f>
        <v/>
      </c>
      <c r="FD30" s="168" t="str">
        <f>IFERROR(FD$21*FC30,"")</f>
        <v/>
      </c>
      <c r="FF30" s="232" t="str">
        <f>IF(_xlfn.XLOOKUP(FF$14,TableOpenSpace['#],TableOpenSpace[Is there a cultural heritage impact?])&lt;&gt;"",_xlfn.XLOOKUP(FF$14,TableOpenSpace['#],TableOpenSpace[Is there a cultural heritage impact?]),"")</f>
        <v/>
      </c>
      <c r="FG30" s="311" t="str" cm="1">
        <f t="array" ref="FG30">IF(FF30&lt;&gt;"",_xlfn.IFS(FF30="Yes",_xlfn.IFS(AND(FH21&gt;='Variable index'!$K$35,FH21&lt;'Variable index'!$K$36),'Variable index'!$M$35,AND(FH21&gt;='Variable index'!$K$36,FH21&lt;'Variable index'!$K$37),'Variable index'!$M$36,AND(FH21&gt;='Variable index'!$K$37,FH21&lt;'Variable index'!$K$38),'Variable index'!$M$37,FH21&gt;='Variable index'!$K$38,'Variable index'!$M$38),FF30="No",0),"")</f>
        <v/>
      </c>
      <c r="FH30" s="168" t="str">
        <f>IFERROR(FH$21*FG30,"")</f>
        <v/>
      </c>
      <c r="FJ30" s="232" t="str">
        <f>IF(_xlfn.XLOOKUP(FJ$14,TableOpenSpace['#],TableOpenSpace[Is there a cultural heritage impact?])&lt;&gt;"",_xlfn.XLOOKUP(FJ$14,TableOpenSpace['#],TableOpenSpace[Is there a cultural heritage impact?]),"")</f>
        <v/>
      </c>
      <c r="FK30" s="311" t="str" cm="1">
        <f t="array" ref="FK30">IF(FJ30&lt;&gt;"",_xlfn.IFS(FJ30="Yes",_xlfn.IFS(AND(FL21&gt;='Variable index'!$K$35,FL21&lt;'Variable index'!$K$36),'Variable index'!$M$35,AND(FL21&gt;='Variable index'!$K$36,FL21&lt;'Variable index'!$K$37),'Variable index'!$M$36,AND(FL21&gt;='Variable index'!$K$37,FL21&lt;'Variable index'!$K$38),'Variable index'!$M$37,FL21&gt;='Variable index'!$K$38,'Variable index'!$M$38),FJ30="No",0),"")</f>
        <v/>
      </c>
      <c r="FL30" s="168" t="str">
        <f>IFERROR(FL$21*FK30,"")</f>
        <v/>
      </c>
      <c r="FN30" s="232" t="str">
        <f>IF(_xlfn.XLOOKUP(FN$14,TableOpenSpace['#],TableOpenSpace[Is there a cultural heritage impact?])&lt;&gt;"",_xlfn.XLOOKUP(FN$14,TableOpenSpace['#],TableOpenSpace[Is there a cultural heritage impact?]),"")</f>
        <v/>
      </c>
      <c r="FO30" s="311" t="str" cm="1">
        <f t="array" ref="FO30">IF(FN30&lt;&gt;"",_xlfn.IFS(FN30="Yes",_xlfn.IFS(AND(FP21&gt;='Variable index'!$K$35,FP21&lt;'Variable index'!$K$36),'Variable index'!$M$35,AND(FP21&gt;='Variable index'!$K$36,FP21&lt;'Variable index'!$K$37),'Variable index'!$M$36,AND(FP21&gt;='Variable index'!$K$37,FP21&lt;'Variable index'!$K$38),'Variable index'!$M$37,FP21&gt;='Variable index'!$K$38,'Variable index'!$M$38),FN30="No",0),"")</f>
        <v/>
      </c>
      <c r="FP30" s="168" t="str">
        <f>IFERROR(FP$21*FO30,"")</f>
        <v/>
      </c>
      <c r="FR30" s="232" t="str">
        <f>IF(_xlfn.XLOOKUP(FR$14,TableOpenSpace['#],TableOpenSpace[Is there a cultural heritage impact?])&lt;&gt;"",_xlfn.XLOOKUP(FR$14,TableOpenSpace['#],TableOpenSpace[Is there a cultural heritage impact?]),"")</f>
        <v/>
      </c>
      <c r="FS30" s="311" t="str" cm="1">
        <f t="array" ref="FS30">IF(FR30&lt;&gt;"",_xlfn.IFS(FR30="Yes",_xlfn.IFS(AND(FT21&gt;='Variable index'!$K$35,FT21&lt;'Variable index'!$K$36),'Variable index'!$M$35,AND(FT21&gt;='Variable index'!$K$36,FT21&lt;'Variable index'!$K$37),'Variable index'!$M$36,AND(FT21&gt;='Variable index'!$K$37,FT21&lt;'Variable index'!$K$38),'Variable index'!$M$37,FT21&gt;='Variable index'!$K$38,'Variable index'!$M$38),FR30="No",0),"")</f>
        <v/>
      </c>
      <c r="FT30" s="168" t="str">
        <f>IFERROR(FT$21*FS30,"")</f>
        <v/>
      </c>
      <c r="FV30" s="232" t="str">
        <f>IF(_xlfn.XLOOKUP(FV$14,TableOpenSpace['#],TableOpenSpace[Is there a cultural heritage impact?])&lt;&gt;"",_xlfn.XLOOKUP(FV$14,TableOpenSpace['#],TableOpenSpace[Is there a cultural heritage impact?]),"")</f>
        <v/>
      </c>
      <c r="FW30" s="311" t="str" cm="1">
        <f t="array" ref="FW30">IF(FV30&lt;&gt;"",_xlfn.IFS(FV30="Yes",_xlfn.IFS(AND(FX21&gt;='Variable index'!$K$35,FX21&lt;'Variable index'!$K$36),'Variable index'!$M$35,AND(FX21&gt;='Variable index'!$K$36,FX21&lt;'Variable index'!$K$37),'Variable index'!$M$36,AND(FX21&gt;='Variable index'!$K$37,FX21&lt;'Variable index'!$K$38),'Variable index'!$M$37,FX21&gt;='Variable index'!$K$38,'Variable index'!$M$38),FV30="No",0),"")</f>
        <v/>
      </c>
      <c r="FX30" s="168" t="str">
        <f>IFERROR(FX$21*FW30,"")</f>
        <v/>
      </c>
      <c r="FZ30" s="232" t="str">
        <f>IF(_xlfn.XLOOKUP(FZ$14,TableOpenSpace['#],TableOpenSpace[Is there a cultural heritage impact?])&lt;&gt;"",_xlfn.XLOOKUP(FZ$14,TableOpenSpace['#],TableOpenSpace[Is there a cultural heritage impact?]),"")</f>
        <v/>
      </c>
      <c r="GA30" s="311" t="str" cm="1">
        <f t="array" ref="GA30">IF(FZ30&lt;&gt;"",_xlfn.IFS(FZ30="Yes",_xlfn.IFS(AND(GB21&gt;='Variable index'!$K$35,GB21&lt;'Variable index'!$K$36),'Variable index'!$M$35,AND(GB21&gt;='Variable index'!$K$36,GB21&lt;'Variable index'!$K$37),'Variable index'!$M$36,AND(GB21&gt;='Variable index'!$K$37,GB21&lt;'Variable index'!$K$38),'Variable index'!$M$37,GB21&gt;='Variable index'!$K$38,'Variable index'!$M$38),FZ30="No",0),"")</f>
        <v/>
      </c>
      <c r="GB30" s="168" t="str">
        <f>IFERROR(GB$21*GA30,"")</f>
        <v/>
      </c>
      <c r="GD30" s="232" t="str">
        <f>IF(_xlfn.XLOOKUP(GD$14,TableOpenSpace['#],TableOpenSpace[Is there a cultural heritage impact?])&lt;&gt;"",_xlfn.XLOOKUP(GD$14,TableOpenSpace['#],TableOpenSpace[Is there a cultural heritage impact?]),"")</f>
        <v/>
      </c>
      <c r="GE30" s="311" t="str" cm="1">
        <f t="array" ref="GE30">IF(GD30&lt;&gt;"",_xlfn.IFS(GD30="Yes",_xlfn.IFS(AND(GF21&gt;='Variable index'!$K$35,GF21&lt;'Variable index'!$K$36),'Variable index'!$M$35,AND(GF21&gt;='Variable index'!$K$36,GF21&lt;'Variable index'!$K$37),'Variable index'!$M$36,AND(GF21&gt;='Variable index'!$K$37,GF21&lt;'Variable index'!$K$38),'Variable index'!$M$37,GF21&gt;='Variable index'!$K$38,'Variable index'!$M$38),GD30="No",0),"")</f>
        <v/>
      </c>
      <c r="GF30" s="168" t="str">
        <f>IFERROR(GF$21*GE30,"")</f>
        <v/>
      </c>
      <c r="GH30" s="232" t="str">
        <f>IF(_xlfn.XLOOKUP(GH$14,TableOpenSpace['#],TableOpenSpace[Is there a cultural heritage impact?])&lt;&gt;"",_xlfn.XLOOKUP(GH$14,TableOpenSpace['#],TableOpenSpace[Is there a cultural heritage impact?]),"")</f>
        <v/>
      </c>
      <c r="GI30" s="311" t="str" cm="1">
        <f t="array" ref="GI30">IF(GH30&lt;&gt;"",_xlfn.IFS(GH30="Yes",_xlfn.IFS(AND(GJ21&gt;='Variable index'!$K$35,GJ21&lt;'Variable index'!$K$36),'Variable index'!$M$35,AND(GJ21&gt;='Variable index'!$K$36,GJ21&lt;'Variable index'!$K$37),'Variable index'!$M$36,AND(GJ21&gt;='Variable index'!$K$37,GJ21&lt;'Variable index'!$K$38),'Variable index'!$M$37,GJ21&gt;='Variable index'!$K$38,'Variable index'!$M$38),GH30="No",0),"")</f>
        <v/>
      </c>
      <c r="GJ30" s="168" t="str">
        <f>IFERROR(GJ$21*GI30,"")</f>
        <v/>
      </c>
      <c r="GL30" s="232" t="str">
        <f>IF(_xlfn.XLOOKUP(GL$14,TableOpenSpace['#],TableOpenSpace[Is there a cultural heritage impact?])&lt;&gt;"",_xlfn.XLOOKUP(GL$14,TableOpenSpace['#],TableOpenSpace[Is there a cultural heritage impact?]),"")</f>
        <v/>
      </c>
      <c r="GM30" s="311" t="str" cm="1">
        <f t="array" ref="GM30">IF(GL30&lt;&gt;"",_xlfn.IFS(GL30="Yes",_xlfn.IFS(AND(GN21&gt;='Variable index'!$K$35,GN21&lt;'Variable index'!$K$36),'Variable index'!$M$35,AND(GN21&gt;='Variable index'!$K$36,GN21&lt;'Variable index'!$K$37),'Variable index'!$M$36,AND(GN21&gt;='Variable index'!$K$37,GN21&lt;'Variable index'!$K$38),'Variable index'!$M$37,GN21&gt;='Variable index'!$K$38,'Variable index'!$M$38),GL30="No",0),"")</f>
        <v/>
      </c>
      <c r="GN30" s="168" t="str">
        <f>IFERROR(GN$21*GM30,"")</f>
        <v/>
      </c>
      <c r="GP30" s="232" t="str">
        <f>IF(_xlfn.XLOOKUP(GP$14,TableOpenSpace['#],TableOpenSpace[Is there a cultural heritage impact?])&lt;&gt;"",_xlfn.XLOOKUP(GP$14,TableOpenSpace['#],TableOpenSpace[Is there a cultural heritage impact?]),"")</f>
        <v/>
      </c>
      <c r="GQ30" s="311" t="str" cm="1">
        <f t="array" ref="GQ30">IF(GP30&lt;&gt;"",_xlfn.IFS(GP30="Yes",_xlfn.IFS(AND(GR21&gt;='Variable index'!$K$35,GR21&lt;'Variable index'!$K$36),'Variable index'!$M$35,AND(GR21&gt;='Variable index'!$K$36,GR21&lt;'Variable index'!$K$37),'Variable index'!$M$36,AND(GR21&gt;='Variable index'!$K$37,GR21&lt;'Variable index'!$K$38),'Variable index'!$M$37,GR21&gt;='Variable index'!$K$38,'Variable index'!$M$38),GP30="No",0),"")</f>
        <v/>
      </c>
      <c r="GR30" s="168" t="str">
        <f>IFERROR(GR$21*GQ30,"")</f>
        <v/>
      </c>
      <c r="GT30" s="232" t="str">
        <f>IF(_xlfn.XLOOKUP(GT$14,TableOpenSpace['#],TableOpenSpace[Is there a cultural heritage impact?])&lt;&gt;"",_xlfn.XLOOKUP(GT$14,TableOpenSpace['#],TableOpenSpace[Is there a cultural heritage impact?]),"")</f>
        <v/>
      </c>
      <c r="GU30" s="311" t="str" cm="1">
        <f t="array" ref="GU30">IF(GT30&lt;&gt;"",_xlfn.IFS(GT30="Yes",_xlfn.IFS(AND(GV21&gt;='Variable index'!$K$35,GV21&lt;'Variable index'!$K$36),'Variable index'!$M$35,AND(GV21&gt;='Variable index'!$K$36,GV21&lt;'Variable index'!$K$37),'Variable index'!$M$36,AND(GV21&gt;='Variable index'!$K$37,GV21&lt;'Variable index'!$K$38),'Variable index'!$M$37,GV21&gt;='Variable index'!$K$38,'Variable index'!$M$38),GT30="No",0),"")</f>
        <v/>
      </c>
      <c r="GV30" s="168" t="str">
        <f>IFERROR(GV$21*GU30,"")</f>
        <v/>
      </c>
    </row>
    <row r="31" spans="4:204" x14ac:dyDescent="0.2">
      <c r="D31" t="s">
        <v>160</v>
      </c>
      <c r="F31" s="232" t="str">
        <f>IF(_xlfn.XLOOKUP(F$14,TableOpenSpace['#],TableOpenSpace[Stage of development])&lt;&gt;"",_xlfn.XLOOKUP(F$14,TableOpenSpace['#],TableOpenSpace[Stage of development]),"")</f>
        <v/>
      </c>
      <c r="J31" s="232" t="str">
        <f>IF(_xlfn.XLOOKUP(J$14,TableOpenSpace['#],TableOpenSpace[Stage of development])&lt;&gt;"",_xlfn.XLOOKUP(J$14,TableOpenSpace['#],TableOpenSpace[Stage of development]),"")</f>
        <v/>
      </c>
      <c r="N31" s="232" t="str">
        <f>IF(_xlfn.XLOOKUP(N$14,TableOpenSpace['#],TableOpenSpace[Stage of development])&lt;&gt;"",_xlfn.XLOOKUP(N$14,TableOpenSpace['#],TableOpenSpace[Stage of development]),"")</f>
        <v/>
      </c>
      <c r="R31" s="232" t="str">
        <f>IF(_xlfn.XLOOKUP(R$14,TableOpenSpace['#],TableOpenSpace[Stage of development])&lt;&gt;"",_xlfn.XLOOKUP(R$14,TableOpenSpace['#],TableOpenSpace[Stage of development]),"")</f>
        <v/>
      </c>
      <c r="V31" s="232" t="str">
        <f>IF(_xlfn.XLOOKUP(V$14,TableOpenSpace['#],TableOpenSpace[Stage of development])&lt;&gt;"",_xlfn.XLOOKUP(V$14,TableOpenSpace['#],TableOpenSpace[Stage of development]),"")</f>
        <v/>
      </c>
      <c r="Z31" s="232" t="str">
        <f>IF(_xlfn.XLOOKUP(Z$14,TableOpenSpace['#],TableOpenSpace[Stage of development])&lt;&gt;"",_xlfn.XLOOKUP(Z$14,TableOpenSpace['#],TableOpenSpace[Stage of development]),"")</f>
        <v/>
      </c>
      <c r="AD31" s="232" t="str">
        <f>IF(_xlfn.XLOOKUP(AD$14,TableOpenSpace['#],TableOpenSpace[Stage of development])&lt;&gt;"",_xlfn.XLOOKUP(AD$14,TableOpenSpace['#],TableOpenSpace[Stage of development]),"")</f>
        <v/>
      </c>
      <c r="AH31" s="232" t="str">
        <f>IF(_xlfn.XLOOKUP(AH$14,TableOpenSpace['#],TableOpenSpace[Stage of development])&lt;&gt;"",_xlfn.XLOOKUP(AH$14,TableOpenSpace['#],TableOpenSpace[Stage of development]),"")</f>
        <v/>
      </c>
      <c r="AL31" s="232" t="str">
        <f>IF(_xlfn.XLOOKUP(AL$14,TableOpenSpace['#],TableOpenSpace[Stage of development])&lt;&gt;"",_xlfn.XLOOKUP(AL$14,TableOpenSpace['#],TableOpenSpace[Stage of development]),"")</f>
        <v/>
      </c>
      <c r="AP31" s="232" t="str">
        <f>IF(_xlfn.XLOOKUP(AP$14,TableOpenSpace['#],TableOpenSpace[Stage of development])&lt;&gt;"",_xlfn.XLOOKUP(AP$14,TableOpenSpace['#],TableOpenSpace[Stage of development]),"")</f>
        <v/>
      </c>
      <c r="AT31" s="232" t="str">
        <f>IF(_xlfn.XLOOKUP(AT$14,TableOpenSpace['#],TableOpenSpace[Stage of development])&lt;&gt;"",_xlfn.XLOOKUP(AT$14,TableOpenSpace['#],TableOpenSpace[Stage of development]),"")</f>
        <v/>
      </c>
      <c r="AX31" s="232" t="str">
        <f>IF(_xlfn.XLOOKUP(AX$14,TableOpenSpace['#],TableOpenSpace[Stage of development])&lt;&gt;"",_xlfn.XLOOKUP(AX$14,TableOpenSpace['#],TableOpenSpace[Stage of development]),"")</f>
        <v/>
      </c>
      <c r="BB31" s="232" t="str">
        <f>IF(_xlfn.XLOOKUP(BB$14,TableOpenSpace['#],TableOpenSpace[Stage of development])&lt;&gt;"",_xlfn.XLOOKUP(BB$14,TableOpenSpace['#],TableOpenSpace[Stage of development]),"")</f>
        <v/>
      </c>
      <c r="BF31" s="232" t="str">
        <f>IF(_xlfn.XLOOKUP(BF$14,TableOpenSpace['#],TableOpenSpace[Stage of development])&lt;&gt;"",_xlfn.XLOOKUP(BF$14,TableOpenSpace['#],TableOpenSpace[Stage of development]),"")</f>
        <v/>
      </c>
      <c r="BJ31" s="232" t="str">
        <f>IF(_xlfn.XLOOKUP(BJ$14,TableOpenSpace['#],TableOpenSpace[Stage of development])&lt;&gt;"",_xlfn.XLOOKUP(BJ$14,TableOpenSpace['#],TableOpenSpace[Stage of development]),"")</f>
        <v/>
      </c>
      <c r="BN31" s="232" t="str">
        <f>IF(_xlfn.XLOOKUP(BN$14,TableOpenSpace['#],TableOpenSpace[Stage of development])&lt;&gt;"",_xlfn.XLOOKUP(BN$14,TableOpenSpace['#],TableOpenSpace[Stage of development]),"")</f>
        <v/>
      </c>
      <c r="BR31" s="232" t="str">
        <f>IF(_xlfn.XLOOKUP(BR$14,TableOpenSpace['#],TableOpenSpace[Stage of development])&lt;&gt;"",_xlfn.XLOOKUP(BR$14,TableOpenSpace['#],TableOpenSpace[Stage of development]),"")</f>
        <v/>
      </c>
      <c r="BV31" s="232" t="str">
        <f>IF(_xlfn.XLOOKUP(BV$14,TableOpenSpace['#],TableOpenSpace[Stage of development])&lt;&gt;"",_xlfn.XLOOKUP(BV$14,TableOpenSpace['#],TableOpenSpace[Stage of development]),"")</f>
        <v/>
      </c>
      <c r="BZ31" s="232" t="str">
        <f>IF(_xlfn.XLOOKUP(BZ$14,TableOpenSpace['#],TableOpenSpace[Stage of development])&lt;&gt;"",_xlfn.XLOOKUP(BZ$14,TableOpenSpace['#],TableOpenSpace[Stage of development]),"")</f>
        <v/>
      </c>
      <c r="CD31" s="232" t="str">
        <f>IF(_xlfn.XLOOKUP(CD$14,TableOpenSpace['#],TableOpenSpace[Stage of development])&lt;&gt;"",_xlfn.XLOOKUP(CD$14,TableOpenSpace['#],TableOpenSpace[Stage of development]),"")</f>
        <v/>
      </c>
      <c r="CH31" s="232" t="str">
        <f>IF(_xlfn.XLOOKUP(CH$14,TableOpenSpace['#],TableOpenSpace[Stage of development])&lt;&gt;"",_xlfn.XLOOKUP(CH$14,TableOpenSpace['#],TableOpenSpace[Stage of development]),"")</f>
        <v/>
      </c>
      <c r="CL31" s="232" t="str">
        <f>IF(_xlfn.XLOOKUP(CL$14,TableOpenSpace['#],TableOpenSpace[Stage of development])&lt;&gt;"",_xlfn.XLOOKUP(CL$14,TableOpenSpace['#],TableOpenSpace[Stage of development]),"")</f>
        <v/>
      </c>
      <c r="CP31" s="232" t="str">
        <f>IF(_xlfn.XLOOKUP(CP$14,TableOpenSpace['#],TableOpenSpace[Stage of development])&lt;&gt;"",_xlfn.XLOOKUP(CP$14,TableOpenSpace['#],TableOpenSpace[Stage of development]),"")</f>
        <v/>
      </c>
      <c r="CT31" s="232" t="str">
        <f>IF(_xlfn.XLOOKUP(CT$14,TableOpenSpace['#],TableOpenSpace[Stage of development])&lt;&gt;"",_xlfn.XLOOKUP(CT$14,TableOpenSpace['#],TableOpenSpace[Stage of development]),"")</f>
        <v/>
      </c>
      <c r="CX31" s="232" t="str">
        <f>IF(_xlfn.XLOOKUP(CX$14,TableOpenSpace['#],TableOpenSpace[Stage of development])&lt;&gt;"",_xlfn.XLOOKUP(CX$14,TableOpenSpace['#],TableOpenSpace[Stage of development]),"")</f>
        <v/>
      </c>
      <c r="DB31" s="232" t="str">
        <f>IF(_xlfn.XLOOKUP(DB$14,TableOpenSpace['#],TableOpenSpace[Stage of development])&lt;&gt;"",_xlfn.XLOOKUP(DB$14,TableOpenSpace['#],TableOpenSpace[Stage of development]),"")</f>
        <v/>
      </c>
      <c r="DF31" s="232" t="str">
        <f>IF(_xlfn.XLOOKUP(DF$14,TableOpenSpace['#],TableOpenSpace[Stage of development])&lt;&gt;"",_xlfn.XLOOKUP(DF$14,TableOpenSpace['#],TableOpenSpace[Stage of development]),"")</f>
        <v/>
      </c>
      <c r="DJ31" s="232" t="str">
        <f>IF(_xlfn.XLOOKUP(DJ$14,TableOpenSpace['#],TableOpenSpace[Stage of development])&lt;&gt;"",_xlfn.XLOOKUP(DJ$14,TableOpenSpace['#],TableOpenSpace[Stage of development]),"")</f>
        <v/>
      </c>
      <c r="DN31" s="232" t="str">
        <f>IF(_xlfn.XLOOKUP(DN$14,TableOpenSpace['#],TableOpenSpace[Stage of development])&lt;&gt;"",_xlfn.XLOOKUP(DN$14,TableOpenSpace['#],TableOpenSpace[Stage of development]),"")</f>
        <v/>
      </c>
      <c r="DR31" s="232" t="str">
        <f>IF(_xlfn.XLOOKUP(DR$14,TableOpenSpace['#],TableOpenSpace[Stage of development])&lt;&gt;"",_xlfn.XLOOKUP(DR$14,TableOpenSpace['#],TableOpenSpace[Stage of development]),"")</f>
        <v/>
      </c>
      <c r="DV31" s="232" t="str">
        <f>IF(_xlfn.XLOOKUP(DV$14,TableOpenSpace['#],TableOpenSpace[Stage of development])&lt;&gt;"",_xlfn.XLOOKUP(DV$14,TableOpenSpace['#],TableOpenSpace[Stage of development]),"")</f>
        <v/>
      </c>
      <c r="DZ31" s="232" t="str">
        <f>IF(_xlfn.XLOOKUP(DZ$14,TableOpenSpace['#],TableOpenSpace[Stage of development])&lt;&gt;"",_xlfn.XLOOKUP(DZ$14,TableOpenSpace['#],TableOpenSpace[Stage of development]),"")</f>
        <v/>
      </c>
      <c r="ED31" s="232" t="str">
        <f>IF(_xlfn.XLOOKUP(ED$14,TableOpenSpace['#],TableOpenSpace[Stage of development])&lt;&gt;"",_xlfn.XLOOKUP(ED$14,TableOpenSpace['#],TableOpenSpace[Stage of development]),"")</f>
        <v/>
      </c>
      <c r="EH31" s="232" t="str">
        <f>IF(_xlfn.XLOOKUP(EH$14,TableOpenSpace['#],TableOpenSpace[Stage of development])&lt;&gt;"",_xlfn.XLOOKUP(EH$14,TableOpenSpace['#],TableOpenSpace[Stage of development]),"")</f>
        <v/>
      </c>
      <c r="EL31" s="232" t="str">
        <f>IF(_xlfn.XLOOKUP(EL$14,TableOpenSpace['#],TableOpenSpace[Stage of development])&lt;&gt;"",_xlfn.XLOOKUP(EL$14,TableOpenSpace['#],TableOpenSpace[Stage of development]),"")</f>
        <v/>
      </c>
      <c r="EP31" s="232" t="str">
        <f>IF(_xlfn.XLOOKUP(EP$14,TableOpenSpace['#],TableOpenSpace[Stage of development])&lt;&gt;"",_xlfn.XLOOKUP(EP$14,TableOpenSpace['#],TableOpenSpace[Stage of development]),"")</f>
        <v/>
      </c>
      <c r="ET31" s="232" t="str">
        <f>IF(_xlfn.XLOOKUP(ET$14,TableOpenSpace['#],TableOpenSpace[Stage of development])&lt;&gt;"",_xlfn.XLOOKUP(ET$14,TableOpenSpace['#],TableOpenSpace[Stage of development]),"")</f>
        <v/>
      </c>
      <c r="EX31" s="232" t="str">
        <f>IF(_xlfn.XLOOKUP(EX$14,TableOpenSpace['#],TableOpenSpace[Stage of development])&lt;&gt;"",_xlfn.XLOOKUP(EX$14,TableOpenSpace['#],TableOpenSpace[Stage of development]),"")</f>
        <v/>
      </c>
      <c r="FB31" s="232" t="str">
        <f>IF(_xlfn.XLOOKUP(FB$14,TableOpenSpace['#],TableOpenSpace[Stage of development])&lt;&gt;"",_xlfn.XLOOKUP(FB$14,TableOpenSpace['#],TableOpenSpace[Stage of development]),"")</f>
        <v/>
      </c>
      <c r="FF31" s="232" t="str">
        <f>IF(_xlfn.XLOOKUP(FF$14,TableOpenSpace['#],TableOpenSpace[Stage of development])&lt;&gt;"",_xlfn.XLOOKUP(FF$14,TableOpenSpace['#],TableOpenSpace[Stage of development]),"")</f>
        <v/>
      </c>
      <c r="FJ31" s="232" t="str">
        <f>IF(_xlfn.XLOOKUP(FJ$14,TableOpenSpace['#],TableOpenSpace[Stage of development])&lt;&gt;"",_xlfn.XLOOKUP(FJ$14,TableOpenSpace['#],TableOpenSpace[Stage of development]),"")</f>
        <v/>
      </c>
      <c r="FN31" s="232" t="str">
        <f>IF(_xlfn.XLOOKUP(FN$14,TableOpenSpace['#],TableOpenSpace[Stage of development])&lt;&gt;"",_xlfn.XLOOKUP(FN$14,TableOpenSpace['#],TableOpenSpace[Stage of development]),"")</f>
        <v/>
      </c>
      <c r="FR31" s="232" t="str">
        <f>IF(_xlfn.XLOOKUP(FR$14,TableOpenSpace['#],TableOpenSpace[Stage of development])&lt;&gt;"",_xlfn.XLOOKUP(FR$14,TableOpenSpace['#],TableOpenSpace[Stage of development]),"")</f>
        <v/>
      </c>
      <c r="FV31" s="232" t="str">
        <f>IF(_xlfn.XLOOKUP(FV$14,TableOpenSpace['#],TableOpenSpace[Stage of development])&lt;&gt;"",_xlfn.XLOOKUP(FV$14,TableOpenSpace['#],TableOpenSpace[Stage of development]),"")</f>
        <v/>
      </c>
      <c r="FZ31" s="232" t="str">
        <f>IF(_xlfn.XLOOKUP(FZ$14,TableOpenSpace['#],TableOpenSpace[Stage of development])&lt;&gt;"",_xlfn.XLOOKUP(FZ$14,TableOpenSpace['#],TableOpenSpace[Stage of development]),"")</f>
        <v/>
      </c>
      <c r="GD31" s="232" t="str">
        <f>IF(_xlfn.XLOOKUP(GD$14,TableOpenSpace['#],TableOpenSpace[Stage of development])&lt;&gt;"",_xlfn.XLOOKUP(GD$14,TableOpenSpace['#],TableOpenSpace[Stage of development]),"")</f>
        <v/>
      </c>
      <c r="GH31" s="232" t="str">
        <f>IF(_xlfn.XLOOKUP(GH$14,TableOpenSpace['#],TableOpenSpace[Stage of development])&lt;&gt;"",_xlfn.XLOOKUP(GH$14,TableOpenSpace['#],TableOpenSpace[Stage of development]),"")</f>
        <v/>
      </c>
      <c r="GL31" s="232" t="str">
        <f>IF(_xlfn.XLOOKUP(GL$14,TableOpenSpace['#],TableOpenSpace[Stage of development])&lt;&gt;"",_xlfn.XLOOKUP(GL$14,TableOpenSpace['#],TableOpenSpace[Stage of development]),"")</f>
        <v/>
      </c>
      <c r="GP31" s="232" t="str">
        <f>IF(_xlfn.XLOOKUP(GP$14,TableOpenSpace['#],TableOpenSpace[Stage of development])&lt;&gt;"",_xlfn.XLOOKUP(GP$14,TableOpenSpace['#],TableOpenSpace[Stage of development]),"")</f>
        <v/>
      </c>
      <c r="GT31" s="232" t="str">
        <f>IF(_xlfn.XLOOKUP(GT$14,TableOpenSpace['#],TableOpenSpace[Stage of development])&lt;&gt;"",_xlfn.XLOOKUP(GT$14,TableOpenSpace['#],TableOpenSpace[Stage of development]),"")</f>
        <v/>
      </c>
    </row>
    <row r="32" spans="4:204" x14ac:dyDescent="0.2">
      <c r="D32" t="s">
        <v>161</v>
      </c>
      <c r="G32" s="160" t="str" cm="1">
        <f t="array" ref="G32">IF(F31&lt;&gt;"",_xlfn.IFS(F31='Variable index'!$J$53,SUM('Variable index'!$K$50:$M$50),F31='Variable index'!$J$54,SUM('Variable index'!$L$50:$M$50),F31='Variable index'!$J$55,SUM('Variable index'!$M$50)),"")</f>
        <v/>
      </c>
      <c r="H32" s="168" t="str">
        <f>IFERROR(H$21*G32,"")</f>
        <v/>
      </c>
      <c r="K32" s="160" t="str" cm="1">
        <f t="array" ref="K32">IF(J31&lt;&gt;"",_xlfn.IFS(J31='Variable index'!$J$53,SUM('Variable index'!$K$50:$M$50),J31='Variable index'!$J$54,SUM('Variable index'!$L$50:$M$50),J31='Variable index'!$J$55,SUM('Variable index'!$M$50)),"")</f>
        <v/>
      </c>
      <c r="L32" s="168" t="str">
        <f>IFERROR(L$21*K32,"")</f>
        <v/>
      </c>
      <c r="O32" s="160" t="str" cm="1">
        <f t="array" ref="O32">IF(N31&lt;&gt;"",_xlfn.IFS(N31='Variable index'!$J$53,SUM('Variable index'!$K$50:$M$50),N31='Variable index'!$J$54,SUM('Variable index'!$L$50:$M$50),N31='Variable index'!$J$55,SUM('Variable index'!$M$50)),"")</f>
        <v/>
      </c>
      <c r="P32" s="168" t="str">
        <f>IFERROR(P$21*O32,"")</f>
        <v/>
      </c>
      <c r="S32" s="160" t="str" cm="1">
        <f t="array" ref="S32">IF(R31&lt;&gt;"",_xlfn.IFS(R31='Variable index'!$J$53,SUM('Variable index'!$K$50:$M$50),R31='Variable index'!$J$54,SUM('Variable index'!$L$50:$M$50),R31='Variable index'!$J$55,SUM('Variable index'!$M$50)),"")</f>
        <v/>
      </c>
      <c r="T32" s="168" t="str">
        <f>IFERROR(T$21*S32,"")</f>
        <v/>
      </c>
      <c r="W32" s="160" t="str" cm="1">
        <f t="array" ref="W32">IF(V31&lt;&gt;"",_xlfn.IFS(V31='Variable index'!$J$53,SUM('Variable index'!$K$50:$M$50),V31='Variable index'!$J$54,SUM('Variable index'!$L$50:$M$50),V31='Variable index'!$J$55,SUM('Variable index'!$M$50)),"")</f>
        <v/>
      </c>
      <c r="X32" s="168" t="str">
        <f>IFERROR(X$21*W32,"")</f>
        <v/>
      </c>
      <c r="AA32" s="160" t="str" cm="1">
        <f t="array" ref="AA32">IF(Z31&lt;&gt;"",_xlfn.IFS(Z31='Variable index'!$J$53,SUM('Variable index'!$K$50:$M$50),Z31='Variable index'!$J$54,SUM('Variable index'!$L$50:$M$50),Z31='Variable index'!$J$55,SUM('Variable index'!$M$50)),"")</f>
        <v/>
      </c>
      <c r="AB32" s="168" t="str">
        <f>IFERROR(AB$21*AA32,"")</f>
        <v/>
      </c>
      <c r="AE32" s="160" t="str" cm="1">
        <f t="array" ref="AE32">IF(AD31&lt;&gt;"",_xlfn.IFS(AD31='Variable index'!$J$53,SUM('Variable index'!$K$50:$M$50),AD31='Variable index'!$J$54,SUM('Variable index'!$L$50:$M$50),AD31='Variable index'!$J$55,SUM('Variable index'!$M$50)),"")</f>
        <v/>
      </c>
      <c r="AF32" s="168" t="str">
        <f>IFERROR(AF$21*AE32,"")</f>
        <v/>
      </c>
      <c r="AI32" s="160" t="str" cm="1">
        <f t="array" ref="AI32">IF(AH31&lt;&gt;"",_xlfn.IFS(AH31='Variable index'!$J$53,SUM('Variable index'!$K$50:$M$50),AH31='Variable index'!$J$54,SUM('Variable index'!$L$50:$M$50),AH31='Variable index'!$J$55,SUM('Variable index'!$M$50)),"")</f>
        <v/>
      </c>
      <c r="AJ32" s="168" t="str">
        <f>IFERROR(AJ$21*AI32,"")</f>
        <v/>
      </c>
      <c r="AM32" s="160" t="str" cm="1">
        <f t="array" ref="AM32">IF(AL31&lt;&gt;"",_xlfn.IFS(AL31='Variable index'!$J$53,SUM('Variable index'!$K$50:$M$50),AL31='Variable index'!$J$54,SUM('Variable index'!$L$50:$M$50),AL31='Variable index'!$J$55,SUM('Variable index'!$M$50)),"")</f>
        <v/>
      </c>
      <c r="AN32" s="168" t="str">
        <f>IFERROR(AN$21*AM32,"")</f>
        <v/>
      </c>
      <c r="AQ32" s="160" t="str" cm="1">
        <f t="array" ref="AQ32">IF(AP31&lt;&gt;"",_xlfn.IFS(AP31='Variable index'!$J$53,SUM('Variable index'!$K$50:$M$50),AP31='Variable index'!$J$54,SUM('Variable index'!$L$50:$M$50),AP31='Variable index'!$J$55,SUM('Variable index'!$M$50)),"")</f>
        <v/>
      </c>
      <c r="AR32" s="168" t="str">
        <f>IFERROR(AR$21*AQ32,"")</f>
        <v/>
      </c>
      <c r="AU32" s="160" t="str" cm="1">
        <f t="array" ref="AU32">IF(AT31&lt;&gt;"",_xlfn.IFS(AT31='Variable index'!$J$53,SUM('Variable index'!$K$50:$M$50),AT31='Variable index'!$J$54,SUM('Variable index'!$L$50:$M$50),AT31='Variable index'!$J$55,SUM('Variable index'!$M$50)),"")</f>
        <v/>
      </c>
      <c r="AV32" s="168" t="str">
        <f>IFERROR(AV$21*AU32,"")</f>
        <v/>
      </c>
      <c r="AY32" s="160" t="str" cm="1">
        <f t="array" ref="AY32">IF(AX31&lt;&gt;"",_xlfn.IFS(AX31='Variable index'!$J$53,SUM('Variable index'!$K$50:$M$50),AX31='Variable index'!$J$54,SUM('Variable index'!$L$50:$M$50),AX31='Variable index'!$J$55,SUM('Variable index'!$M$50)),"")</f>
        <v/>
      </c>
      <c r="AZ32" s="168" t="str">
        <f>IFERROR(AZ$21*AY32,"")</f>
        <v/>
      </c>
      <c r="BC32" s="160" t="str" cm="1">
        <f t="array" ref="BC32">IF(BB31&lt;&gt;"",_xlfn.IFS(BB31='Variable index'!$J$53,SUM('Variable index'!$K$50:$M$50),BB31='Variable index'!$J$54,SUM('Variable index'!$L$50:$M$50),BB31='Variable index'!$J$55,SUM('Variable index'!$M$50)),"")</f>
        <v/>
      </c>
      <c r="BD32" s="168" t="str">
        <f>IFERROR(BD$21*BC32,"")</f>
        <v/>
      </c>
      <c r="BG32" s="160" t="str" cm="1">
        <f t="array" ref="BG32">IF(BF31&lt;&gt;"",_xlfn.IFS(BF31='Variable index'!$J$53,SUM('Variable index'!$K$50:$M$50),BF31='Variable index'!$J$54,SUM('Variable index'!$L$50:$M$50),BF31='Variable index'!$J$55,SUM('Variable index'!$M$50)),"")</f>
        <v/>
      </c>
      <c r="BH32" s="168" t="str">
        <f>IFERROR(BH$21*BG32,"")</f>
        <v/>
      </c>
      <c r="BK32" s="160" t="str" cm="1">
        <f t="array" ref="BK32">IF(BJ31&lt;&gt;"",_xlfn.IFS(BJ31='Variable index'!$J$53,SUM('Variable index'!$K$50:$M$50),BJ31='Variable index'!$J$54,SUM('Variable index'!$L$50:$M$50),BJ31='Variable index'!$J$55,SUM('Variable index'!$M$50)),"")</f>
        <v/>
      </c>
      <c r="BL32" s="168" t="str">
        <f>IFERROR(BL$21*BK32,"")</f>
        <v/>
      </c>
      <c r="BO32" s="160" t="str" cm="1">
        <f t="array" ref="BO32">IF(BN31&lt;&gt;"",_xlfn.IFS(BN31='Variable index'!$J$53,SUM('Variable index'!$K$50:$M$50),BN31='Variable index'!$J$54,SUM('Variable index'!$L$50:$M$50),BN31='Variable index'!$J$55,SUM('Variable index'!$M$50)),"")</f>
        <v/>
      </c>
      <c r="BP32" s="168" t="str">
        <f>IFERROR(BP$21*BO32,"")</f>
        <v/>
      </c>
      <c r="BS32" s="160" t="str" cm="1">
        <f t="array" ref="BS32">IF(BR31&lt;&gt;"",_xlfn.IFS(BR31='Variable index'!$J$53,SUM('Variable index'!$K$50:$M$50),BR31='Variable index'!$J$54,SUM('Variable index'!$L$50:$M$50),BR31='Variable index'!$J$55,SUM('Variable index'!$M$50)),"")</f>
        <v/>
      </c>
      <c r="BT32" s="168" t="str">
        <f>IFERROR(BT$21*BS32,"")</f>
        <v/>
      </c>
      <c r="BW32" s="160" t="str" cm="1">
        <f t="array" ref="BW32">IF(BV31&lt;&gt;"",_xlfn.IFS(BV31='Variable index'!$J$53,SUM('Variable index'!$K$50:$M$50),BV31='Variable index'!$J$54,SUM('Variable index'!$L$50:$M$50),BV31='Variable index'!$J$55,SUM('Variable index'!$M$50)),"")</f>
        <v/>
      </c>
      <c r="BX32" s="168" t="str">
        <f>IFERROR(BX$21*BW32,"")</f>
        <v/>
      </c>
      <c r="CA32" s="160" t="str" cm="1">
        <f t="array" ref="CA32">IF(BZ31&lt;&gt;"",_xlfn.IFS(BZ31='Variable index'!$J$53,SUM('Variable index'!$K$50:$M$50),BZ31='Variable index'!$J$54,SUM('Variable index'!$L$50:$M$50),BZ31='Variable index'!$J$55,SUM('Variable index'!$M$50)),"")</f>
        <v/>
      </c>
      <c r="CB32" s="168" t="str">
        <f>IFERROR(CB$21*CA32,"")</f>
        <v/>
      </c>
      <c r="CE32" s="160" t="str" cm="1">
        <f t="array" ref="CE32">IF(CD31&lt;&gt;"",_xlfn.IFS(CD31='Variable index'!$J$53,SUM('Variable index'!$K$50:$M$50),CD31='Variable index'!$J$54,SUM('Variable index'!$L$50:$M$50),CD31='Variable index'!$J$55,SUM('Variable index'!$M$50)),"")</f>
        <v/>
      </c>
      <c r="CF32" s="168" t="str">
        <f>IFERROR(CF$21*CE32,"")</f>
        <v/>
      </c>
      <c r="CI32" s="160" t="str" cm="1">
        <f t="array" ref="CI32">IF(CH31&lt;&gt;"",_xlfn.IFS(CH31='Variable index'!$J$53,SUM('Variable index'!$K$50:$M$50),CH31='Variable index'!$J$54,SUM('Variable index'!$L$50:$M$50),CH31='Variable index'!$J$55,SUM('Variable index'!$M$50)),"")</f>
        <v/>
      </c>
      <c r="CJ32" s="168" t="str">
        <f>IFERROR(CJ$21*CI32,"")</f>
        <v/>
      </c>
      <c r="CM32" s="160" t="str" cm="1">
        <f t="array" ref="CM32">IF(CL31&lt;&gt;"",_xlfn.IFS(CL31='Variable index'!$J$53,SUM('Variable index'!$K$50:$M$50),CL31='Variable index'!$J$54,SUM('Variable index'!$L$50:$M$50),CL31='Variable index'!$J$55,SUM('Variable index'!$M$50)),"")</f>
        <v/>
      </c>
      <c r="CN32" s="168" t="str">
        <f>IFERROR(CN$21*CM32,"")</f>
        <v/>
      </c>
      <c r="CQ32" s="160" t="str" cm="1">
        <f t="array" ref="CQ32">IF(CP31&lt;&gt;"",_xlfn.IFS(CP31='Variable index'!$J$53,SUM('Variable index'!$K$50:$M$50),CP31='Variable index'!$J$54,SUM('Variable index'!$L$50:$M$50),CP31='Variable index'!$J$55,SUM('Variable index'!$M$50)),"")</f>
        <v/>
      </c>
      <c r="CR32" s="168" t="str">
        <f>IFERROR(CR$21*CQ32,"")</f>
        <v/>
      </c>
      <c r="CU32" s="160" t="str" cm="1">
        <f t="array" ref="CU32">IF(CT31&lt;&gt;"",_xlfn.IFS(CT31='Variable index'!$J$53,SUM('Variable index'!$K$50:$M$50),CT31='Variable index'!$J$54,SUM('Variable index'!$L$50:$M$50),CT31='Variable index'!$J$55,SUM('Variable index'!$M$50)),"")</f>
        <v/>
      </c>
      <c r="CV32" s="168" t="str">
        <f>IFERROR(CV$21*CU32,"")</f>
        <v/>
      </c>
      <c r="CY32" s="160" t="str" cm="1">
        <f t="array" ref="CY32">IF(CX31&lt;&gt;"",_xlfn.IFS(CX31='Variable index'!$J$53,SUM('Variable index'!$K$50:$M$50),CX31='Variable index'!$J$54,SUM('Variable index'!$L$50:$M$50),CX31='Variable index'!$J$55,SUM('Variable index'!$M$50)),"")</f>
        <v/>
      </c>
      <c r="CZ32" s="168" t="str">
        <f>IFERROR(CZ$21*CY32,"")</f>
        <v/>
      </c>
      <c r="DC32" s="160" t="str" cm="1">
        <f t="array" ref="DC32">IF(DB31&lt;&gt;"",_xlfn.IFS(DB31='Variable index'!$J$53,SUM('Variable index'!$K$50:$M$50),DB31='Variable index'!$J$54,SUM('Variable index'!$L$50:$M$50),DB31='Variable index'!$J$55,SUM('Variable index'!$M$50)),"")</f>
        <v/>
      </c>
      <c r="DD32" s="168" t="str">
        <f>IFERROR(DD$21*DC32,"")</f>
        <v/>
      </c>
      <c r="DG32" s="160" t="str" cm="1">
        <f t="array" ref="DG32">IF(DF31&lt;&gt;"",_xlfn.IFS(DF31='Variable index'!$J$53,SUM('Variable index'!$K$50:$M$50),DF31='Variable index'!$J$54,SUM('Variable index'!$L$50:$M$50),DF31='Variable index'!$J$55,SUM('Variable index'!$M$50)),"")</f>
        <v/>
      </c>
      <c r="DH32" s="168" t="str">
        <f>IFERROR(DH$21*DG32,"")</f>
        <v/>
      </c>
      <c r="DK32" s="160" t="str" cm="1">
        <f t="array" ref="DK32">IF(DJ31&lt;&gt;"",_xlfn.IFS(DJ31='Variable index'!$J$53,SUM('Variable index'!$K$50:$M$50),DJ31='Variable index'!$J$54,SUM('Variable index'!$L$50:$M$50),DJ31='Variable index'!$J$55,SUM('Variable index'!$M$50)),"")</f>
        <v/>
      </c>
      <c r="DL32" s="168" t="str">
        <f>IFERROR(DL$21*DK32,"")</f>
        <v/>
      </c>
      <c r="DO32" s="160" t="str" cm="1">
        <f t="array" ref="DO32">IF(DN31&lt;&gt;"",_xlfn.IFS(DN31='Variable index'!$J$53,SUM('Variable index'!$K$50:$M$50),DN31='Variable index'!$J$54,SUM('Variable index'!$L$50:$M$50),DN31='Variable index'!$J$55,SUM('Variable index'!$M$50)),"")</f>
        <v/>
      </c>
      <c r="DP32" s="168" t="str">
        <f>IFERROR(DP$21*DO32,"")</f>
        <v/>
      </c>
      <c r="DS32" s="160" t="str" cm="1">
        <f t="array" ref="DS32">IF(DR31&lt;&gt;"",_xlfn.IFS(DR31='Variable index'!$J$53,SUM('Variable index'!$K$50:$M$50),DR31='Variable index'!$J$54,SUM('Variable index'!$L$50:$M$50),DR31='Variable index'!$J$55,SUM('Variable index'!$M$50)),"")</f>
        <v/>
      </c>
      <c r="DT32" s="168" t="str">
        <f>IFERROR(DT$21*DS32,"")</f>
        <v/>
      </c>
      <c r="DW32" s="160" t="str" cm="1">
        <f t="array" ref="DW32">IF(DV31&lt;&gt;"",_xlfn.IFS(DV31='Variable index'!$J$53,SUM('Variable index'!$K$50:$M$50),DV31='Variable index'!$J$54,SUM('Variable index'!$L$50:$M$50),DV31='Variable index'!$J$55,SUM('Variable index'!$M$50)),"")</f>
        <v/>
      </c>
      <c r="DX32" s="168" t="str">
        <f>IFERROR(DX$21*DW32,"")</f>
        <v/>
      </c>
      <c r="EA32" s="160" t="str" cm="1">
        <f t="array" ref="EA32">IF(DZ31&lt;&gt;"",_xlfn.IFS(DZ31='Variable index'!$J$53,SUM('Variable index'!$K$50:$M$50),DZ31='Variable index'!$J$54,SUM('Variable index'!$L$50:$M$50),DZ31='Variable index'!$J$55,SUM('Variable index'!$M$50)),"")</f>
        <v/>
      </c>
      <c r="EB32" s="168" t="str">
        <f>IFERROR(EB$21*EA32,"")</f>
        <v/>
      </c>
      <c r="EE32" s="160" t="str" cm="1">
        <f t="array" ref="EE32">IF(ED31&lt;&gt;"",_xlfn.IFS(ED31='Variable index'!$J$53,SUM('Variable index'!$K$50:$M$50),ED31='Variable index'!$J$54,SUM('Variable index'!$L$50:$M$50),ED31='Variable index'!$J$55,SUM('Variable index'!$M$50)),"")</f>
        <v/>
      </c>
      <c r="EF32" s="168" t="str">
        <f>IFERROR(EF$21*EE32,"")</f>
        <v/>
      </c>
      <c r="EI32" s="160" t="str" cm="1">
        <f t="array" ref="EI32">IF(EH31&lt;&gt;"",_xlfn.IFS(EH31='Variable index'!$J$53,SUM('Variable index'!$K$50:$M$50),EH31='Variable index'!$J$54,SUM('Variable index'!$L$50:$M$50),EH31='Variable index'!$J$55,SUM('Variable index'!$M$50)),"")</f>
        <v/>
      </c>
      <c r="EJ32" s="168" t="str">
        <f>IFERROR(EJ$21*EI32,"")</f>
        <v/>
      </c>
      <c r="EM32" s="160" t="str" cm="1">
        <f t="array" ref="EM32">IF(EL31&lt;&gt;"",_xlfn.IFS(EL31='Variable index'!$J$53,SUM('Variable index'!$K$50:$M$50),EL31='Variable index'!$J$54,SUM('Variable index'!$L$50:$M$50),EL31='Variable index'!$J$55,SUM('Variable index'!$M$50)),"")</f>
        <v/>
      </c>
      <c r="EN32" s="168" t="str">
        <f>IFERROR(EN$21*EM32,"")</f>
        <v/>
      </c>
      <c r="EQ32" s="160" t="str" cm="1">
        <f t="array" ref="EQ32">IF(EP31&lt;&gt;"",_xlfn.IFS(EP31='Variable index'!$J$53,SUM('Variable index'!$K$50:$M$50),EP31='Variable index'!$J$54,SUM('Variable index'!$L$50:$M$50),EP31='Variable index'!$J$55,SUM('Variable index'!$M$50)),"")</f>
        <v/>
      </c>
      <c r="ER32" s="168" t="str">
        <f>IFERROR(ER$21*EQ32,"")</f>
        <v/>
      </c>
      <c r="EU32" s="160" t="str" cm="1">
        <f t="array" ref="EU32">IF(ET31&lt;&gt;"",_xlfn.IFS(ET31='Variable index'!$J$53,SUM('Variable index'!$K$50:$M$50),ET31='Variable index'!$J$54,SUM('Variable index'!$L$50:$M$50),ET31='Variable index'!$J$55,SUM('Variable index'!$M$50)),"")</f>
        <v/>
      </c>
      <c r="EV32" s="168" t="str">
        <f>IFERROR(EV$21*EU32,"")</f>
        <v/>
      </c>
      <c r="EY32" s="160" t="str" cm="1">
        <f t="array" ref="EY32">IF(EX31&lt;&gt;"",_xlfn.IFS(EX31='Variable index'!$J$53,SUM('Variable index'!$K$50:$M$50),EX31='Variable index'!$J$54,SUM('Variable index'!$L$50:$M$50),EX31='Variable index'!$J$55,SUM('Variable index'!$M$50)),"")</f>
        <v/>
      </c>
      <c r="EZ32" s="168" t="str">
        <f>IFERROR(EZ$21*EY32,"")</f>
        <v/>
      </c>
      <c r="FC32" s="160" t="str" cm="1">
        <f t="array" ref="FC32">IF(FB31&lt;&gt;"",_xlfn.IFS(FB31='Variable index'!$J$53,SUM('Variable index'!$K$50:$M$50),FB31='Variable index'!$J$54,SUM('Variable index'!$L$50:$M$50),FB31='Variable index'!$J$55,SUM('Variable index'!$M$50)),"")</f>
        <v/>
      </c>
      <c r="FD32" s="168" t="str">
        <f>IFERROR(FD$21*FC32,"")</f>
        <v/>
      </c>
      <c r="FG32" s="160" t="str" cm="1">
        <f t="array" ref="FG32">IF(FF31&lt;&gt;"",_xlfn.IFS(FF31='Variable index'!$J$53,SUM('Variable index'!$K$50:$M$50),FF31='Variable index'!$J$54,SUM('Variable index'!$L$50:$M$50),FF31='Variable index'!$J$55,SUM('Variable index'!$M$50)),"")</f>
        <v/>
      </c>
      <c r="FH32" s="168" t="str">
        <f>IFERROR(FH$21*FG32,"")</f>
        <v/>
      </c>
      <c r="FK32" s="160" t="str" cm="1">
        <f t="array" ref="FK32">IF(FJ31&lt;&gt;"",_xlfn.IFS(FJ31='Variable index'!$J$53,SUM('Variable index'!$K$50:$M$50),FJ31='Variable index'!$J$54,SUM('Variable index'!$L$50:$M$50),FJ31='Variable index'!$J$55,SUM('Variable index'!$M$50)),"")</f>
        <v/>
      </c>
      <c r="FL32" s="168" t="str">
        <f>IFERROR(FL$21*FK32,"")</f>
        <v/>
      </c>
      <c r="FO32" s="160" t="str" cm="1">
        <f t="array" ref="FO32">IF(FN31&lt;&gt;"",_xlfn.IFS(FN31='Variable index'!$J$53,SUM('Variable index'!$K$50:$M$50),FN31='Variable index'!$J$54,SUM('Variable index'!$L$50:$M$50),FN31='Variable index'!$J$55,SUM('Variable index'!$M$50)),"")</f>
        <v/>
      </c>
      <c r="FP32" s="168" t="str">
        <f>IFERROR(FP$21*FO32,"")</f>
        <v/>
      </c>
      <c r="FS32" s="160" t="str" cm="1">
        <f t="array" ref="FS32">IF(FR31&lt;&gt;"",_xlfn.IFS(FR31='Variable index'!$J$53,SUM('Variable index'!$K$50:$M$50),FR31='Variable index'!$J$54,SUM('Variable index'!$L$50:$M$50),FR31='Variable index'!$J$55,SUM('Variable index'!$M$50)),"")</f>
        <v/>
      </c>
      <c r="FT32" s="168" t="str">
        <f>IFERROR(FT$21*FS32,"")</f>
        <v/>
      </c>
      <c r="FW32" s="160" t="str" cm="1">
        <f t="array" ref="FW32">IF(FV31&lt;&gt;"",_xlfn.IFS(FV31='Variable index'!$J$53,SUM('Variable index'!$K$50:$M$50),FV31='Variable index'!$J$54,SUM('Variable index'!$L$50:$M$50),FV31='Variable index'!$J$55,SUM('Variable index'!$M$50)),"")</f>
        <v/>
      </c>
      <c r="FX32" s="168" t="str">
        <f>IFERROR(FX$21*FW32,"")</f>
        <v/>
      </c>
      <c r="GA32" s="160" t="str" cm="1">
        <f t="array" ref="GA32">IF(FZ31&lt;&gt;"",_xlfn.IFS(FZ31='Variable index'!$J$53,SUM('Variable index'!$K$50:$M$50),FZ31='Variable index'!$J$54,SUM('Variable index'!$L$50:$M$50),FZ31='Variable index'!$J$55,SUM('Variable index'!$M$50)),"")</f>
        <v/>
      </c>
      <c r="GB32" s="168" t="str">
        <f>IFERROR(GB$21*GA32,"")</f>
        <v/>
      </c>
      <c r="GE32" s="160" t="str" cm="1">
        <f t="array" ref="GE32">IF(GD31&lt;&gt;"",_xlfn.IFS(GD31='Variable index'!$J$53,SUM('Variable index'!$K$50:$M$50),GD31='Variable index'!$J$54,SUM('Variable index'!$L$50:$M$50),GD31='Variable index'!$J$55,SUM('Variable index'!$M$50)),"")</f>
        <v/>
      </c>
      <c r="GF32" s="168" t="str">
        <f>IFERROR(GF$21*GE32,"")</f>
        <v/>
      </c>
      <c r="GI32" s="160" t="str" cm="1">
        <f t="array" ref="GI32">IF(GH31&lt;&gt;"",_xlfn.IFS(GH31='Variable index'!$J$53,SUM('Variable index'!$K$50:$M$50),GH31='Variable index'!$J$54,SUM('Variable index'!$L$50:$M$50),GH31='Variable index'!$J$55,SUM('Variable index'!$M$50)),"")</f>
        <v/>
      </c>
      <c r="GJ32" s="168" t="str">
        <f>IFERROR(GJ$21*GI32,"")</f>
        <v/>
      </c>
      <c r="GM32" s="160" t="str" cm="1">
        <f t="array" ref="GM32">IF(GL31&lt;&gt;"",_xlfn.IFS(GL31='Variable index'!$J$53,SUM('Variable index'!$K$50:$M$50),GL31='Variable index'!$J$54,SUM('Variable index'!$L$50:$M$50),GL31='Variable index'!$J$55,SUM('Variable index'!$M$50)),"")</f>
        <v/>
      </c>
      <c r="GN32" s="168" t="str">
        <f>IFERROR(GN$21*GM32,"")</f>
        <v/>
      </c>
      <c r="GQ32" s="160" t="str" cm="1">
        <f t="array" ref="GQ32">IF(GP31&lt;&gt;"",_xlfn.IFS(GP31='Variable index'!$J$53,SUM('Variable index'!$K$50:$M$50),GP31='Variable index'!$J$54,SUM('Variable index'!$L$50:$M$50),GP31='Variable index'!$J$55,SUM('Variable index'!$M$50)),"")</f>
        <v/>
      </c>
      <c r="GR32" s="168" t="str">
        <f>IFERROR(GR$21*GQ32,"")</f>
        <v/>
      </c>
      <c r="GU32" s="160" t="str" cm="1">
        <f t="array" ref="GU32">IF(GT31&lt;&gt;"",_xlfn.IFS(GT31='Variable index'!$J$53,SUM('Variable index'!$K$50:$M$50),GT31='Variable index'!$J$54,SUM('Variable index'!$L$50:$M$50),GT31='Variable index'!$J$55,SUM('Variable index'!$M$50)),"")</f>
        <v/>
      </c>
      <c r="GV32" s="168" t="str">
        <f>IFERROR(GV$21*GU32,"")</f>
        <v/>
      </c>
    </row>
    <row r="33" spans="4:205" hidden="1" x14ac:dyDescent="0.2">
      <c r="D33" s="234" t="s">
        <v>832</v>
      </c>
      <c r="G33" s="160"/>
      <c r="H33" s="234">
        <f>IF(_xlfn.XLOOKUP(F14,TableOpenSpace['#],TableOpenSpace[Total benchmark cost])&lt;&gt;"",1,0)</f>
        <v>0</v>
      </c>
      <c r="K33" s="160"/>
      <c r="L33" s="234">
        <f>IF(_xlfn.XLOOKUP(J14,TableOpenSpace['#],TableOpenSpace[Total benchmark cost])&lt;&gt;"",1,0)</f>
        <v>0</v>
      </c>
      <c r="O33" s="160"/>
      <c r="P33" s="234">
        <f>IF(_xlfn.XLOOKUP(N14,TableOpenSpace['#],TableOpenSpace[Total benchmark cost])&lt;&gt;"",1,0)</f>
        <v>0</v>
      </c>
      <c r="S33" s="160"/>
      <c r="T33" s="234">
        <f>IF(_xlfn.XLOOKUP(R14,TableOpenSpace['#],TableOpenSpace[Total benchmark cost])&lt;&gt;"",1,0)</f>
        <v>0</v>
      </c>
      <c r="W33" s="160"/>
      <c r="X33" s="234">
        <f>IF(_xlfn.XLOOKUP(V14,TableOpenSpace['#],TableOpenSpace[Total benchmark cost])&lt;&gt;"",1,0)</f>
        <v>0</v>
      </c>
      <c r="AA33" s="160"/>
      <c r="AB33" s="234">
        <f>IF(_xlfn.XLOOKUP(Z14,TableOpenSpace['#],TableOpenSpace[Total benchmark cost])&lt;&gt;"",1,0)</f>
        <v>0</v>
      </c>
      <c r="AE33" s="160"/>
      <c r="AF33" s="234">
        <f>IF(_xlfn.XLOOKUP(AD14,TableOpenSpace['#],TableOpenSpace[Total benchmark cost])&lt;&gt;"",1,0)</f>
        <v>0</v>
      </c>
      <c r="AI33" s="160"/>
      <c r="AJ33" s="234">
        <f>IF(_xlfn.XLOOKUP(AH14,TableOpenSpace['#],TableOpenSpace[Total benchmark cost])&lt;&gt;"",1,0)</f>
        <v>0</v>
      </c>
      <c r="AM33" s="160"/>
      <c r="AN33" s="234">
        <f>IF(_xlfn.XLOOKUP(AL14,TableOpenSpace['#],TableOpenSpace[Total benchmark cost])&lt;&gt;"",1,0)</f>
        <v>0</v>
      </c>
      <c r="AQ33" s="160"/>
      <c r="AR33" s="234">
        <f>IF(_xlfn.XLOOKUP(AP14,TableOpenSpace['#],TableOpenSpace[Total benchmark cost])&lt;&gt;"",1,0)</f>
        <v>0</v>
      </c>
      <c r="AU33" s="160"/>
      <c r="AV33" s="234">
        <f>IF(_xlfn.XLOOKUP(AT14,TableOpenSpace['#],TableOpenSpace[Total benchmark cost])&lt;&gt;"",1,0)</f>
        <v>0</v>
      </c>
      <c r="AY33" s="160"/>
      <c r="AZ33" s="234">
        <f>IF(_xlfn.XLOOKUP(AX14,TableOpenSpace['#],TableOpenSpace[Total benchmark cost])&lt;&gt;"",1,0)</f>
        <v>0</v>
      </c>
      <c r="BC33" s="160"/>
      <c r="BD33" s="234">
        <f>IF(_xlfn.XLOOKUP(BB14,TableOpenSpace['#],TableOpenSpace[Total benchmark cost])&lt;&gt;"",1,0)</f>
        <v>0</v>
      </c>
      <c r="BG33" s="160"/>
      <c r="BH33" s="234">
        <f>IF(_xlfn.XLOOKUP(BF14,TableOpenSpace['#],TableOpenSpace[Total benchmark cost])&lt;&gt;"",1,0)</f>
        <v>0</v>
      </c>
      <c r="BK33" s="160"/>
      <c r="BL33" s="234">
        <f>IF(_xlfn.XLOOKUP(BJ14,TableOpenSpace['#],TableOpenSpace[Total benchmark cost])&lt;&gt;"",1,0)</f>
        <v>0</v>
      </c>
      <c r="BO33" s="160"/>
      <c r="BP33" s="234">
        <f>IF(_xlfn.XLOOKUP(BN14,TableOpenSpace['#],TableOpenSpace[Total benchmark cost])&lt;&gt;"",1,0)</f>
        <v>0</v>
      </c>
      <c r="BS33" s="160"/>
      <c r="BT33" s="234">
        <f>IF(_xlfn.XLOOKUP(BR14,TableOpenSpace['#],TableOpenSpace[Total benchmark cost])&lt;&gt;"",1,0)</f>
        <v>0</v>
      </c>
      <c r="BW33" s="160"/>
      <c r="BX33" s="234">
        <f>IF(_xlfn.XLOOKUP(BV14,TableOpenSpace['#],TableOpenSpace[Total benchmark cost])&lt;&gt;"",1,0)</f>
        <v>0</v>
      </c>
      <c r="CA33" s="160"/>
      <c r="CB33" s="234">
        <f>IF(_xlfn.XLOOKUP(BZ14,TableOpenSpace['#],TableOpenSpace[Total benchmark cost])&lt;&gt;"",1,0)</f>
        <v>0</v>
      </c>
      <c r="CE33" s="160"/>
      <c r="CF33" s="234">
        <f>IF(_xlfn.XLOOKUP(CD14,TableOpenSpace['#],TableOpenSpace[Total benchmark cost])&lt;&gt;"",1,0)</f>
        <v>0</v>
      </c>
      <c r="CI33" s="160"/>
      <c r="CJ33" s="234">
        <f>IF(_xlfn.XLOOKUP(CH14,TableOpenSpace['#],TableOpenSpace[Total benchmark cost])&lt;&gt;"",1,0)</f>
        <v>0</v>
      </c>
      <c r="CM33" s="160"/>
      <c r="CN33" s="234">
        <f>IF(_xlfn.XLOOKUP(CL14,TableOpenSpace['#],TableOpenSpace[Total benchmark cost])&lt;&gt;"",1,0)</f>
        <v>0</v>
      </c>
      <c r="CQ33" s="160"/>
      <c r="CR33" s="234">
        <f>IF(_xlfn.XLOOKUP(CP14,TableOpenSpace['#],TableOpenSpace[Total benchmark cost])&lt;&gt;"",1,0)</f>
        <v>0</v>
      </c>
      <c r="CU33" s="160"/>
      <c r="CV33" s="234">
        <f>IF(_xlfn.XLOOKUP(CT14,TableOpenSpace['#],TableOpenSpace[Total benchmark cost])&lt;&gt;"",1,0)</f>
        <v>0</v>
      </c>
      <c r="CY33" s="160"/>
      <c r="CZ33" s="234">
        <f>IF(_xlfn.XLOOKUP(CX14,TableOpenSpace['#],TableOpenSpace[Total benchmark cost])&lt;&gt;"",1,0)</f>
        <v>0</v>
      </c>
      <c r="DC33" s="160"/>
      <c r="DD33" s="234">
        <f>IF(_xlfn.XLOOKUP(DB14,TableOpenSpace['#],TableOpenSpace[Total benchmark cost])&lt;&gt;"",1,0)</f>
        <v>0</v>
      </c>
      <c r="DG33" s="160"/>
      <c r="DH33" s="234">
        <f>IF(_xlfn.XLOOKUP(DF14,TableOpenSpace['#],TableOpenSpace[Total benchmark cost])&lt;&gt;"",1,0)</f>
        <v>0</v>
      </c>
      <c r="DK33" s="160"/>
      <c r="DL33" s="234">
        <f>IF(_xlfn.XLOOKUP(DJ14,TableOpenSpace['#],TableOpenSpace[Total benchmark cost])&lt;&gt;"",1,0)</f>
        <v>0</v>
      </c>
      <c r="DO33" s="160"/>
      <c r="DP33" s="234">
        <f>IF(_xlfn.XLOOKUP(DN14,TableOpenSpace['#],TableOpenSpace[Total benchmark cost])&lt;&gt;"",1,0)</f>
        <v>0</v>
      </c>
      <c r="DS33" s="160"/>
      <c r="DT33" s="234">
        <f>IF(_xlfn.XLOOKUP(DR14,TableOpenSpace['#],TableOpenSpace[Total benchmark cost])&lt;&gt;"",1,0)</f>
        <v>0</v>
      </c>
      <c r="DW33" s="160"/>
      <c r="DX33" s="234">
        <f>IF(_xlfn.XLOOKUP(DV14,TableOpenSpace['#],TableOpenSpace[Total benchmark cost])&lt;&gt;"",1,0)</f>
        <v>0</v>
      </c>
      <c r="EA33" s="160"/>
      <c r="EB33" s="234">
        <f>IF(_xlfn.XLOOKUP(DZ14,TableOpenSpace['#],TableOpenSpace[Total benchmark cost])&lt;&gt;"",1,0)</f>
        <v>0</v>
      </c>
      <c r="EE33" s="160"/>
      <c r="EF33" s="234">
        <f>IF(_xlfn.XLOOKUP(ED14,TableOpenSpace['#],TableOpenSpace[Total benchmark cost])&lt;&gt;"",1,0)</f>
        <v>0</v>
      </c>
      <c r="EI33" s="160"/>
      <c r="EJ33" s="234">
        <f>IF(_xlfn.XLOOKUP(EH14,TableOpenSpace['#],TableOpenSpace[Total benchmark cost])&lt;&gt;"",1,0)</f>
        <v>0</v>
      </c>
      <c r="EM33" s="160"/>
      <c r="EN33" s="234">
        <f>IF(_xlfn.XLOOKUP(EL14,TableOpenSpace['#],TableOpenSpace[Total benchmark cost])&lt;&gt;"",1,0)</f>
        <v>0</v>
      </c>
      <c r="EQ33" s="160"/>
      <c r="ER33" s="234">
        <f>IF(_xlfn.XLOOKUP(EP14,TableOpenSpace['#],TableOpenSpace[Total benchmark cost])&lt;&gt;"",1,0)</f>
        <v>0</v>
      </c>
      <c r="EU33" s="160"/>
      <c r="EV33" s="234">
        <f>IF(_xlfn.XLOOKUP(ET14,TableOpenSpace['#],TableOpenSpace[Total benchmark cost])&lt;&gt;"",1,0)</f>
        <v>0</v>
      </c>
      <c r="EY33" s="160"/>
      <c r="EZ33" s="234">
        <f>IF(_xlfn.XLOOKUP(EX14,TableOpenSpace['#],TableOpenSpace[Total benchmark cost])&lt;&gt;"",1,0)</f>
        <v>0</v>
      </c>
      <c r="FC33" s="160"/>
      <c r="FD33" s="234">
        <f>IF(_xlfn.XLOOKUP(FB14,TableOpenSpace['#],TableOpenSpace[Total benchmark cost])&lt;&gt;"",1,0)</f>
        <v>0</v>
      </c>
      <c r="FG33" s="160"/>
      <c r="FH33" s="234">
        <f>IF(_xlfn.XLOOKUP(FF14,TableOpenSpace['#],TableOpenSpace[Total benchmark cost])&lt;&gt;"",1,0)</f>
        <v>0</v>
      </c>
      <c r="FK33" s="160"/>
      <c r="FL33" s="234">
        <f>IF(_xlfn.XLOOKUP(FJ14,TableOpenSpace['#],TableOpenSpace[Total benchmark cost])&lt;&gt;"",1,0)</f>
        <v>0</v>
      </c>
      <c r="FO33" s="160"/>
      <c r="FP33" s="234">
        <f>IF(_xlfn.XLOOKUP(FN14,TableOpenSpace['#],TableOpenSpace[Total benchmark cost])&lt;&gt;"",1,0)</f>
        <v>0</v>
      </c>
      <c r="FS33" s="160"/>
      <c r="FT33" s="234">
        <f>IF(_xlfn.XLOOKUP(FR14,TableOpenSpace['#],TableOpenSpace[Total benchmark cost])&lt;&gt;"",1,0)</f>
        <v>0</v>
      </c>
      <c r="FW33" s="160"/>
      <c r="FX33" s="234">
        <f>IF(_xlfn.XLOOKUP(FV14,TableOpenSpace['#],TableOpenSpace[Total benchmark cost])&lt;&gt;"",1,0)</f>
        <v>0</v>
      </c>
      <c r="GA33" s="160"/>
      <c r="GB33" s="234">
        <f>IF(_xlfn.XLOOKUP(FZ14,TableOpenSpace['#],TableOpenSpace[Total benchmark cost])&lt;&gt;"",1,0)</f>
        <v>0</v>
      </c>
      <c r="GE33" s="160"/>
      <c r="GF33" s="234">
        <f>IF(_xlfn.XLOOKUP(GD14,TableOpenSpace['#],TableOpenSpace[Total benchmark cost])&lt;&gt;"",1,0)</f>
        <v>0</v>
      </c>
      <c r="GI33" s="160"/>
      <c r="GJ33" s="234">
        <f>IF(_xlfn.XLOOKUP(GH14,TableOpenSpace['#],TableOpenSpace[Total benchmark cost])&lt;&gt;"",1,0)</f>
        <v>0</v>
      </c>
      <c r="GM33" s="160"/>
      <c r="GN33" s="234">
        <f>IF(_xlfn.XLOOKUP(GL14,TableOpenSpace['#],TableOpenSpace[Total benchmark cost])&lt;&gt;"",1,0)</f>
        <v>0</v>
      </c>
      <c r="GQ33" s="160"/>
      <c r="GR33" s="234">
        <f>IF(_xlfn.XLOOKUP(GP14,TableOpenSpace['#],TableOpenSpace[Total benchmark cost])&lt;&gt;"",1,0)</f>
        <v>0</v>
      </c>
      <c r="GU33" s="160"/>
      <c r="GV33" s="234">
        <f>IF(_xlfn.XLOOKUP(GT14,TableOpenSpace['#],TableOpenSpace[Total benchmark cost])&lt;&gt;"",1,0)</f>
        <v>0</v>
      </c>
    </row>
    <row r="34" spans="4:205" ht="12.6" thickBot="1" x14ac:dyDescent="0.3">
      <c r="D34" s="163" t="s">
        <v>162</v>
      </c>
      <c r="F34" s="164"/>
      <c r="G34" s="165"/>
      <c r="H34" s="166" t="str">
        <f>IF(H33=1,SUM(H21:H32),"")</f>
        <v/>
      </c>
      <c r="J34" s="164"/>
      <c r="K34" s="165"/>
      <c r="L34" s="166" t="str">
        <f>IF(L33=1,SUM(L21:L32),"")</f>
        <v/>
      </c>
      <c r="N34" s="164"/>
      <c r="O34" s="165"/>
      <c r="P34" s="166" t="str">
        <f>IF(P33=1,SUM(P21:P32),"")</f>
        <v/>
      </c>
      <c r="R34" s="164"/>
      <c r="S34" s="165"/>
      <c r="T34" s="166" t="str">
        <f>IF(T33=1,SUM(T21:T32),"")</f>
        <v/>
      </c>
      <c r="V34" s="164"/>
      <c r="W34" s="165"/>
      <c r="X34" s="166" t="str">
        <f>IF(X33=1,SUM(X21:X32),"")</f>
        <v/>
      </c>
      <c r="Z34" s="164"/>
      <c r="AA34" s="165"/>
      <c r="AB34" s="166" t="str">
        <f>IF(AB33=1,SUM(AB21:AB32),"")</f>
        <v/>
      </c>
      <c r="AD34" s="164"/>
      <c r="AE34" s="165"/>
      <c r="AF34" s="166" t="str">
        <f>IF(AF33=1,SUM(AF21:AF32),"")</f>
        <v/>
      </c>
      <c r="AH34" s="164"/>
      <c r="AI34" s="165"/>
      <c r="AJ34" s="166" t="str">
        <f>IF(AJ33=1,SUM(AJ21:AJ32),"")</f>
        <v/>
      </c>
      <c r="AL34" s="164"/>
      <c r="AM34" s="165"/>
      <c r="AN34" s="166" t="str">
        <f>IF(AN33=1,SUM(AN21:AN32),"")</f>
        <v/>
      </c>
      <c r="AP34" s="164"/>
      <c r="AQ34" s="165"/>
      <c r="AR34" s="166" t="str">
        <f>IF(AR33=1,SUM(AR21:AR32),"")</f>
        <v/>
      </c>
      <c r="AT34" s="164"/>
      <c r="AU34" s="165"/>
      <c r="AV34" s="166" t="str">
        <f>IF(AV33=1,SUM(AV21:AV32),"")</f>
        <v/>
      </c>
      <c r="AX34" s="164"/>
      <c r="AY34" s="165"/>
      <c r="AZ34" s="166" t="str">
        <f>IF(AZ33=1,SUM(AZ21:AZ32),"")</f>
        <v/>
      </c>
      <c r="BB34" s="164"/>
      <c r="BC34" s="165"/>
      <c r="BD34" s="166" t="str">
        <f>IF(BD33=1,SUM(BD21:BD32),"")</f>
        <v/>
      </c>
      <c r="BF34" s="164"/>
      <c r="BG34" s="165"/>
      <c r="BH34" s="166" t="str">
        <f>IF(BH33=1,SUM(BH21:BH32),"")</f>
        <v/>
      </c>
      <c r="BJ34" s="164"/>
      <c r="BK34" s="165"/>
      <c r="BL34" s="166" t="str">
        <f>IF(BL33=1,SUM(BL21:BL32),"")</f>
        <v/>
      </c>
      <c r="BN34" s="164"/>
      <c r="BO34" s="165"/>
      <c r="BP34" s="166" t="str">
        <f>IF(BP33=1,SUM(BP21:BP32),"")</f>
        <v/>
      </c>
      <c r="BR34" s="164"/>
      <c r="BS34" s="165"/>
      <c r="BT34" s="166" t="str">
        <f>IF(BT33=1,SUM(BT21:BT32),"")</f>
        <v/>
      </c>
      <c r="BV34" s="164"/>
      <c r="BW34" s="165"/>
      <c r="BX34" s="166" t="str">
        <f>IF(BX33=1,SUM(BX21:BX32),"")</f>
        <v/>
      </c>
      <c r="BZ34" s="164"/>
      <c r="CA34" s="165"/>
      <c r="CB34" s="166" t="str">
        <f>IF(CB33=1,SUM(CB21:CB32),"")</f>
        <v/>
      </c>
      <c r="CD34" s="164"/>
      <c r="CE34" s="165"/>
      <c r="CF34" s="166" t="str">
        <f>IF(CF33=1,SUM(CF21:CF32),"")</f>
        <v/>
      </c>
      <c r="CH34" s="164"/>
      <c r="CI34" s="165"/>
      <c r="CJ34" s="166" t="str">
        <f>IF(CJ33=1,SUM(CJ21:CJ32),"")</f>
        <v/>
      </c>
      <c r="CL34" s="164"/>
      <c r="CM34" s="165"/>
      <c r="CN34" s="166" t="str">
        <f>IF(CN33=1,SUM(CN21:CN32),"")</f>
        <v/>
      </c>
      <c r="CP34" s="164"/>
      <c r="CQ34" s="165"/>
      <c r="CR34" s="166" t="str">
        <f>IF(CR33=1,SUM(CR21:CR32),"")</f>
        <v/>
      </c>
      <c r="CT34" s="164"/>
      <c r="CU34" s="165"/>
      <c r="CV34" s="166" t="str">
        <f>IF(CV33=1,SUM(CV21:CV32),"")</f>
        <v/>
      </c>
      <c r="CX34" s="164"/>
      <c r="CY34" s="165"/>
      <c r="CZ34" s="166" t="str">
        <f>IF(CZ33=1,SUM(CZ21:CZ32),"")</f>
        <v/>
      </c>
      <c r="DB34" s="164"/>
      <c r="DC34" s="165"/>
      <c r="DD34" s="166" t="str">
        <f>IF(DD33=1,SUM(DD21:DD32),"")</f>
        <v/>
      </c>
      <c r="DF34" s="164"/>
      <c r="DG34" s="165"/>
      <c r="DH34" s="166" t="str">
        <f>IF(DH33=1,SUM(DH21:DH32),"")</f>
        <v/>
      </c>
      <c r="DJ34" s="164"/>
      <c r="DK34" s="165"/>
      <c r="DL34" s="166" t="str">
        <f>IF(DL33=1,SUM(DL21:DL32),"")</f>
        <v/>
      </c>
      <c r="DN34" s="164"/>
      <c r="DO34" s="165"/>
      <c r="DP34" s="166" t="str">
        <f>IF(DP33=1,SUM(DP21:DP32),"")</f>
        <v/>
      </c>
      <c r="DR34" s="164"/>
      <c r="DS34" s="165"/>
      <c r="DT34" s="166" t="str">
        <f>IF(DT33=1,SUM(DT21:DT32),"")</f>
        <v/>
      </c>
      <c r="DV34" s="164"/>
      <c r="DW34" s="165"/>
      <c r="DX34" s="166" t="str">
        <f>IF(DX33=1,SUM(DX21:DX32),"")</f>
        <v/>
      </c>
      <c r="DZ34" s="164"/>
      <c r="EA34" s="165"/>
      <c r="EB34" s="166" t="str">
        <f>IF(EB33=1,SUM(EB21:EB32),"")</f>
        <v/>
      </c>
      <c r="ED34" s="164"/>
      <c r="EE34" s="165"/>
      <c r="EF34" s="166" t="str">
        <f>IF(EF33=1,SUM(EF21:EF32),"")</f>
        <v/>
      </c>
      <c r="EH34" s="164"/>
      <c r="EI34" s="165"/>
      <c r="EJ34" s="166" t="str">
        <f>IF(EJ33=1,SUM(EJ21:EJ32),"")</f>
        <v/>
      </c>
      <c r="EL34" s="164"/>
      <c r="EM34" s="165"/>
      <c r="EN34" s="166" t="str">
        <f>IF(EN33=1,SUM(EN21:EN32),"")</f>
        <v/>
      </c>
      <c r="EP34" s="164"/>
      <c r="EQ34" s="165"/>
      <c r="ER34" s="166" t="str">
        <f>IF(ER33=1,SUM(ER21:ER32),"")</f>
        <v/>
      </c>
      <c r="ET34" s="164"/>
      <c r="EU34" s="165"/>
      <c r="EV34" s="166" t="str">
        <f>IF(EV33=1,SUM(EV21:EV32),"")</f>
        <v/>
      </c>
      <c r="EX34" s="164"/>
      <c r="EY34" s="165"/>
      <c r="EZ34" s="166" t="str">
        <f>IF(EZ33=1,SUM(EZ21:EZ32),"")</f>
        <v/>
      </c>
      <c r="FB34" s="164"/>
      <c r="FC34" s="165"/>
      <c r="FD34" s="166" t="str">
        <f>IF(FD33=1,SUM(FD21:FD32),"")</f>
        <v/>
      </c>
      <c r="FF34" s="164"/>
      <c r="FG34" s="165"/>
      <c r="FH34" s="166" t="str">
        <f>IF(FH33=1,SUM(FH21:FH32),"")</f>
        <v/>
      </c>
      <c r="FJ34" s="164"/>
      <c r="FK34" s="165"/>
      <c r="FL34" s="166" t="str">
        <f>IF(FL33=1,SUM(FL21:FL32),"")</f>
        <v/>
      </c>
      <c r="FN34" s="164"/>
      <c r="FO34" s="165"/>
      <c r="FP34" s="166" t="str">
        <f>IF(FP33=1,SUM(FP21:FP32),"")</f>
        <v/>
      </c>
      <c r="FR34" s="164"/>
      <c r="FS34" s="165"/>
      <c r="FT34" s="166" t="str">
        <f>IF(FT33=1,SUM(FT21:FT32),"")</f>
        <v/>
      </c>
      <c r="FV34" s="164"/>
      <c r="FW34" s="165"/>
      <c r="FX34" s="166" t="str">
        <f>IF(FX33=1,SUM(FX21:FX32),"")</f>
        <v/>
      </c>
      <c r="FZ34" s="164"/>
      <c r="GA34" s="165"/>
      <c r="GB34" s="166" t="str">
        <f>IF(GB33=1,SUM(GB21:GB32),"")</f>
        <v/>
      </c>
      <c r="GD34" s="164"/>
      <c r="GE34" s="165"/>
      <c r="GF34" s="166" t="str">
        <f>IF(GF33=1,SUM(GF21:GF32),"")</f>
        <v/>
      </c>
      <c r="GH34" s="164"/>
      <c r="GI34" s="165"/>
      <c r="GJ34" s="166" t="str">
        <f>IF(GJ33=1,SUM(GJ21:GJ32),"")</f>
        <v/>
      </c>
      <c r="GL34" s="164"/>
      <c r="GM34" s="165"/>
      <c r="GN34" s="166" t="str">
        <f>IF(GN33=1,SUM(GN21:GN32),"")</f>
        <v/>
      </c>
      <c r="GP34" s="164"/>
      <c r="GQ34" s="165"/>
      <c r="GR34" s="166" t="str">
        <f>IF(GR33=1,SUM(GR21:GR32),"")</f>
        <v/>
      </c>
      <c r="GT34" s="164"/>
      <c r="GU34" s="165"/>
      <c r="GV34" s="166" t="str">
        <f>IF(GV33=1,SUM(GV21:GV32),"")</f>
        <v/>
      </c>
    </row>
    <row r="35" spans="4:205" ht="12" thickTop="1" x14ac:dyDescent="0.2"/>
    <row r="36" spans="4:205" ht="12" x14ac:dyDescent="0.25">
      <c r="D36" s="27" t="s">
        <v>750</v>
      </c>
      <c r="H36" s="184">
        <f>SUM(H34:XX34)</f>
        <v>0</v>
      </c>
    </row>
    <row r="37" spans="4:205" x14ac:dyDescent="0.2">
      <c r="D37" s="217" t="s">
        <v>852</v>
      </c>
      <c r="H37" s="317" t="str">
        <f>IFERROR(H36-'Open space'!AA16,"-")</f>
        <v>-</v>
      </c>
    </row>
    <row r="39" spans="4:205" ht="12" x14ac:dyDescent="0.25">
      <c r="D39" s="170" t="s">
        <v>163</v>
      </c>
      <c r="E39" s="181"/>
      <c r="F39" s="178"/>
      <c r="G39" s="171"/>
      <c r="H39" s="245" t="str">
        <f>IF(_xlfn.XLOOKUP(F$14,TableOpenSpace['#],TableOpenSpace[Your works schedule cost])&lt;&gt;"",_xlfn.XLOOKUP(F$14,TableOpenSpace['#],TableOpenSpace[Your works schedule cost]),"")</f>
        <v/>
      </c>
      <c r="I39" s="181"/>
      <c r="J39" s="178"/>
      <c r="K39" s="171"/>
      <c r="L39" s="245" t="str">
        <f>IF(_xlfn.XLOOKUP(J$14,TableOpenSpace['#],TableOpenSpace[Your works schedule cost])&lt;&gt;"",_xlfn.XLOOKUP(J$14,TableOpenSpace['#],TableOpenSpace[Your works schedule cost]),"")</f>
        <v/>
      </c>
      <c r="M39" s="181"/>
      <c r="N39" s="178"/>
      <c r="O39" s="171"/>
      <c r="P39" s="245" t="str">
        <f>IF(_xlfn.XLOOKUP(N$14,TableOpenSpace['#],TableOpenSpace[Your works schedule cost])&lt;&gt;"",_xlfn.XLOOKUP(N$14,TableOpenSpace['#],TableOpenSpace[Your works schedule cost]),"")</f>
        <v/>
      </c>
      <c r="Q39" s="181"/>
      <c r="R39" s="178"/>
      <c r="S39" s="171"/>
      <c r="T39" s="245" t="str">
        <f>IF(_xlfn.XLOOKUP(R$14,TableOpenSpace['#],TableOpenSpace[Your works schedule cost])&lt;&gt;"",_xlfn.XLOOKUP(R$14,TableOpenSpace['#],TableOpenSpace[Your works schedule cost]),"")</f>
        <v/>
      </c>
      <c r="U39" s="181"/>
      <c r="V39" s="178"/>
      <c r="W39" s="171"/>
      <c r="X39" s="245" t="str">
        <f>IF(_xlfn.XLOOKUP(V$14,TableOpenSpace['#],TableOpenSpace[Your works schedule cost])&lt;&gt;"",_xlfn.XLOOKUP(V$14,TableOpenSpace['#],TableOpenSpace[Your works schedule cost]),"")</f>
        <v/>
      </c>
      <c r="Y39" s="181"/>
      <c r="Z39" s="178"/>
      <c r="AA39" s="171"/>
      <c r="AB39" s="245" t="str">
        <f>IF(_xlfn.XLOOKUP(Z$14,TableOpenSpace['#],TableOpenSpace[Your works schedule cost])&lt;&gt;"",_xlfn.XLOOKUP(Z$14,TableOpenSpace['#],TableOpenSpace[Your works schedule cost]),"")</f>
        <v/>
      </c>
      <c r="AC39" s="181"/>
      <c r="AD39" s="178"/>
      <c r="AE39" s="171"/>
      <c r="AF39" s="245" t="str">
        <f>IF(_xlfn.XLOOKUP(AD$14,TableOpenSpace['#],TableOpenSpace[Your works schedule cost])&lt;&gt;"",_xlfn.XLOOKUP(AD$14,TableOpenSpace['#],TableOpenSpace[Your works schedule cost]),"")</f>
        <v/>
      </c>
      <c r="AG39" s="181"/>
      <c r="AH39" s="178"/>
      <c r="AI39" s="171"/>
      <c r="AJ39" s="245" t="str">
        <f>IF(_xlfn.XLOOKUP(AH$14,TableOpenSpace['#],TableOpenSpace[Your works schedule cost])&lt;&gt;"",_xlfn.XLOOKUP(AH$14,TableOpenSpace['#],TableOpenSpace[Your works schedule cost]),"")</f>
        <v/>
      </c>
      <c r="AK39" s="181"/>
      <c r="AL39" s="178"/>
      <c r="AM39" s="171"/>
      <c r="AN39" s="245" t="str">
        <f>IF(_xlfn.XLOOKUP(AL$14,TableOpenSpace['#],TableOpenSpace[Your works schedule cost])&lt;&gt;"",_xlfn.XLOOKUP(AL$14,TableOpenSpace['#],TableOpenSpace[Your works schedule cost]),"")</f>
        <v/>
      </c>
      <c r="AO39" s="181"/>
      <c r="AP39" s="178"/>
      <c r="AQ39" s="171"/>
      <c r="AR39" s="245" t="str">
        <f>IF(_xlfn.XLOOKUP(AP$14,TableOpenSpace['#],TableOpenSpace[Your works schedule cost])&lt;&gt;"",_xlfn.XLOOKUP(AP$14,TableOpenSpace['#],TableOpenSpace[Your works schedule cost]),"")</f>
        <v/>
      </c>
      <c r="AS39" s="181"/>
      <c r="AT39" s="178"/>
      <c r="AU39" s="171"/>
      <c r="AV39" s="245" t="str">
        <f>IF(_xlfn.XLOOKUP(AT$14,TableOpenSpace['#],TableOpenSpace[Your works schedule cost])&lt;&gt;"",_xlfn.XLOOKUP(AT$14,TableOpenSpace['#],TableOpenSpace[Your works schedule cost]),"")</f>
        <v/>
      </c>
      <c r="AW39" s="181"/>
      <c r="AX39" s="178"/>
      <c r="AY39" s="171"/>
      <c r="AZ39" s="245" t="str">
        <f>IF(_xlfn.XLOOKUP(AX$14,TableOpenSpace['#],TableOpenSpace[Your works schedule cost])&lt;&gt;"",_xlfn.XLOOKUP(AX$14,TableOpenSpace['#],TableOpenSpace[Your works schedule cost]),"")</f>
        <v/>
      </c>
      <c r="BA39" s="181"/>
      <c r="BB39" s="178"/>
      <c r="BC39" s="171"/>
      <c r="BD39" s="245" t="str">
        <f>IF(_xlfn.XLOOKUP(BB$14,TableOpenSpace['#],TableOpenSpace[Your works schedule cost])&lt;&gt;"",_xlfn.XLOOKUP(BB$14,TableOpenSpace['#],TableOpenSpace[Your works schedule cost]),"")</f>
        <v/>
      </c>
      <c r="BE39" s="181"/>
      <c r="BF39" s="178"/>
      <c r="BG39" s="171"/>
      <c r="BH39" s="245" t="str">
        <f>IF(_xlfn.XLOOKUP(BF$14,TableOpenSpace['#],TableOpenSpace[Your works schedule cost])&lt;&gt;"",_xlfn.XLOOKUP(BF$14,TableOpenSpace['#],TableOpenSpace[Your works schedule cost]),"")</f>
        <v/>
      </c>
      <c r="BI39" s="181"/>
      <c r="BJ39" s="178"/>
      <c r="BK39" s="171"/>
      <c r="BL39" s="245" t="str">
        <f>IF(_xlfn.XLOOKUP(BJ$14,TableOpenSpace['#],TableOpenSpace[Your works schedule cost])&lt;&gt;"",_xlfn.XLOOKUP(BJ$14,TableOpenSpace['#],TableOpenSpace[Your works schedule cost]),"")</f>
        <v/>
      </c>
      <c r="BM39" s="181"/>
      <c r="BN39" s="178"/>
      <c r="BO39" s="171"/>
      <c r="BP39" s="245" t="str">
        <f>IF(_xlfn.XLOOKUP(BN$14,TableOpenSpace['#],TableOpenSpace[Your works schedule cost])&lt;&gt;"",_xlfn.XLOOKUP(BN$14,TableOpenSpace['#],TableOpenSpace[Your works schedule cost]),"")</f>
        <v/>
      </c>
      <c r="BQ39" s="181"/>
      <c r="BR39" s="178"/>
      <c r="BS39" s="171"/>
      <c r="BT39" s="245" t="str">
        <f>IF(_xlfn.XLOOKUP(BR$14,TableOpenSpace['#],TableOpenSpace[Your works schedule cost])&lt;&gt;"",_xlfn.XLOOKUP(BR$14,TableOpenSpace['#],TableOpenSpace[Your works schedule cost]),"")</f>
        <v/>
      </c>
      <c r="BU39" s="181"/>
      <c r="BV39" s="178"/>
      <c r="BW39" s="171"/>
      <c r="BX39" s="245" t="str">
        <f>IF(_xlfn.XLOOKUP(BV$14,TableOpenSpace['#],TableOpenSpace[Your works schedule cost])&lt;&gt;"",_xlfn.XLOOKUP(BV$14,TableOpenSpace['#],TableOpenSpace[Your works schedule cost]),"")</f>
        <v/>
      </c>
      <c r="BY39" s="181"/>
      <c r="BZ39" s="178"/>
      <c r="CA39" s="171"/>
      <c r="CB39" s="245" t="str">
        <f>IF(_xlfn.XLOOKUP(BZ$14,TableOpenSpace['#],TableOpenSpace[Your works schedule cost])&lt;&gt;"",_xlfn.XLOOKUP(BZ$14,TableOpenSpace['#],TableOpenSpace[Your works schedule cost]),"")</f>
        <v/>
      </c>
      <c r="CC39" s="181"/>
      <c r="CD39" s="178"/>
      <c r="CE39" s="171"/>
      <c r="CF39" s="245" t="str">
        <f>IF(_xlfn.XLOOKUP(CD$14,TableOpenSpace['#],TableOpenSpace[Your works schedule cost])&lt;&gt;"",_xlfn.XLOOKUP(CD$14,TableOpenSpace['#],TableOpenSpace[Your works schedule cost]),"")</f>
        <v/>
      </c>
      <c r="CG39" s="181"/>
      <c r="CH39" s="178"/>
      <c r="CI39" s="171"/>
      <c r="CJ39" s="245" t="str">
        <f>IF(_xlfn.XLOOKUP(CH$14,TableOpenSpace['#],TableOpenSpace[Your works schedule cost])&lt;&gt;"",_xlfn.XLOOKUP(CH$14,TableOpenSpace['#],TableOpenSpace[Your works schedule cost]),"")</f>
        <v/>
      </c>
      <c r="CK39" s="181"/>
      <c r="CL39" s="178"/>
      <c r="CM39" s="171"/>
      <c r="CN39" s="245" t="str">
        <f>IF(_xlfn.XLOOKUP(CL$14,TableOpenSpace['#],TableOpenSpace[Your works schedule cost])&lt;&gt;"",_xlfn.XLOOKUP(CL$14,TableOpenSpace['#],TableOpenSpace[Your works schedule cost]),"")</f>
        <v/>
      </c>
      <c r="CO39" s="181"/>
      <c r="CP39" s="178"/>
      <c r="CQ39" s="171"/>
      <c r="CR39" s="245" t="str">
        <f>IF(_xlfn.XLOOKUP(CP$14,TableOpenSpace['#],TableOpenSpace[Your works schedule cost])&lt;&gt;"",_xlfn.XLOOKUP(CP$14,TableOpenSpace['#],TableOpenSpace[Your works schedule cost]),"")</f>
        <v/>
      </c>
      <c r="CS39" s="181"/>
      <c r="CT39" s="178"/>
      <c r="CU39" s="171"/>
      <c r="CV39" s="245" t="str">
        <f>IF(_xlfn.XLOOKUP(CT$14,TableOpenSpace['#],TableOpenSpace[Your works schedule cost])&lt;&gt;"",_xlfn.XLOOKUP(CT$14,TableOpenSpace['#],TableOpenSpace[Your works schedule cost]),"")</f>
        <v/>
      </c>
      <c r="CW39" s="181"/>
      <c r="CX39" s="178"/>
      <c r="CY39" s="171"/>
      <c r="CZ39" s="245" t="str">
        <f>IF(_xlfn.XLOOKUP(CX$14,TableOpenSpace['#],TableOpenSpace[Your works schedule cost])&lt;&gt;"",_xlfn.XLOOKUP(CX$14,TableOpenSpace['#],TableOpenSpace[Your works schedule cost]),"")</f>
        <v/>
      </c>
      <c r="DA39" s="181"/>
      <c r="DB39" s="178"/>
      <c r="DC39" s="171"/>
      <c r="DD39" s="245" t="str">
        <f>IF(_xlfn.XLOOKUP(DB$14,TableOpenSpace['#],TableOpenSpace[Your works schedule cost])&lt;&gt;"",_xlfn.XLOOKUP(DB$14,TableOpenSpace['#],TableOpenSpace[Your works schedule cost]),"")</f>
        <v/>
      </c>
      <c r="DE39" s="181"/>
      <c r="DF39" s="178"/>
      <c r="DG39" s="171"/>
      <c r="DH39" s="245" t="str">
        <f>IF(_xlfn.XLOOKUP(DF$14,TableOpenSpace['#],TableOpenSpace[Your works schedule cost])&lt;&gt;"",_xlfn.XLOOKUP(DF$14,TableOpenSpace['#],TableOpenSpace[Your works schedule cost]),"")</f>
        <v/>
      </c>
      <c r="DI39" s="181"/>
      <c r="DJ39" s="178"/>
      <c r="DK39" s="171"/>
      <c r="DL39" s="245" t="str">
        <f>IF(_xlfn.XLOOKUP(DJ$14,TableOpenSpace['#],TableOpenSpace[Your works schedule cost])&lt;&gt;"",_xlfn.XLOOKUP(DJ$14,TableOpenSpace['#],TableOpenSpace[Your works schedule cost]),"")</f>
        <v/>
      </c>
      <c r="DM39" s="181"/>
      <c r="DN39" s="178"/>
      <c r="DO39" s="171"/>
      <c r="DP39" s="245" t="str">
        <f>IF(_xlfn.XLOOKUP(DN$14,TableOpenSpace['#],TableOpenSpace[Your works schedule cost])&lt;&gt;"",_xlfn.XLOOKUP(DN$14,TableOpenSpace['#],TableOpenSpace[Your works schedule cost]),"")</f>
        <v/>
      </c>
      <c r="DQ39" s="181"/>
      <c r="DR39" s="178"/>
      <c r="DS39" s="171"/>
      <c r="DT39" s="245" t="str">
        <f>IF(_xlfn.XLOOKUP(DR$14,TableOpenSpace['#],TableOpenSpace[Your works schedule cost])&lt;&gt;"",_xlfn.XLOOKUP(DR$14,TableOpenSpace['#],TableOpenSpace[Your works schedule cost]),"")</f>
        <v/>
      </c>
      <c r="DU39" s="181"/>
      <c r="DV39" s="178"/>
      <c r="DW39" s="171"/>
      <c r="DX39" s="245" t="str">
        <f>IF(_xlfn.XLOOKUP(DV$14,TableOpenSpace['#],TableOpenSpace[Your works schedule cost])&lt;&gt;"",_xlfn.XLOOKUP(DV$14,TableOpenSpace['#],TableOpenSpace[Your works schedule cost]),"")</f>
        <v/>
      </c>
      <c r="DY39" s="181"/>
      <c r="DZ39" s="178"/>
      <c r="EA39" s="171"/>
      <c r="EB39" s="245" t="str">
        <f>IF(_xlfn.XLOOKUP(DZ$14,TableOpenSpace['#],TableOpenSpace[Your works schedule cost])&lt;&gt;"",_xlfn.XLOOKUP(DZ$14,TableOpenSpace['#],TableOpenSpace[Your works schedule cost]),"")</f>
        <v/>
      </c>
      <c r="EC39" s="181"/>
      <c r="ED39" s="178"/>
      <c r="EE39" s="171"/>
      <c r="EF39" s="245" t="str">
        <f>IF(_xlfn.XLOOKUP(ED$14,TableOpenSpace['#],TableOpenSpace[Your works schedule cost])&lt;&gt;"",_xlfn.XLOOKUP(ED$14,TableOpenSpace['#],TableOpenSpace[Your works schedule cost]),"")</f>
        <v/>
      </c>
      <c r="EG39" s="181"/>
      <c r="EH39" s="178"/>
      <c r="EI39" s="171"/>
      <c r="EJ39" s="245" t="str">
        <f>IF(_xlfn.XLOOKUP(EH$14,TableOpenSpace['#],TableOpenSpace[Your works schedule cost])&lt;&gt;"",_xlfn.XLOOKUP(EH$14,TableOpenSpace['#],TableOpenSpace[Your works schedule cost]),"")</f>
        <v/>
      </c>
      <c r="EK39" s="181"/>
      <c r="EL39" s="178"/>
      <c r="EM39" s="171"/>
      <c r="EN39" s="245" t="str">
        <f>IF(_xlfn.XLOOKUP(EL$14,TableOpenSpace['#],TableOpenSpace[Your works schedule cost])&lt;&gt;"",_xlfn.XLOOKUP(EL$14,TableOpenSpace['#],TableOpenSpace[Your works schedule cost]),"")</f>
        <v/>
      </c>
      <c r="EO39" s="181"/>
      <c r="EP39" s="178"/>
      <c r="EQ39" s="171"/>
      <c r="ER39" s="245" t="str">
        <f>IF(_xlfn.XLOOKUP(EP$14,TableOpenSpace['#],TableOpenSpace[Your works schedule cost])&lt;&gt;"",_xlfn.XLOOKUP(EP$14,TableOpenSpace['#],TableOpenSpace[Your works schedule cost]),"")</f>
        <v/>
      </c>
      <c r="ES39" s="181"/>
      <c r="ET39" s="178"/>
      <c r="EU39" s="171"/>
      <c r="EV39" s="245" t="str">
        <f>IF(_xlfn.XLOOKUP(ET$14,TableOpenSpace['#],TableOpenSpace[Your works schedule cost])&lt;&gt;"",_xlfn.XLOOKUP(ET$14,TableOpenSpace['#],TableOpenSpace[Your works schedule cost]),"")</f>
        <v/>
      </c>
      <c r="EW39" s="181"/>
      <c r="EX39" s="178"/>
      <c r="EY39" s="171"/>
      <c r="EZ39" s="245" t="str">
        <f>IF(_xlfn.XLOOKUP(EX$14,TableOpenSpace['#],TableOpenSpace[Your works schedule cost])&lt;&gt;"",_xlfn.XLOOKUP(EX$14,TableOpenSpace['#],TableOpenSpace[Your works schedule cost]),"")</f>
        <v/>
      </c>
      <c r="FA39" s="181"/>
      <c r="FB39" s="178"/>
      <c r="FC39" s="171"/>
      <c r="FD39" s="245" t="str">
        <f>IF(_xlfn.XLOOKUP(FB$14,TableOpenSpace['#],TableOpenSpace[Your works schedule cost])&lt;&gt;"",_xlfn.XLOOKUP(FB$14,TableOpenSpace['#],TableOpenSpace[Your works schedule cost]),"")</f>
        <v/>
      </c>
      <c r="FE39" s="181"/>
      <c r="FF39" s="178"/>
      <c r="FG39" s="171"/>
      <c r="FH39" s="245" t="str">
        <f>IF(_xlfn.XLOOKUP(FF$14,TableOpenSpace['#],TableOpenSpace[Your works schedule cost])&lt;&gt;"",_xlfn.XLOOKUP(FF$14,TableOpenSpace['#],TableOpenSpace[Your works schedule cost]),"")</f>
        <v/>
      </c>
      <c r="FI39" s="181"/>
      <c r="FJ39" s="178"/>
      <c r="FK39" s="171"/>
      <c r="FL39" s="245" t="str">
        <f>IF(_xlfn.XLOOKUP(FJ$14,TableOpenSpace['#],TableOpenSpace[Your works schedule cost])&lt;&gt;"",_xlfn.XLOOKUP(FJ$14,TableOpenSpace['#],TableOpenSpace[Your works schedule cost]),"")</f>
        <v/>
      </c>
      <c r="FM39" s="181"/>
      <c r="FN39" s="178"/>
      <c r="FO39" s="171"/>
      <c r="FP39" s="245" t="str">
        <f>IF(_xlfn.XLOOKUP(FN$14,TableOpenSpace['#],TableOpenSpace[Your works schedule cost])&lt;&gt;"",_xlfn.XLOOKUP(FN$14,TableOpenSpace['#],TableOpenSpace[Your works schedule cost]),"")</f>
        <v/>
      </c>
      <c r="FQ39" s="181"/>
      <c r="FR39" s="178"/>
      <c r="FS39" s="171"/>
      <c r="FT39" s="245" t="str">
        <f>IF(_xlfn.XLOOKUP(FR$14,TableOpenSpace['#],TableOpenSpace[Your works schedule cost])&lt;&gt;"",_xlfn.XLOOKUP(FR$14,TableOpenSpace['#],TableOpenSpace[Your works schedule cost]),"")</f>
        <v/>
      </c>
      <c r="FU39" s="181"/>
      <c r="FV39" s="178"/>
      <c r="FW39" s="171"/>
      <c r="FX39" s="245" t="str">
        <f>IF(_xlfn.XLOOKUP(FV$14,TableOpenSpace['#],TableOpenSpace[Your works schedule cost])&lt;&gt;"",_xlfn.XLOOKUP(FV$14,TableOpenSpace['#],TableOpenSpace[Your works schedule cost]),"")</f>
        <v/>
      </c>
      <c r="FY39" s="181"/>
      <c r="FZ39" s="178"/>
      <c r="GA39" s="171"/>
      <c r="GB39" s="245" t="str">
        <f>IF(_xlfn.XLOOKUP(FZ$14,TableOpenSpace['#],TableOpenSpace[Your works schedule cost])&lt;&gt;"",_xlfn.XLOOKUP(FZ$14,TableOpenSpace['#],TableOpenSpace[Your works schedule cost]),"")</f>
        <v/>
      </c>
      <c r="GC39" s="181"/>
      <c r="GD39" s="178"/>
      <c r="GE39" s="171"/>
      <c r="GF39" s="245" t="str">
        <f>IF(_xlfn.XLOOKUP(GD$14,TableOpenSpace['#],TableOpenSpace[Your works schedule cost])&lt;&gt;"",_xlfn.XLOOKUP(GD$14,TableOpenSpace['#],TableOpenSpace[Your works schedule cost]),"")</f>
        <v/>
      </c>
      <c r="GG39" s="181"/>
      <c r="GH39" s="178"/>
      <c r="GI39" s="171"/>
      <c r="GJ39" s="245" t="str">
        <f>IF(_xlfn.XLOOKUP(GH$14,TableOpenSpace['#],TableOpenSpace[Your works schedule cost])&lt;&gt;"",_xlfn.XLOOKUP(GH$14,TableOpenSpace['#],TableOpenSpace[Your works schedule cost]),"")</f>
        <v/>
      </c>
      <c r="GK39" s="181"/>
      <c r="GL39" s="178"/>
      <c r="GM39" s="171"/>
      <c r="GN39" s="245" t="str">
        <f>IF(_xlfn.XLOOKUP(GL$14,TableOpenSpace['#],TableOpenSpace[Your works schedule cost])&lt;&gt;"",_xlfn.XLOOKUP(GL$14,TableOpenSpace['#],TableOpenSpace[Your works schedule cost]),"")</f>
        <v/>
      </c>
      <c r="GO39" s="181"/>
      <c r="GP39" s="178"/>
      <c r="GQ39" s="171"/>
      <c r="GR39" s="245" t="str">
        <f>IF(_xlfn.XLOOKUP(GP$14,TableOpenSpace['#],TableOpenSpace[Your works schedule cost])&lt;&gt;"",_xlfn.XLOOKUP(GP$14,TableOpenSpace['#],TableOpenSpace[Your works schedule cost]),"")</f>
        <v/>
      </c>
      <c r="GS39" s="181"/>
      <c r="GT39" s="178"/>
      <c r="GU39" s="171"/>
      <c r="GV39" s="245" t="str">
        <f>IF(_xlfn.XLOOKUP(GT$14,TableOpenSpace['#],TableOpenSpace[Your works schedule cost])&lt;&gt;"",_xlfn.XLOOKUP(GT$14,TableOpenSpace['#],TableOpenSpace[Your works schedule cost]),"")</f>
        <v/>
      </c>
      <c r="GW39" s="181"/>
    </row>
    <row r="40" spans="4:205" ht="12" x14ac:dyDescent="0.25">
      <c r="D40" s="172" t="s">
        <v>164</v>
      </c>
      <c r="E40" s="182"/>
      <c r="F40" s="179"/>
      <c r="G40" s="173"/>
      <c r="H40" s="174" t="str">
        <f>IF(AND(H33=1,H39&lt;&gt;""),H39-H34,"")</f>
        <v/>
      </c>
      <c r="I40" s="182"/>
      <c r="J40" s="179"/>
      <c r="K40" s="173"/>
      <c r="L40" s="174" t="str">
        <f>IF(AND(L33=1,L39&lt;&gt;""),L39-L34,"")</f>
        <v/>
      </c>
      <c r="M40" s="182"/>
      <c r="N40" s="179"/>
      <c r="O40" s="173"/>
      <c r="P40" s="174" t="str">
        <f>IF(AND(P33=1,P39&lt;&gt;""),P39-P34,"")</f>
        <v/>
      </c>
      <c r="Q40" s="182"/>
      <c r="R40" s="179"/>
      <c r="S40" s="173"/>
      <c r="T40" s="174" t="str">
        <f>IF(AND(T33=1,T39&lt;&gt;""),T39-T34,"")</f>
        <v/>
      </c>
      <c r="U40" s="182"/>
      <c r="V40" s="179"/>
      <c r="W40" s="173"/>
      <c r="X40" s="174" t="str">
        <f>IF(AND(X33=1,X39&lt;&gt;""),X39-X34,"")</f>
        <v/>
      </c>
      <c r="Y40" s="182"/>
      <c r="Z40" s="179"/>
      <c r="AA40" s="173"/>
      <c r="AB40" s="174" t="str">
        <f>IF(AND(AB33=1,AB39&lt;&gt;""),AB39-AB34,"")</f>
        <v/>
      </c>
      <c r="AC40" s="182"/>
      <c r="AD40" s="179"/>
      <c r="AE40" s="173"/>
      <c r="AF40" s="174" t="str">
        <f>IF(AND(AF33=1,AF39&lt;&gt;""),AF39-AF34,"")</f>
        <v/>
      </c>
      <c r="AG40" s="182"/>
      <c r="AH40" s="179"/>
      <c r="AI40" s="173"/>
      <c r="AJ40" s="174" t="str">
        <f>IF(AND(AJ33=1,AJ39&lt;&gt;""),AJ39-AJ34,"")</f>
        <v/>
      </c>
      <c r="AK40" s="182"/>
      <c r="AL40" s="179"/>
      <c r="AM40" s="173"/>
      <c r="AN40" s="174" t="str">
        <f>IF(AND(AN33=1,AN39&lt;&gt;""),AN39-AN34,"")</f>
        <v/>
      </c>
      <c r="AO40" s="182"/>
      <c r="AP40" s="179"/>
      <c r="AQ40" s="173"/>
      <c r="AR40" s="174" t="str">
        <f>IF(AND(AR33=1,AR39&lt;&gt;""),AR39-AR34,"")</f>
        <v/>
      </c>
      <c r="AS40" s="182"/>
      <c r="AT40" s="179"/>
      <c r="AU40" s="173"/>
      <c r="AV40" s="174" t="str">
        <f>IF(AND(AV33=1,AV39&lt;&gt;""),AV39-AV34,"")</f>
        <v/>
      </c>
      <c r="AW40" s="182"/>
      <c r="AX40" s="179"/>
      <c r="AY40" s="173"/>
      <c r="AZ40" s="174" t="str">
        <f>IF(AND(AZ33=1,AZ39&lt;&gt;""),AZ39-AZ34,"")</f>
        <v/>
      </c>
      <c r="BA40" s="182"/>
      <c r="BB40" s="179"/>
      <c r="BC40" s="173"/>
      <c r="BD40" s="174" t="str">
        <f>IF(AND(BD33=1,BD39&lt;&gt;""),BD39-BD34,"")</f>
        <v/>
      </c>
      <c r="BE40" s="182"/>
      <c r="BF40" s="179"/>
      <c r="BG40" s="173"/>
      <c r="BH40" s="174" t="str">
        <f>IF(AND(BH33=1,BH39&lt;&gt;""),BH39-BH34,"")</f>
        <v/>
      </c>
      <c r="BI40" s="182"/>
      <c r="BJ40" s="179"/>
      <c r="BK40" s="173"/>
      <c r="BL40" s="174" t="str">
        <f>IF(AND(BL33=1,BL39&lt;&gt;""),BL39-BL34,"")</f>
        <v/>
      </c>
      <c r="BM40" s="182"/>
      <c r="BN40" s="179"/>
      <c r="BO40" s="173"/>
      <c r="BP40" s="174" t="str">
        <f>IF(AND(BP33=1,BP39&lt;&gt;""),BP39-BP34,"")</f>
        <v/>
      </c>
      <c r="BQ40" s="182"/>
      <c r="BR40" s="179"/>
      <c r="BS40" s="173"/>
      <c r="BT40" s="174" t="str">
        <f>IF(AND(BT33=1,BT39&lt;&gt;""),BT39-BT34,"")</f>
        <v/>
      </c>
      <c r="BU40" s="182"/>
      <c r="BV40" s="179"/>
      <c r="BW40" s="173"/>
      <c r="BX40" s="174" t="str">
        <f>IF(AND(BX33=1,BX39&lt;&gt;""),BX39-BX34,"")</f>
        <v/>
      </c>
      <c r="BY40" s="182"/>
      <c r="BZ40" s="179"/>
      <c r="CA40" s="173"/>
      <c r="CB40" s="174" t="str">
        <f>IF(AND(CB33=1,CB39&lt;&gt;""),CB39-CB34,"")</f>
        <v/>
      </c>
      <c r="CC40" s="182"/>
      <c r="CD40" s="179"/>
      <c r="CE40" s="173"/>
      <c r="CF40" s="174" t="str">
        <f>IF(AND(CF33=1,CF39&lt;&gt;""),CF39-CF34,"")</f>
        <v/>
      </c>
      <c r="CG40" s="182"/>
      <c r="CH40" s="179"/>
      <c r="CI40" s="173"/>
      <c r="CJ40" s="174" t="str">
        <f>IF(AND(CJ33=1,CJ39&lt;&gt;""),CJ39-CJ34,"")</f>
        <v/>
      </c>
      <c r="CK40" s="182"/>
      <c r="CL40" s="179"/>
      <c r="CM40" s="173"/>
      <c r="CN40" s="174" t="str">
        <f>IF(AND(CN33=1,CN39&lt;&gt;""),CN39-CN34,"")</f>
        <v/>
      </c>
      <c r="CO40" s="182"/>
      <c r="CP40" s="179"/>
      <c r="CQ40" s="173"/>
      <c r="CR40" s="174" t="str">
        <f>IF(AND(CR33=1,CR39&lt;&gt;""),CR39-CR34,"")</f>
        <v/>
      </c>
      <c r="CS40" s="182"/>
      <c r="CT40" s="179"/>
      <c r="CU40" s="173"/>
      <c r="CV40" s="174" t="str">
        <f>IF(AND(CV33=1,CV39&lt;&gt;""),CV39-CV34,"")</f>
        <v/>
      </c>
      <c r="CW40" s="182"/>
      <c r="CX40" s="179"/>
      <c r="CY40" s="173"/>
      <c r="CZ40" s="174" t="str">
        <f>IF(AND(CZ33=1,CZ39&lt;&gt;""),CZ39-CZ34,"")</f>
        <v/>
      </c>
      <c r="DA40" s="182"/>
      <c r="DB40" s="179"/>
      <c r="DC40" s="173"/>
      <c r="DD40" s="174" t="str">
        <f>IF(AND(DD33=1,DD39&lt;&gt;""),DD39-DD34,"")</f>
        <v/>
      </c>
      <c r="DE40" s="182"/>
      <c r="DF40" s="179"/>
      <c r="DG40" s="173"/>
      <c r="DH40" s="174" t="str">
        <f>IF(AND(DH33=1,DH39&lt;&gt;""),DH39-DH34,"")</f>
        <v/>
      </c>
      <c r="DI40" s="182"/>
      <c r="DJ40" s="179"/>
      <c r="DK40" s="173"/>
      <c r="DL40" s="174" t="str">
        <f>IF(AND(DL33=1,DL39&lt;&gt;""),DL39-DL34,"")</f>
        <v/>
      </c>
      <c r="DM40" s="182"/>
      <c r="DN40" s="179"/>
      <c r="DO40" s="173"/>
      <c r="DP40" s="174" t="str">
        <f>IF(AND(DP33=1,DP39&lt;&gt;""),DP39-DP34,"")</f>
        <v/>
      </c>
      <c r="DQ40" s="182"/>
      <c r="DR40" s="179"/>
      <c r="DS40" s="173"/>
      <c r="DT40" s="174" t="str">
        <f>IF(AND(DT33=1,DT39&lt;&gt;""),DT39-DT34,"")</f>
        <v/>
      </c>
      <c r="DU40" s="182"/>
      <c r="DV40" s="179"/>
      <c r="DW40" s="173"/>
      <c r="DX40" s="174" t="str">
        <f>IF(AND(DX33=1,DX39&lt;&gt;""),DX39-DX34,"")</f>
        <v/>
      </c>
      <c r="DY40" s="182"/>
      <c r="DZ40" s="179"/>
      <c r="EA40" s="173"/>
      <c r="EB40" s="174" t="str">
        <f>IF(AND(EB33=1,EB39&lt;&gt;""),EB39-EB34,"")</f>
        <v/>
      </c>
      <c r="EC40" s="182"/>
      <c r="ED40" s="179"/>
      <c r="EE40" s="173"/>
      <c r="EF40" s="174" t="str">
        <f>IF(AND(EF33=1,EF39&lt;&gt;""),EF39-EF34,"")</f>
        <v/>
      </c>
      <c r="EG40" s="182"/>
      <c r="EH40" s="179"/>
      <c r="EI40" s="173"/>
      <c r="EJ40" s="174" t="str">
        <f>IF(AND(EJ33=1,EJ39&lt;&gt;""),EJ39-EJ34,"")</f>
        <v/>
      </c>
      <c r="EK40" s="182"/>
      <c r="EL40" s="179"/>
      <c r="EM40" s="173"/>
      <c r="EN40" s="174" t="str">
        <f>IF(AND(EN33=1,EN39&lt;&gt;""),EN39-EN34,"")</f>
        <v/>
      </c>
      <c r="EO40" s="182"/>
      <c r="EP40" s="179"/>
      <c r="EQ40" s="173"/>
      <c r="ER40" s="174" t="str">
        <f>IF(AND(ER33=1,ER39&lt;&gt;""),ER39-ER34,"")</f>
        <v/>
      </c>
      <c r="ES40" s="182"/>
      <c r="ET40" s="179"/>
      <c r="EU40" s="173"/>
      <c r="EV40" s="174" t="str">
        <f>IF(AND(EV33=1,EV39&lt;&gt;""),EV39-EV34,"")</f>
        <v/>
      </c>
      <c r="EW40" s="182"/>
      <c r="EX40" s="179"/>
      <c r="EY40" s="173"/>
      <c r="EZ40" s="174" t="str">
        <f>IF(AND(EZ33=1,EZ39&lt;&gt;""),EZ39-EZ34,"")</f>
        <v/>
      </c>
      <c r="FA40" s="182"/>
      <c r="FB40" s="179"/>
      <c r="FC40" s="173"/>
      <c r="FD40" s="174" t="str">
        <f>IF(AND(FD33=1,FD39&lt;&gt;""),FD39-FD34,"")</f>
        <v/>
      </c>
      <c r="FE40" s="182"/>
      <c r="FF40" s="179"/>
      <c r="FG40" s="173"/>
      <c r="FH40" s="174" t="str">
        <f>IF(AND(FH33=1,FH39&lt;&gt;""),FH39-FH34,"")</f>
        <v/>
      </c>
      <c r="FI40" s="182"/>
      <c r="FJ40" s="179"/>
      <c r="FK40" s="173"/>
      <c r="FL40" s="174" t="str">
        <f>IF(AND(FL33=1,FL39&lt;&gt;""),FL39-FL34,"")</f>
        <v/>
      </c>
      <c r="FM40" s="182"/>
      <c r="FN40" s="179"/>
      <c r="FO40" s="173"/>
      <c r="FP40" s="174" t="str">
        <f>IF(AND(FP33=1,FP39&lt;&gt;""),FP39-FP34,"")</f>
        <v/>
      </c>
      <c r="FQ40" s="182"/>
      <c r="FR40" s="179"/>
      <c r="FS40" s="173"/>
      <c r="FT40" s="174" t="str">
        <f>IF(AND(FT33=1,FT39&lt;&gt;""),FT39-FT34,"")</f>
        <v/>
      </c>
      <c r="FU40" s="182"/>
      <c r="FV40" s="179"/>
      <c r="FW40" s="173"/>
      <c r="FX40" s="174" t="str">
        <f>IF(AND(FX33=1,FX39&lt;&gt;""),FX39-FX34,"")</f>
        <v/>
      </c>
      <c r="FY40" s="182"/>
      <c r="FZ40" s="179"/>
      <c r="GA40" s="173"/>
      <c r="GB40" s="174" t="str">
        <f>IF(AND(GB33=1,GB39&lt;&gt;""),GB39-GB34,"")</f>
        <v/>
      </c>
      <c r="GC40" s="182"/>
      <c r="GD40" s="179"/>
      <c r="GE40" s="173"/>
      <c r="GF40" s="174" t="str">
        <f>IF(AND(GF33=1,GF39&lt;&gt;""),GF39-GF34,"")</f>
        <v/>
      </c>
      <c r="GG40" s="182"/>
      <c r="GH40" s="179"/>
      <c r="GI40" s="173"/>
      <c r="GJ40" s="174" t="str">
        <f>IF(AND(GJ33=1,GJ39&lt;&gt;""),GJ39-GJ34,"")</f>
        <v/>
      </c>
      <c r="GK40" s="182"/>
      <c r="GL40" s="179"/>
      <c r="GM40" s="173"/>
      <c r="GN40" s="174" t="str">
        <f>IF(AND(GN33=1,GN39&lt;&gt;""),GN39-GN34,"")</f>
        <v/>
      </c>
      <c r="GO40" s="182"/>
      <c r="GP40" s="179"/>
      <c r="GQ40" s="173"/>
      <c r="GR40" s="174" t="str">
        <f>IF(AND(GR33=1,GR39&lt;&gt;""),GR39-GR34,"")</f>
        <v/>
      </c>
      <c r="GS40" s="182"/>
      <c r="GT40" s="179"/>
      <c r="GU40" s="173"/>
      <c r="GV40" s="174" t="str">
        <f>IF(AND(GV33=1,GV39&lt;&gt;""),GV39-GV34,"")</f>
        <v/>
      </c>
      <c r="GW40" s="182"/>
    </row>
    <row r="41" spans="4:205" ht="12" x14ac:dyDescent="0.25">
      <c r="D41" s="177" t="s">
        <v>165</v>
      </c>
      <c r="E41" s="183"/>
      <c r="F41" s="180"/>
      <c r="G41" s="175"/>
      <c r="H41" s="176" t="str">
        <f>IF(AND(H33=1,H39&lt;&gt;""),H39/H34-1,"")</f>
        <v/>
      </c>
      <c r="I41" s="183"/>
      <c r="J41" s="180"/>
      <c r="K41" s="175"/>
      <c r="L41" s="176" t="str">
        <f>IF(AND(L33=1,L39&lt;&gt;""),L39/L34-1,"")</f>
        <v/>
      </c>
      <c r="M41" s="183"/>
      <c r="N41" s="180"/>
      <c r="O41" s="175"/>
      <c r="P41" s="176" t="str">
        <f>IF(AND(P33=1,P39&lt;&gt;""),P39/P34-1,"")</f>
        <v/>
      </c>
      <c r="Q41" s="183"/>
      <c r="R41" s="180"/>
      <c r="S41" s="175"/>
      <c r="T41" s="176" t="str">
        <f>IF(AND(T33=1,T39&lt;&gt;""),T39/T34-1,"")</f>
        <v/>
      </c>
      <c r="U41" s="183"/>
      <c r="V41" s="180"/>
      <c r="W41" s="175"/>
      <c r="X41" s="176" t="str">
        <f>IF(AND(X33=1,X39&lt;&gt;""),X39/X34-1,"")</f>
        <v/>
      </c>
      <c r="Y41" s="183"/>
      <c r="Z41" s="180"/>
      <c r="AA41" s="175"/>
      <c r="AB41" s="176" t="str">
        <f>IF(AND(AB33=1,AB39&lt;&gt;""),AB39/AB34-1,"")</f>
        <v/>
      </c>
      <c r="AC41" s="183"/>
      <c r="AD41" s="180"/>
      <c r="AE41" s="175"/>
      <c r="AF41" s="176" t="str">
        <f>IF(AND(AF33=1,AF39&lt;&gt;""),AF39/AF34-1,"")</f>
        <v/>
      </c>
      <c r="AG41" s="183"/>
      <c r="AH41" s="180"/>
      <c r="AI41" s="175"/>
      <c r="AJ41" s="176" t="str">
        <f>IF(AND(AJ33=1,AJ39&lt;&gt;""),AJ39/AJ34-1,"")</f>
        <v/>
      </c>
      <c r="AK41" s="183"/>
      <c r="AL41" s="180"/>
      <c r="AM41" s="175"/>
      <c r="AN41" s="176" t="str">
        <f>IF(AND(AN33=1,AN39&lt;&gt;""),AN39/AN34-1,"")</f>
        <v/>
      </c>
      <c r="AO41" s="183"/>
      <c r="AP41" s="180"/>
      <c r="AQ41" s="175"/>
      <c r="AR41" s="176" t="str">
        <f>IF(AND(AR33=1,AR39&lt;&gt;""),AR39/AR34-1,"")</f>
        <v/>
      </c>
      <c r="AS41" s="183"/>
      <c r="AT41" s="180"/>
      <c r="AU41" s="175"/>
      <c r="AV41" s="176" t="str">
        <f>IF(AND(AV33=1,AV39&lt;&gt;""),AV39/AV34-1,"")</f>
        <v/>
      </c>
      <c r="AW41" s="183"/>
      <c r="AX41" s="180"/>
      <c r="AY41" s="175"/>
      <c r="AZ41" s="176" t="str">
        <f>IF(AND(AZ33=1,AZ39&lt;&gt;""),AZ39/AZ34-1,"")</f>
        <v/>
      </c>
      <c r="BA41" s="183"/>
      <c r="BB41" s="180"/>
      <c r="BC41" s="175"/>
      <c r="BD41" s="176" t="str">
        <f>IF(AND(BD33=1,BD39&lt;&gt;""),BD39/BD34-1,"")</f>
        <v/>
      </c>
      <c r="BE41" s="183"/>
      <c r="BF41" s="180"/>
      <c r="BG41" s="175"/>
      <c r="BH41" s="176" t="str">
        <f>IF(AND(BH33=1,BH39&lt;&gt;""),BH39/BH34-1,"")</f>
        <v/>
      </c>
      <c r="BI41" s="183"/>
      <c r="BJ41" s="180"/>
      <c r="BK41" s="175"/>
      <c r="BL41" s="176" t="str">
        <f>IF(AND(BL33=1,BL39&lt;&gt;""),BL39/BL34-1,"")</f>
        <v/>
      </c>
      <c r="BM41" s="183"/>
      <c r="BN41" s="180"/>
      <c r="BO41" s="175"/>
      <c r="BP41" s="176" t="str">
        <f>IF(AND(BP33=1,BP39&lt;&gt;""),BP39/BP34-1,"")</f>
        <v/>
      </c>
      <c r="BQ41" s="183"/>
      <c r="BR41" s="180"/>
      <c r="BS41" s="175"/>
      <c r="BT41" s="176" t="str">
        <f>IF(AND(BT33=1,BT39&lt;&gt;""),BT39/BT34-1,"")</f>
        <v/>
      </c>
      <c r="BU41" s="183"/>
      <c r="BV41" s="180"/>
      <c r="BW41" s="175"/>
      <c r="BX41" s="176" t="str">
        <f>IF(AND(BX33=1,BX39&lt;&gt;""),BX39/BX34-1,"")</f>
        <v/>
      </c>
      <c r="BY41" s="183"/>
      <c r="BZ41" s="180"/>
      <c r="CA41" s="175"/>
      <c r="CB41" s="176" t="str">
        <f>IF(AND(CB33=1,CB39&lt;&gt;""),CB39/CB34-1,"")</f>
        <v/>
      </c>
      <c r="CC41" s="183"/>
      <c r="CD41" s="180"/>
      <c r="CE41" s="175"/>
      <c r="CF41" s="176" t="str">
        <f>IF(AND(CF33=1,CF39&lt;&gt;""),CF39/CF34-1,"")</f>
        <v/>
      </c>
      <c r="CG41" s="183"/>
      <c r="CH41" s="180"/>
      <c r="CI41" s="175"/>
      <c r="CJ41" s="176" t="str">
        <f>IF(AND(CJ33=1,CJ39&lt;&gt;""),CJ39/CJ34-1,"")</f>
        <v/>
      </c>
      <c r="CK41" s="183"/>
      <c r="CL41" s="180"/>
      <c r="CM41" s="175"/>
      <c r="CN41" s="176" t="str">
        <f>IF(AND(CN33=1,CN39&lt;&gt;""),CN39/CN34-1,"")</f>
        <v/>
      </c>
      <c r="CO41" s="183"/>
      <c r="CP41" s="180"/>
      <c r="CQ41" s="175"/>
      <c r="CR41" s="176" t="str">
        <f>IF(AND(CR33=1,CR39&lt;&gt;""),CR39/CR34-1,"")</f>
        <v/>
      </c>
      <c r="CS41" s="183"/>
      <c r="CT41" s="180"/>
      <c r="CU41" s="175"/>
      <c r="CV41" s="176" t="str">
        <f>IF(AND(CV33=1,CV39&lt;&gt;""),CV39/CV34-1,"")</f>
        <v/>
      </c>
      <c r="CW41" s="183"/>
      <c r="CX41" s="180"/>
      <c r="CY41" s="175"/>
      <c r="CZ41" s="176" t="str">
        <f>IF(AND(CZ33=1,CZ39&lt;&gt;""),CZ39/CZ34-1,"")</f>
        <v/>
      </c>
      <c r="DA41" s="183"/>
      <c r="DB41" s="180"/>
      <c r="DC41" s="175"/>
      <c r="DD41" s="176" t="str">
        <f>IF(AND(DD33=1,DD39&lt;&gt;""),DD39/DD34-1,"")</f>
        <v/>
      </c>
      <c r="DE41" s="183"/>
      <c r="DF41" s="180"/>
      <c r="DG41" s="175"/>
      <c r="DH41" s="176" t="str">
        <f>IF(AND(DH33=1,DH39&lt;&gt;""),DH39/DH34-1,"")</f>
        <v/>
      </c>
      <c r="DI41" s="183"/>
      <c r="DJ41" s="180"/>
      <c r="DK41" s="175"/>
      <c r="DL41" s="176" t="str">
        <f>IF(AND(DL33=1,DL39&lt;&gt;""),DL39/DL34-1,"")</f>
        <v/>
      </c>
      <c r="DM41" s="183"/>
      <c r="DN41" s="180"/>
      <c r="DO41" s="175"/>
      <c r="DP41" s="176" t="str">
        <f>IF(AND(DP33=1,DP39&lt;&gt;""),DP39/DP34-1,"")</f>
        <v/>
      </c>
      <c r="DQ41" s="183"/>
      <c r="DR41" s="180"/>
      <c r="DS41" s="175"/>
      <c r="DT41" s="176" t="str">
        <f>IF(AND(DT33=1,DT39&lt;&gt;""),DT39/DT34-1,"")</f>
        <v/>
      </c>
      <c r="DU41" s="183"/>
      <c r="DV41" s="180"/>
      <c r="DW41" s="175"/>
      <c r="DX41" s="176" t="str">
        <f>IF(AND(DX33=1,DX39&lt;&gt;""),DX39/DX34-1,"")</f>
        <v/>
      </c>
      <c r="DY41" s="183"/>
      <c r="DZ41" s="180"/>
      <c r="EA41" s="175"/>
      <c r="EB41" s="176" t="str">
        <f>IF(AND(EB33=1,EB39&lt;&gt;""),EB39/EB34-1,"")</f>
        <v/>
      </c>
      <c r="EC41" s="183"/>
      <c r="ED41" s="180"/>
      <c r="EE41" s="175"/>
      <c r="EF41" s="176" t="str">
        <f>IF(AND(EF33=1,EF39&lt;&gt;""),EF39/EF34-1,"")</f>
        <v/>
      </c>
      <c r="EG41" s="183"/>
      <c r="EH41" s="180"/>
      <c r="EI41" s="175"/>
      <c r="EJ41" s="176" t="str">
        <f>IF(AND(EJ33=1,EJ39&lt;&gt;""),EJ39/EJ34-1,"")</f>
        <v/>
      </c>
      <c r="EK41" s="183"/>
      <c r="EL41" s="180"/>
      <c r="EM41" s="175"/>
      <c r="EN41" s="176" t="str">
        <f>IF(AND(EN33=1,EN39&lt;&gt;""),EN39/EN34-1,"")</f>
        <v/>
      </c>
      <c r="EO41" s="183"/>
      <c r="EP41" s="180"/>
      <c r="EQ41" s="175"/>
      <c r="ER41" s="176" t="str">
        <f>IF(AND(ER33=1,ER39&lt;&gt;""),ER39/ER34-1,"")</f>
        <v/>
      </c>
      <c r="ES41" s="183"/>
      <c r="ET41" s="180"/>
      <c r="EU41" s="175"/>
      <c r="EV41" s="176" t="str">
        <f>IF(AND(EV33=1,EV39&lt;&gt;""),EV39/EV34-1,"")</f>
        <v/>
      </c>
      <c r="EW41" s="183"/>
      <c r="EX41" s="180"/>
      <c r="EY41" s="175"/>
      <c r="EZ41" s="176" t="str">
        <f>IF(AND(EZ33=1,EZ39&lt;&gt;""),EZ39/EZ34-1,"")</f>
        <v/>
      </c>
      <c r="FA41" s="183"/>
      <c r="FB41" s="180"/>
      <c r="FC41" s="175"/>
      <c r="FD41" s="176" t="str">
        <f>IF(AND(FD33=1,FD39&lt;&gt;""),FD39/FD34-1,"")</f>
        <v/>
      </c>
      <c r="FE41" s="183"/>
      <c r="FF41" s="180"/>
      <c r="FG41" s="175"/>
      <c r="FH41" s="176" t="str">
        <f>IF(AND(FH33=1,FH39&lt;&gt;""),FH39/FH34-1,"")</f>
        <v/>
      </c>
      <c r="FI41" s="183"/>
      <c r="FJ41" s="180"/>
      <c r="FK41" s="175"/>
      <c r="FL41" s="176" t="str">
        <f>IF(AND(FL33=1,FL39&lt;&gt;""),FL39/FL34-1,"")</f>
        <v/>
      </c>
      <c r="FM41" s="183"/>
      <c r="FN41" s="180"/>
      <c r="FO41" s="175"/>
      <c r="FP41" s="176" t="str">
        <f>IF(AND(FP33=1,FP39&lt;&gt;""),FP39/FP34-1,"")</f>
        <v/>
      </c>
      <c r="FQ41" s="183"/>
      <c r="FR41" s="180"/>
      <c r="FS41" s="175"/>
      <c r="FT41" s="176" t="str">
        <f>IF(AND(FT33=1,FT39&lt;&gt;""),FT39/FT34-1,"")</f>
        <v/>
      </c>
      <c r="FU41" s="183"/>
      <c r="FV41" s="180"/>
      <c r="FW41" s="175"/>
      <c r="FX41" s="176" t="str">
        <f>IF(AND(FX33=1,FX39&lt;&gt;""),FX39/FX34-1,"")</f>
        <v/>
      </c>
      <c r="FY41" s="183"/>
      <c r="FZ41" s="180"/>
      <c r="GA41" s="175"/>
      <c r="GB41" s="176" t="str">
        <f>IF(AND(GB33=1,GB39&lt;&gt;""),GB39/GB34-1,"")</f>
        <v/>
      </c>
      <c r="GC41" s="183"/>
      <c r="GD41" s="180"/>
      <c r="GE41" s="175"/>
      <c r="GF41" s="176" t="str">
        <f>IF(AND(GF33=1,GF39&lt;&gt;""),GF39/GF34-1,"")</f>
        <v/>
      </c>
      <c r="GG41" s="183"/>
      <c r="GH41" s="180"/>
      <c r="GI41" s="175"/>
      <c r="GJ41" s="176" t="str">
        <f>IF(AND(GJ33=1,GJ39&lt;&gt;""),GJ39/GJ34-1,"")</f>
        <v/>
      </c>
      <c r="GK41" s="183"/>
      <c r="GL41" s="180"/>
      <c r="GM41" s="175"/>
      <c r="GN41" s="176" t="str">
        <f>IF(AND(GN33=1,GN39&lt;&gt;""),GN39/GN34-1,"")</f>
        <v/>
      </c>
      <c r="GO41" s="183"/>
      <c r="GP41" s="180"/>
      <c r="GQ41" s="175"/>
      <c r="GR41" s="176" t="str">
        <f>IF(AND(GR33=1,GR39&lt;&gt;""),GR39/GR34-1,"")</f>
        <v/>
      </c>
      <c r="GS41" s="183"/>
      <c r="GT41" s="180"/>
      <c r="GU41" s="175"/>
      <c r="GV41" s="176" t="str">
        <f>IF(AND(GV33=1,GV39&lt;&gt;""),GV39/GV34-1,"")</f>
        <v/>
      </c>
      <c r="GW41" s="183"/>
    </row>
  </sheetData>
  <sheetProtection algorithmName="SHA-512" hashValue="fPocLznbIzNp0pJCnc25UfvqLAlKHmcBXmIHPk88DoeeWP6YQrUkun01OWKbmRL5UG89clf80rrQ0IZO2Dkmyg==" saltValue="A4looQXpWOvk+h3O7Lq5rw==" spinCount="100000" sheet="1" objects="1" scenarios="1"/>
  <pageMargins left="0.7" right="0.7"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E1D03724-E7EB-447E-B4EF-2EE86EB16FAB}">
          <x14:formula1>
            <xm:f>Lists!$C$3:$C$4</xm:f>
          </x14:formula1>
          <xm:sqref>E11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CF8B5-AC52-4311-8057-00589EC0EC79}">
  <sheetPr codeName="Sheet3"/>
  <dimension ref="C3:L103"/>
  <sheetViews>
    <sheetView zoomScaleNormal="100" workbookViewId="0"/>
  </sheetViews>
  <sheetFormatPr defaultRowHeight="11.4" x14ac:dyDescent="0.2"/>
  <cols>
    <col min="1" max="2" width="5.625" customWidth="1"/>
    <col min="3" max="3" width="51.25" customWidth="1"/>
    <col min="4" max="4" width="56.125" bestFit="1" customWidth="1"/>
    <col min="5" max="12" width="21.125" customWidth="1"/>
  </cols>
  <sheetData>
    <row r="3" spans="3:12" x14ac:dyDescent="0.2">
      <c r="C3" s="137" t="s">
        <v>603</v>
      </c>
    </row>
    <row r="4" spans="3:12" x14ac:dyDescent="0.2">
      <c r="C4" s="137" t="s">
        <v>604</v>
      </c>
    </row>
    <row r="7" spans="3:12" ht="12" x14ac:dyDescent="0.25">
      <c r="C7" s="136" t="s">
        <v>145</v>
      </c>
    </row>
    <row r="9" spans="3:12" ht="12" x14ac:dyDescent="0.25">
      <c r="C9" s="152" t="s">
        <v>574</v>
      </c>
      <c r="D9" s="152" t="s">
        <v>575</v>
      </c>
      <c r="E9" s="152" t="s">
        <v>584</v>
      </c>
    </row>
    <row r="10" spans="3:12" x14ac:dyDescent="0.2">
      <c r="C10" s="137" t="s">
        <v>585</v>
      </c>
      <c r="D10" s="137" t="s">
        <v>587</v>
      </c>
      <c r="E10" s="137" t="s">
        <v>576</v>
      </c>
      <c r="F10" s="137" t="s">
        <v>578</v>
      </c>
      <c r="G10" s="137" t="s">
        <v>579</v>
      </c>
      <c r="H10" s="137" t="s">
        <v>580</v>
      </c>
    </row>
    <row r="11" spans="3:12" x14ac:dyDescent="0.2">
      <c r="C11" s="137" t="s">
        <v>586</v>
      </c>
      <c r="D11" s="137" t="s">
        <v>588</v>
      </c>
      <c r="E11" s="137" t="s">
        <v>576</v>
      </c>
      <c r="F11" s="137" t="s">
        <v>578</v>
      </c>
      <c r="G11" s="137" t="s">
        <v>579</v>
      </c>
      <c r="H11" s="137" t="s">
        <v>580</v>
      </c>
    </row>
    <row r="12" spans="3:12" x14ac:dyDescent="0.2">
      <c r="C12" s="137" t="s">
        <v>581</v>
      </c>
      <c r="D12" s="137" t="s">
        <v>577</v>
      </c>
      <c r="E12" s="137" t="s">
        <v>576</v>
      </c>
      <c r="F12" s="137" t="s">
        <v>578</v>
      </c>
      <c r="G12" s="137" t="s">
        <v>579</v>
      </c>
      <c r="H12" s="137" t="s">
        <v>580</v>
      </c>
    </row>
    <row r="13" spans="3:12" x14ac:dyDescent="0.2">
      <c r="C13" s="137" t="s">
        <v>582</v>
      </c>
      <c r="D13" s="137" t="s">
        <v>583</v>
      </c>
      <c r="E13" s="137" t="s">
        <v>576</v>
      </c>
      <c r="F13" s="137" t="s">
        <v>578</v>
      </c>
      <c r="G13" s="137" t="s">
        <v>579</v>
      </c>
      <c r="H13" s="137" t="s">
        <v>580</v>
      </c>
    </row>
    <row r="14" spans="3:12" x14ac:dyDescent="0.2">
      <c r="C14" s="137" t="s">
        <v>252</v>
      </c>
      <c r="D14" s="137"/>
      <c r="E14" s="137"/>
      <c r="F14" s="137"/>
      <c r="G14" s="137"/>
      <c r="H14" s="137"/>
      <c r="I14" s="137"/>
      <c r="J14" s="137"/>
      <c r="K14" s="137"/>
      <c r="L14" s="137"/>
    </row>
    <row r="15" spans="3:12" x14ac:dyDescent="0.2">
      <c r="C15" s="137" t="s">
        <v>170</v>
      </c>
      <c r="D15" s="137"/>
      <c r="E15" s="137"/>
      <c r="F15" s="137"/>
      <c r="G15" s="137"/>
      <c r="H15" s="137"/>
      <c r="I15" s="137"/>
      <c r="J15" s="137"/>
      <c r="K15" s="137"/>
      <c r="L15" s="137"/>
    </row>
    <row r="16" spans="3:12" x14ac:dyDescent="0.2">
      <c r="C16" s="137" t="s">
        <v>249</v>
      </c>
      <c r="D16" s="137"/>
      <c r="E16" s="137"/>
      <c r="F16" s="137"/>
      <c r="G16" s="137"/>
      <c r="H16" s="137"/>
      <c r="I16" s="137"/>
      <c r="J16" s="137"/>
      <c r="K16" s="137"/>
      <c r="L16" s="137"/>
    </row>
    <row r="17" spans="3:12" x14ac:dyDescent="0.2">
      <c r="C17" s="137" t="s">
        <v>234</v>
      </c>
      <c r="D17" s="137"/>
      <c r="E17" s="137"/>
      <c r="F17" s="137"/>
      <c r="G17" s="137"/>
      <c r="H17" s="137"/>
      <c r="I17" s="137"/>
      <c r="J17" s="137"/>
      <c r="K17" s="137"/>
      <c r="L17" s="137"/>
    </row>
    <row r="18" spans="3:12" x14ac:dyDescent="0.2">
      <c r="C18" s="137" t="s">
        <v>243</v>
      </c>
      <c r="D18" s="137"/>
      <c r="E18" s="137"/>
      <c r="F18" s="137"/>
      <c r="G18" s="137"/>
      <c r="H18" s="137"/>
      <c r="I18" s="137"/>
      <c r="J18" s="137"/>
      <c r="K18" s="137"/>
      <c r="L18" s="137"/>
    </row>
    <row r="19" spans="3:12" x14ac:dyDescent="0.2">
      <c r="C19" s="137" t="s">
        <v>259</v>
      </c>
      <c r="D19" s="137"/>
      <c r="E19" s="137"/>
      <c r="F19" s="137"/>
      <c r="G19" s="137"/>
      <c r="H19" s="137"/>
      <c r="I19" s="137"/>
      <c r="J19" s="137"/>
      <c r="K19" s="137"/>
      <c r="L19" s="137"/>
    </row>
    <row r="20" spans="3:12" x14ac:dyDescent="0.2">
      <c r="C20" s="137" t="s">
        <v>192</v>
      </c>
      <c r="D20" s="137"/>
      <c r="E20" s="137"/>
      <c r="F20" s="137"/>
      <c r="G20" s="137"/>
      <c r="H20" s="137"/>
      <c r="I20" s="137"/>
      <c r="J20" s="137"/>
      <c r="K20" s="137"/>
      <c r="L20" s="137"/>
    </row>
    <row r="21" spans="3:12" x14ac:dyDescent="0.2">
      <c r="C21" s="137" t="s">
        <v>194</v>
      </c>
      <c r="D21" s="137"/>
      <c r="E21" s="137"/>
      <c r="F21" s="137"/>
      <c r="G21" s="137"/>
      <c r="H21" s="137"/>
      <c r="I21" s="137"/>
      <c r="J21" s="137"/>
      <c r="K21" s="137"/>
      <c r="L21" s="137"/>
    </row>
    <row r="22" spans="3:12" x14ac:dyDescent="0.2">
      <c r="C22" s="137" t="s">
        <v>199</v>
      </c>
      <c r="D22" s="137"/>
      <c r="E22" s="137"/>
      <c r="F22" s="137"/>
      <c r="G22" s="137"/>
      <c r="H22" s="137"/>
      <c r="I22" s="137"/>
      <c r="J22" s="137"/>
      <c r="K22" s="137"/>
      <c r="L22" s="137"/>
    </row>
    <row r="23" spans="3:12" x14ac:dyDescent="0.2">
      <c r="C23" s="137" t="s">
        <v>166</v>
      </c>
      <c r="D23" s="137"/>
      <c r="E23" s="137"/>
      <c r="F23" s="137"/>
      <c r="G23" s="137"/>
      <c r="H23" s="137"/>
      <c r="I23" s="137"/>
      <c r="J23" s="137"/>
      <c r="K23" s="137"/>
      <c r="L23" s="137"/>
    </row>
    <row r="24" spans="3:12" x14ac:dyDescent="0.2">
      <c r="C24" s="137" t="s">
        <v>190</v>
      </c>
      <c r="D24" s="137"/>
      <c r="E24" s="137"/>
      <c r="F24" s="137"/>
      <c r="G24" s="137"/>
      <c r="H24" s="137"/>
      <c r="I24" s="137"/>
      <c r="J24" s="137"/>
      <c r="K24" s="137"/>
      <c r="L24" s="137"/>
    </row>
    <row r="25" spans="3:12" x14ac:dyDescent="0.2">
      <c r="C25" s="137" t="s">
        <v>201</v>
      </c>
      <c r="D25" s="137"/>
      <c r="E25" s="137"/>
      <c r="F25" s="137"/>
      <c r="G25" s="137"/>
      <c r="H25" s="137"/>
      <c r="I25" s="137"/>
      <c r="J25" s="137"/>
      <c r="K25" s="137"/>
      <c r="L25" s="137"/>
    </row>
    <row r="26" spans="3:12" x14ac:dyDescent="0.2">
      <c r="C26" s="137" t="s">
        <v>196</v>
      </c>
      <c r="D26" s="137"/>
      <c r="E26" s="137"/>
      <c r="F26" s="137"/>
      <c r="G26" s="137"/>
      <c r="H26" s="137"/>
      <c r="I26" s="137"/>
      <c r="J26" s="137"/>
      <c r="K26" s="137"/>
      <c r="L26" s="137"/>
    </row>
    <row r="27" spans="3:12" x14ac:dyDescent="0.2">
      <c r="C27" s="137" t="s">
        <v>246</v>
      </c>
      <c r="D27" s="137"/>
      <c r="E27" s="137"/>
      <c r="F27" s="137"/>
      <c r="G27" s="137"/>
      <c r="H27" s="137"/>
      <c r="I27" s="137"/>
      <c r="J27" s="137"/>
      <c r="K27" s="137"/>
      <c r="L27" s="137"/>
    </row>
    <row r="28" spans="3:12" x14ac:dyDescent="0.2">
      <c r="C28" s="137" t="s">
        <v>255</v>
      </c>
      <c r="D28" s="137"/>
      <c r="E28" s="137"/>
      <c r="F28" s="137"/>
      <c r="G28" s="137"/>
      <c r="H28" s="137"/>
      <c r="I28" s="137"/>
      <c r="J28" s="137"/>
      <c r="K28" s="137"/>
      <c r="L28" s="137"/>
    </row>
    <row r="29" spans="3:12" x14ac:dyDescent="0.2">
      <c r="C29" s="137" t="s">
        <v>226</v>
      </c>
      <c r="D29" s="137"/>
      <c r="E29" s="137"/>
      <c r="F29" s="137"/>
      <c r="G29" s="137"/>
      <c r="H29" s="137"/>
      <c r="I29" s="137"/>
      <c r="J29" s="137"/>
      <c r="K29" s="137"/>
      <c r="L29" s="137"/>
    </row>
    <row r="30" spans="3:12" x14ac:dyDescent="0.2">
      <c r="C30" s="137" t="s">
        <v>238</v>
      </c>
      <c r="D30" s="137"/>
      <c r="E30" s="137"/>
      <c r="F30" s="137"/>
      <c r="G30" s="137"/>
      <c r="H30" s="137"/>
      <c r="I30" s="137"/>
      <c r="J30" s="137"/>
      <c r="K30" s="137"/>
      <c r="L30" s="137"/>
    </row>
    <row r="31" spans="3:12" x14ac:dyDescent="0.2">
      <c r="C31" s="137" t="s">
        <v>241</v>
      </c>
      <c r="D31" s="137"/>
      <c r="E31" s="137"/>
      <c r="F31" s="137"/>
      <c r="G31" s="137"/>
      <c r="H31" s="137"/>
      <c r="I31" s="137"/>
      <c r="J31" s="137"/>
      <c r="K31" s="137"/>
      <c r="L31" s="137"/>
    </row>
    <row r="32" spans="3:12" x14ac:dyDescent="0.2">
      <c r="C32" s="137" t="s">
        <v>172</v>
      </c>
      <c r="D32" s="137"/>
      <c r="E32" s="137"/>
      <c r="F32" s="137"/>
      <c r="G32" s="137"/>
      <c r="H32" s="137"/>
      <c r="I32" s="137"/>
      <c r="J32" s="137"/>
      <c r="K32" s="137"/>
      <c r="L32" s="137"/>
    </row>
    <row r="33" spans="3:12" x14ac:dyDescent="0.2">
      <c r="C33" s="137" t="s">
        <v>228</v>
      </c>
      <c r="D33" s="137"/>
      <c r="E33" s="137"/>
      <c r="F33" s="137"/>
      <c r="G33" s="137"/>
      <c r="H33" s="137"/>
      <c r="I33" s="137"/>
      <c r="J33" s="137"/>
      <c r="K33" s="137"/>
      <c r="L33" s="137"/>
    </row>
    <row r="34" spans="3:12" x14ac:dyDescent="0.2">
      <c r="C34" s="137" t="s">
        <v>566</v>
      </c>
      <c r="D34" s="137" t="s">
        <v>573</v>
      </c>
      <c r="E34" s="137" t="s">
        <v>670</v>
      </c>
      <c r="F34" s="137" t="s">
        <v>565</v>
      </c>
      <c r="G34" s="137"/>
      <c r="H34" s="137"/>
      <c r="I34" s="137"/>
      <c r="J34" s="137"/>
      <c r="K34" s="137"/>
      <c r="L34" s="137"/>
    </row>
    <row r="35" spans="3:12" x14ac:dyDescent="0.2">
      <c r="C35" s="137" t="s">
        <v>564</v>
      </c>
      <c r="D35" s="137" t="s">
        <v>572</v>
      </c>
      <c r="E35" s="137" t="s">
        <v>670</v>
      </c>
      <c r="F35" s="137" t="s">
        <v>565</v>
      </c>
      <c r="G35" s="137"/>
      <c r="H35" s="137"/>
      <c r="I35" s="137"/>
      <c r="J35" s="137"/>
      <c r="K35" s="137"/>
      <c r="L35" s="137"/>
    </row>
    <row r="36" spans="3:12" x14ac:dyDescent="0.2">
      <c r="C36" s="137" t="s">
        <v>221</v>
      </c>
      <c r="D36" s="137"/>
      <c r="E36" s="137"/>
      <c r="F36" s="137"/>
      <c r="G36" s="137"/>
      <c r="H36" s="137"/>
      <c r="I36" s="137"/>
      <c r="J36" s="137"/>
      <c r="K36" s="137"/>
      <c r="L36" s="137"/>
    </row>
    <row r="37" spans="3:12" x14ac:dyDescent="0.2">
      <c r="C37" s="137" t="s">
        <v>223</v>
      </c>
      <c r="D37" s="137"/>
      <c r="E37" s="137"/>
      <c r="F37" s="137"/>
      <c r="G37" s="137"/>
      <c r="H37" s="137"/>
      <c r="I37" s="137"/>
      <c r="J37" s="137"/>
      <c r="K37" s="137"/>
      <c r="L37" s="137"/>
    </row>
    <row r="38" spans="3:12" x14ac:dyDescent="0.2">
      <c r="C38" s="137" t="s">
        <v>257</v>
      </c>
      <c r="D38" s="137"/>
      <c r="E38" s="137"/>
      <c r="F38" s="137"/>
      <c r="G38" s="137"/>
      <c r="H38" s="137"/>
      <c r="I38" s="137"/>
      <c r="J38" s="137"/>
      <c r="K38" s="137"/>
      <c r="L38" s="137"/>
    </row>
    <row r="39" spans="3:12" x14ac:dyDescent="0.2">
      <c r="C39" s="139" t="s">
        <v>208</v>
      </c>
      <c r="D39" s="137"/>
      <c r="E39" s="137"/>
      <c r="F39" s="137"/>
      <c r="G39" s="137"/>
      <c r="H39" s="137"/>
      <c r="I39" s="137"/>
      <c r="J39" s="137"/>
      <c r="K39" s="137"/>
      <c r="L39" s="137"/>
    </row>
    <row r="40" spans="3:12" x14ac:dyDescent="0.2">
      <c r="C40" s="137" t="s">
        <v>206</v>
      </c>
      <c r="D40" s="137"/>
      <c r="E40" s="137"/>
      <c r="F40" s="137"/>
      <c r="G40" s="137"/>
      <c r="H40" s="137"/>
      <c r="I40" s="137"/>
      <c r="J40" s="137"/>
      <c r="K40" s="137"/>
      <c r="L40" s="137"/>
    </row>
    <row r="41" spans="3:12" x14ac:dyDescent="0.2">
      <c r="C41" s="137" t="s">
        <v>210</v>
      </c>
      <c r="D41" s="137"/>
      <c r="E41" s="137"/>
      <c r="F41" s="137"/>
      <c r="G41" s="137"/>
      <c r="H41" s="137"/>
      <c r="I41" s="137"/>
      <c r="J41" s="137"/>
      <c r="K41" s="137"/>
      <c r="L41" s="137"/>
    </row>
    <row r="44" spans="3:12" ht="12" x14ac:dyDescent="0.25">
      <c r="C44" s="136" t="s">
        <v>174</v>
      </c>
    </row>
    <row r="46" spans="3:12" ht="12" x14ac:dyDescent="0.25">
      <c r="C46" s="152" t="s">
        <v>574</v>
      </c>
      <c r="D46" s="152" t="s">
        <v>575</v>
      </c>
      <c r="E46" s="152" t="s">
        <v>584</v>
      </c>
    </row>
    <row r="47" spans="3:12" x14ac:dyDescent="0.2">
      <c r="C47" s="137" t="s">
        <v>663</v>
      </c>
      <c r="D47" s="137" t="s">
        <v>619</v>
      </c>
      <c r="E47" s="137" t="s">
        <v>612</v>
      </c>
      <c r="F47" s="137" t="s">
        <v>613</v>
      </c>
      <c r="G47" s="137" t="s">
        <v>614</v>
      </c>
      <c r="H47" s="137"/>
      <c r="I47" s="137"/>
      <c r="J47" s="137"/>
    </row>
    <row r="48" spans="3:12" x14ac:dyDescent="0.2">
      <c r="C48" s="137" t="s">
        <v>308</v>
      </c>
      <c r="D48" s="137"/>
      <c r="E48" s="137"/>
      <c r="F48" s="137"/>
      <c r="G48" s="137"/>
      <c r="H48" s="137"/>
      <c r="I48" s="137"/>
      <c r="J48" s="137"/>
    </row>
    <row r="49" spans="3:10" x14ac:dyDescent="0.2">
      <c r="C49" s="154" t="s">
        <v>585</v>
      </c>
      <c r="D49" s="154" t="s">
        <v>587</v>
      </c>
      <c r="E49" s="154" t="s">
        <v>576</v>
      </c>
      <c r="F49" s="154" t="s">
        <v>578</v>
      </c>
      <c r="G49" s="154" t="s">
        <v>579</v>
      </c>
      <c r="H49" s="154" t="s">
        <v>580</v>
      </c>
      <c r="I49" s="137"/>
      <c r="J49" s="137"/>
    </row>
    <row r="50" spans="3:10" x14ac:dyDescent="0.2">
      <c r="C50" s="154" t="s">
        <v>586</v>
      </c>
      <c r="D50" s="154" t="s">
        <v>588</v>
      </c>
      <c r="E50" s="154" t="s">
        <v>576</v>
      </c>
      <c r="F50" s="154" t="s">
        <v>578</v>
      </c>
      <c r="G50" s="154" t="s">
        <v>579</v>
      </c>
      <c r="H50" s="154" t="s">
        <v>580</v>
      </c>
      <c r="I50" s="137"/>
      <c r="J50" s="137"/>
    </row>
    <row r="51" spans="3:10" x14ac:dyDescent="0.2">
      <c r="C51" s="154" t="s">
        <v>581</v>
      </c>
      <c r="D51" s="154" t="s">
        <v>577</v>
      </c>
      <c r="E51" s="154" t="s">
        <v>576</v>
      </c>
      <c r="F51" s="154" t="s">
        <v>578</v>
      </c>
      <c r="G51" s="154" t="s">
        <v>579</v>
      </c>
      <c r="H51" s="154" t="s">
        <v>580</v>
      </c>
      <c r="I51" s="137"/>
      <c r="J51" s="137"/>
    </row>
    <row r="52" spans="3:10" x14ac:dyDescent="0.2">
      <c r="C52" s="154" t="s">
        <v>582</v>
      </c>
      <c r="D52" s="154" t="s">
        <v>583</v>
      </c>
      <c r="E52" s="154" t="s">
        <v>576</v>
      </c>
      <c r="F52" s="154" t="s">
        <v>578</v>
      </c>
      <c r="G52" s="154" t="s">
        <v>579</v>
      </c>
      <c r="H52" s="154" t="s">
        <v>580</v>
      </c>
      <c r="I52" s="137"/>
      <c r="J52" s="137"/>
    </row>
    <row r="53" spans="3:10" x14ac:dyDescent="0.2">
      <c r="C53" s="137" t="s">
        <v>295</v>
      </c>
      <c r="D53" s="137"/>
      <c r="E53" s="137"/>
      <c r="F53" s="137"/>
      <c r="G53" s="137"/>
      <c r="H53" s="137"/>
      <c r="I53" s="137"/>
      <c r="J53" s="137"/>
    </row>
    <row r="54" spans="3:10" x14ac:dyDescent="0.2">
      <c r="C54" s="137" t="s">
        <v>310</v>
      </c>
      <c r="D54" s="137"/>
      <c r="E54" s="137"/>
      <c r="F54" s="137"/>
      <c r="G54" s="137"/>
      <c r="H54" s="137"/>
      <c r="I54" s="137"/>
      <c r="J54" s="137"/>
    </row>
    <row r="55" spans="3:10" x14ac:dyDescent="0.2">
      <c r="C55" s="137" t="s">
        <v>312</v>
      </c>
      <c r="D55" s="137"/>
      <c r="E55" s="137"/>
      <c r="F55" s="137"/>
      <c r="G55" s="137"/>
      <c r="H55" s="137"/>
      <c r="I55" s="137"/>
      <c r="J55" s="137"/>
    </row>
    <row r="56" spans="3:10" x14ac:dyDescent="0.2">
      <c r="C56" s="137" t="s">
        <v>317</v>
      </c>
      <c r="D56" s="137"/>
      <c r="E56" s="137"/>
      <c r="F56" s="137"/>
      <c r="G56" s="137"/>
      <c r="H56" s="137"/>
      <c r="I56" s="137"/>
      <c r="J56" s="137"/>
    </row>
    <row r="57" spans="3:10" x14ac:dyDescent="0.2">
      <c r="C57" s="137" t="s">
        <v>660</v>
      </c>
      <c r="D57" s="137" t="s">
        <v>618</v>
      </c>
      <c r="E57" s="137" t="s">
        <v>643</v>
      </c>
      <c r="F57" s="137" t="s">
        <v>644</v>
      </c>
      <c r="G57" s="137" t="s">
        <v>645</v>
      </c>
      <c r="H57" s="137"/>
      <c r="I57" s="137"/>
      <c r="J57" s="137"/>
    </row>
    <row r="58" spans="3:10" x14ac:dyDescent="0.2">
      <c r="C58" s="137" t="s">
        <v>303</v>
      </c>
      <c r="D58" s="137"/>
      <c r="E58" s="137"/>
      <c r="F58" s="137"/>
      <c r="G58" s="137"/>
      <c r="H58" s="137"/>
      <c r="I58" s="137"/>
      <c r="J58" s="137"/>
    </row>
    <row r="59" spans="3:10" x14ac:dyDescent="0.2">
      <c r="C59" s="137" t="s">
        <v>333</v>
      </c>
      <c r="D59" s="137"/>
      <c r="E59" s="137"/>
      <c r="F59" s="137"/>
      <c r="G59" s="137"/>
      <c r="H59" s="137"/>
      <c r="I59" s="137"/>
      <c r="J59" s="137"/>
    </row>
    <row r="60" spans="3:10" x14ac:dyDescent="0.2">
      <c r="C60" s="137" t="s">
        <v>331</v>
      </c>
      <c r="D60" s="137"/>
      <c r="E60" s="137"/>
      <c r="F60" s="137"/>
      <c r="G60" s="137"/>
      <c r="H60" s="137"/>
      <c r="I60" s="137"/>
      <c r="J60" s="137"/>
    </row>
    <row r="61" spans="3:10" x14ac:dyDescent="0.2">
      <c r="C61" s="137" t="s">
        <v>621</v>
      </c>
      <c r="D61" s="137" t="s">
        <v>620</v>
      </c>
      <c r="E61" s="154" t="s">
        <v>611</v>
      </c>
      <c r="F61" s="154" t="s">
        <v>606</v>
      </c>
      <c r="G61" s="154" t="s">
        <v>607</v>
      </c>
      <c r="H61" s="154" t="s">
        <v>608</v>
      </c>
      <c r="I61" s="154" t="s">
        <v>609</v>
      </c>
      <c r="J61" s="154" t="s">
        <v>610</v>
      </c>
    </row>
    <row r="62" spans="3:10" x14ac:dyDescent="0.2">
      <c r="C62" s="137" t="s">
        <v>636</v>
      </c>
      <c r="D62" s="137" t="s">
        <v>659</v>
      </c>
      <c r="E62" s="154" t="s">
        <v>630</v>
      </c>
      <c r="F62" s="154" t="s">
        <v>631</v>
      </c>
      <c r="G62" s="154" t="s">
        <v>632</v>
      </c>
      <c r="H62" s="154" t="s">
        <v>633</v>
      </c>
      <c r="I62" s="154" t="s">
        <v>634</v>
      </c>
      <c r="J62" s="154" t="s">
        <v>635</v>
      </c>
    </row>
    <row r="63" spans="3:10" x14ac:dyDescent="0.2">
      <c r="C63" s="137" t="s">
        <v>622</v>
      </c>
      <c r="D63" s="137" t="s">
        <v>623</v>
      </c>
      <c r="E63" s="154" t="s">
        <v>611</v>
      </c>
      <c r="F63" s="154" t="s">
        <v>606</v>
      </c>
      <c r="G63" s="154" t="s">
        <v>607</v>
      </c>
      <c r="H63" s="154" t="s">
        <v>608</v>
      </c>
      <c r="I63" s="154" t="s">
        <v>609</v>
      </c>
      <c r="J63" s="154" t="s">
        <v>610</v>
      </c>
    </row>
    <row r="66" spans="3:8" ht="12" x14ac:dyDescent="0.25">
      <c r="C66" s="136" t="s">
        <v>671</v>
      </c>
    </row>
    <row r="68" spans="3:8" ht="12" x14ac:dyDescent="0.25">
      <c r="C68" s="152" t="s">
        <v>574</v>
      </c>
      <c r="D68" s="152" t="s">
        <v>575</v>
      </c>
      <c r="E68" s="152" t="s">
        <v>584</v>
      </c>
    </row>
    <row r="69" spans="3:8" x14ac:dyDescent="0.2">
      <c r="C69" s="137" t="s">
        <v>336</v>
      </c>
      <c r="D69" s="137" t="s">
        <v>675</v>
      </c>
      <c r="E69" s="137" t="s">
        <v>338</v>
      </c>
      <c r="F69" s="137" t="s">
        <v>340</v>
      </c>
      <c r="G69" s="137" t="s">
        <v>342</v>
      </c>
    </row>
    <row r="70" spans="3:8" x14ac:dyDescent="0.2">
      <c r="C70" s="137" t="s">
        <v>376</v>
      </c>
    </row>
    <row r="71" spans="3:8" x14ac:dyDescent="0.2">
      <c r="C71" s="137" t="s">
        <v>378</v>
      </c>
    </row>
    <row r="72" spans="3:8" x14ac:dyDescent="0.2">
      <c r="C72" s="137" t="s">
        <v>392</v>
      </c>
    </row>
    <row r="73" spans="3:8" x14ac:dyDescent="0.2">
      <c r="C73" s="137" t="s">
        <v>388</v>
      </c>
    </row>
    <row r="74" spans="3:8" x14ac:dyDescent="0.2">
      <c r="C74" s="137" t="s">
        <v>390</v>
      </c>
    </row>
    <row r="75" spans="3:8" x14ac:dyDescent="0.2">
      <c r="C75" s="137" t="s">
        <v>386</v>
      </c>
    </row>
    <row r="76" spans="3:8" x14ac:dyDescent="0.2">
      <c r="C76" s="137" t="s">
        <v>382</v>
      </c>
    </row>
    <row r="77" spans="3:8" x14ac:dyDescent="0.2">
      <c r="C77" s="137" t="s">
        <v>384</v>
      </c>
    </row>
    <row r="78" spans="3:8" x14ac:dyDescent="0.2">
      <c r="C78" s="137" t="s">
        <v>354</v>
      </c>
    </row>
    <row r="79" spans="3:8" x14ac:dyDescent="0.2">
      <c r="C79" s="137" t="s">
        <v>356</v>
      </c>
    </row>
    <row r="80" spans="3:8" x14ac:dyDescent="0.2">
      <c r="C80" s="137" t="s">
        <v>394</v>
      </c>
      <c r="D80" s="137" t="s">
        <v>676</v>
      </c>
      <c r="E80" s="137" t="s">
        <v>396</v>
      </c>
      <c r="F80" s="137" t="s">
        <v>399</v>
      </c>
      <c r="G80" s="137" t="s">
        <v>402</v>
      </c>
      <c r="H80" s="137" t="s">
        <v>404</v>
      </c>
    </row>
    <row r="81" spans="3:12" x14ac:dyDescent="0.2">
      <c r="C81" s="137" t="s">
        <v>500</v>
      </c>
    </row>
    <row r="82" spans="3:12" x14ac:dyDescent="0.2">
      <c r="C82" s="137" t="s">
        <v>352</v>
      </c>
    </row>
    <row r="83" spans="3:12" x14ac:dyDescent="0.2">
      <c r="C83" s="137" t="s">
        <v>344</v>
      </c>
      <c r="D83" s="137" t="s">
        <v>672</v>
      </c>
      <c r="E83" s="137" t="s">
        <v>346</v>
      </c>
      <c r="F83" s="137" t="s">
        <v>348</v>
      </c>
    </row>
    <row r="84" spans="3:12" x14ac:dyDescent="0.2">
      <c r="C84" s="137" t="s">
        <v>439</v>
      </c>
      <c r="D84" s="137" t="s">
        <v>718</v>
      </c>
      <c r="E84" s="137" t="s">
        <v>441</v>
      </c>
      <c r="F84" s="137" t="s">
        <v>443</v>
      </c>
    </row>
    <row r="85" spans="3:12" x14ac:dyDescent="0.2">
      <c r="C85" s="137" t="s">
        <v>498</v>
      </c>
    </row>
    <row r="86" spans="3:12" x14ac:dyDescent="0.2">
      <c r="C86" s="137" t="s">
        <v>502</v>
      </c>
    </row>
    <row r="87" spans="3:12" x14ac:dyDescent="0.2">
      <c r="C87" s="137" t="s">
        <v>445</v>
      </c>
      <c r="D87" s="137" t="s">
        <v>719</v>
      </c>
      <c r="E87" s="137" t="s">
        <v>725</v>
      </c>
      <c r="F87" s="137" t="s">
        <v>726</v>
      </c>
      <c r="G87" s="137" t="s">
        <v>727</v>
      </c>
      <c r="H87" s="137" t="s">
        <v>450</v>
      </c>
      <c r="I87" s="137" t="s">
        <v>452</v>
      </c>
      <c r="J87" s="137" t="s">
        <v>454</v>
      </c>
      <c r="K87" s="137" t="s">
        <v>456</v>
      </c>
      <c r="L87" s="137" t="s">
        <v>458</v>
      </c>
    </row>
    <row r="88" spans="3:12" x14ac:dyDescent="0.2">
      <c r="C88" s="137" t="s">
        <v>470</v>
      </c>
    </row>
    <row r="89" spans="3:12" x14ac:dyDescent="0.2">
      <c r="C89" s="137" t="s">
        <v>460</v>
      </c>
      <c r="D89" s="137" t="s">
        <v>720</v>
      </c>
      <c r="E89" s="137" t="s">
        <v>462</v>
      </c>
      <c r="F89" s="137" t="s">
        <v>464</v>
      </c>
      <c r="G89" s="137" t="s">
        <v>466</v>
      </c>
      <c r="H89" s="137" t="s">
        <v>468</v>
      </c>
    </row>
    <row r="90" spans="3:12" x14ac:dyDescent="0.2">
      <c r="C90" s="137" t="s">
        <v>472</v>
      </c>
      <c r="D90" s="137" t="s">
        <v>721</v>
      </c>
      <c r="E90" s="137" t="s">
        <v>474</v>
      </c>
      <c r="F90" s="137" t="s">
        <v>476</v>
      </c>
      <c r="G90" s="137" t="s">
        <v>478</v>
      </c>
      <c r="H90" s="137" t="s">
        <v>480</v>
      </c>
    </row>
    <row r="91" spans="3:12" x14ac:dyDescent="0.2">
      <c r="C91" s="137" t="s">
        <v>407</v>
      </c>
      <c r="D91" s="137" t="s">
        <v>677</v>
      </c>
      <c r="E91" s="137" t="s">
        <v>409</v>
      </c>
      <c r="F91" s="137" t="s">
        <v>411</v>
      </c>
      <c r="G91" s="137" t="s">
        <v>413</v>
      </c>
      <c r="H91" s="137" t="s">
        <v>415</v>
      </c>
      <c r="I91" s="137" t="s">
        <v>417</v>
      </c>
      <c r="J91" s="137" t="s">
        <v>419</v>
      </c>
      <c r="K91" s="137" t="s">
        <v>421</v>
      </c>
    </row>
    <row r="92" spans="3:12" x14ac:dyDescent="0.2">
      <c r="C92" s="137" t="s">
        <v>350</v>
      </c>
    </row>
    <row r="93" spans="3:12" x14ac:dyDescent="0.2">
      <c r="C93" s="137" t="s">
        <v>423</v>
      </c>
    </row>
    <row r="94" spans="3:12" x14ac:dyDescent="0.2">
      <c r="C94" s="137" t="s">
        <v>425</v>
      </c>
      <c r="D94" s="137" t="s">
        <v>681</v>
      </c>
      <c r="E94" s="137" t="s">
        <v>427</v>
      </c>
      <c r="F94" s="137" t="s">
        <v>429</v>
      </c>
      <c r="G94" s="137" t="s">
        <v>431</v>
      </c>
      <c r="H94" s="137" t="s">
        <v>433</v>
      </c>
      <c r="I94" s="137" t="s">
        <v>435</v>
      </c>
      <c r="J94" s="137" t="s">
        <v>437</v>
      </c>
    </row>
    <row r="95" spans="3:12" x14ac:dyDescent="0.2">
      <c r="C95" s="137" t="s">
        <v>488</v>
      </c>
      <c r="D95" s="137" t="s">
        <v>722</v>
      </c>
      <c r="E95" s="137" t="s">
        <v>490</v>
      </c>
      <c r="F95" s="137" t="s">
        <v>492</v>
      </c>
    </row>
    <row r="96" spans="3:12" x14ac:dyDescent="0.2">
      <c r="C96" s="137" t="s">
        <v>496</v>
      </c>
    </row>
    <row r="97" spans="3:11" x14ac:dyDescent="0.2">
      <c r="C97" s="137" t="s">
        <v>482</v>
      </c>
      <c r="D97" s="137" t="s">
        <v>482</v>
      </c>
      <c r="E97" s="137" t="s">
        <v>484</v>
      </c>
      <c r="F97" s="137" t="s">
        <v>486</v>
      </c>
    </row>
    <row r="98" spans="3:11" x14ac:dyDescent="0.2">
      <c r="C98" s="137" t="s">
        <v>358</v>
      </c>
      <c r="D98" s="137" t="s">
        <v>358</v>
      </c>
      <c r="E98" s="137" t="s">
        <v>755</v>
      </c>
      <c r="F98" s="137" t="s">
        <v>756</v>
      </c>
      <c r="G98" s="137" t="s">
        <v>757</v>
      </c>
      <c r="H98" s="137" t="s">
        <v>758</v>
      </c>
      <c r="I98" s="137" t="s">
        <v>759</v>
      </c>
      <c r="J98" s="137" t="s">
        <v>760</v>
      </c>
      <c r="K98" s="137" t="s">
        <v>761</v>
      </c>
    </row>
    <row r="99" spans="3:11" x14ac:dyDescent="0.2">
      <c r="C99" s="137" t="s">
        <v>494</v>
      </c>
    </row>
    <row r="100" spans="3:11" x14ac:dyDescent="0.2">
      <c r="C100" s="137"/>
      <c r="D100" s="137"/>
      <c r="E100" s="137"/>
      <c r="F100" s="137"/>
      <c r="G100" s="137"/>
    </row>
    <row r="101" spans="3:11" x14ac:dyDescent="0.2">
      <c r="D101" s="137"/>
      <c r="E101" s="137"/>
      <c r="F101" s="137"/>
      <c r="G101" s="137"/>
    </row>
    <row r="103" spans="3:11" x14ac:dyDescent="0.2">
      <c r="C103" s="137"/>
    </row>
  </sheetData>
  <sheetProtection algorithmName="SHA-512" hashValue="sdaMfhqyVc2cMikY+beG0j18i2mdnfzivdOMBkZixo3EllhwiYydBbCLngmCrG1roK2j7Xnn/ZVom0JCd0EqsA==" saltValue="YAv+o9Vow7tIuyrFUdwThQ==" spinCount="100000" sheet="1" objects="1" scenarios="1"/>
  <sortState xmlns:xlrd2="http://schemas.microsoft.com/office/spreadsheetml/2017/richdata2" ref="C47:J63">
    <sortCondition ref="C47:C63"/>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1:M221"/>
  <sheetViews>
    <sheetView zoomScaleNormal="100" workbookViewId="0"/>
  </sheetViews>
  <sheetFormatPr defaultRowHeight="11.4" x14ac:dyDescent="0.2"/>
  <cols>
    <col min="1" max="1" width="4" customWidth="1"/>
    <col min="2" max="2" width="21.875" bestFit="1" customWidth="1"/>
    <col min="3" max="3" width="62.75" bestFit="1" customWidth="1"/>
    <col min="4" max="4" width="25" bestFit="1" customWidth="1"/>
    <col min="5" max="5" width="20.375" bestFit="1" customWidth="1"/>
    <col min="6" max="6" width="20.375" customWidth="1"/>
    <col min="7" max="7" width="22" bestFit="1" customWidth="1"/>
    <col min="8" max="8" width="9" customWidth="1"/>
    <col min="10" max="10" width="31.125" customWidth="1"/>
    <col min="11" max="11" width="31.375" bestFit="1" customWidth="1"/>
    <col min="12" max="12" width="33.75" bestFit="1" customWidth="1"/>
    <col min="13" max="13" width="31.375" bestFit="1" customWidth="1"/>
  </cols>
  <sheetData>
    <row r="1" spans="2:13" ht="12" x14ac:dyDescent="0.25">
      <c r="B1" s="27" t="s">
        <v>176</v>
      </c>
      <c r="C1" s="27"/>
      <c r="D1" s="27"/>
      <c r="E1" s="27"/>
      <c r="J1" s="27" t="s">
        <v>177</v>
      </c>
    </row>
    <row r="2" spans="2:13" x14ac:dyDescent="0.2">
      <c r="B2" s="137"/>
      <c r="C2" s="138"/>
      <c r="D2" s="137"/>
      <c r="E2" s="137"/>
    </row>
    <row r="3" spans="2:13" ht="12" x14ac:dyDescent="0.25">
      <c r="B3" s="136" t="s">
        <v>145</v>
      </c>
      <c r="J3" s="136" t="s">
        <v>150</v>
      </c>
    </row>
    <row r="5" spans="2:13" ht="12" x14ac:dyDescent="0.25">
      <c r="B5" s="27" t="s">
        <v>178</v>
      </c>
      <c r="C5" s="27" t="s">
        <v>179</v>
      </c>
      <c r="D5" s="27" t="s">
        <v>180</v>
      </c>
      <c r="E5" s="27" t="s">
        <v>181</v>
      </c>
      <c r="F5" s="27" t="s">
        <v>182</v>
      </c>
      <c r="G5" s="27" t="s">
        <v>183</v>
      </c>
      <c r="J5" s="27" t="s">
        <v>184</v>
      </c>
      <c r="K5" s="27" t="s">
        <v>185</v>
      </c>
    </row>
    <row r="6" spans="2:13" x14ac:dyDescent="0.2">
      <c r="B6" s="137" t="s">
        <v>186</v>
      </c>
      <c r="C6" s="137" t="s">
        <v>166</v>
      </c>
      <c r="D6" s="137" t="s">
        <v>187</v>
      </c>
      <c r="E6" s="261">
        <v>3860</v>
      </c>
      <c r="F6" s="261">
        <v>4050</v>
      </c>
      <c r="G6" t="str">
        <f>"80 "&amp;D6&amp;""</f>
        <v>80 m</v>
      </c>
      <c r="J6" s="150" t="s">
        <v>188</v>
      </c>
      <c r="K6" s="150" t="s">
        <v>188</v>
      </c>
    </row>
    <row r="7" spans="2:13" x14ac:dyDescent="0.2">
      <c r="B7" s="137" t="s">
        <v>189</v>
      </c>
      <c r="C7" s="137" t="s">
        <v>190</v>
      </c>
      <c r="D7" s="137" t="s">
        <v>187</v>
      </c>
      <c r="E7" s="261">
        <v>2160</v>
      </c>
      <c r="F7" s="261">
        <v>2270</v>
      </c>
      <c r="G7" t="str">
        <f>"80 "&amp;D7&amp;""</f>
        <v>80 m</v>
      </c>
    </row>
    <row r="8" spans="2:13" x14ac:dyDescent="0.2">
      <c r="B8" s="137" t="s">
        <v>191</v>
      </c>
      <c r="C8" s="137" t="s">
        <v>192</v>
      </c>
      <c r="D8" s="137" t="s">
        <v>187</v>
      </c>
      <c r="E8" s="261">
        <v>4990</v>
      </c>
      <c r="F8" s="261">
        <v>5240</v>
      </c>
      <c r="G8" t="str">
        <f>"1000 "&amp;D8&amp;""</f>
        <v>1000 m</v>
      </c>
    </row>
    <row r="9" spans="2:13" x14ac:dyDescent="0.2">
      <c r="B9" s="137" t="s">
        <v>193</v>
      </c>
      <c r="C9" s="137" t="s">
        <v>194</v>
      </c>
      <c r="D9" s="137" t="s">
        <v>187</v>
      </c>
      <c r="E9" s="261">
        <v>3150</v>
      </c>
      <c r="F9" s="261">
        <v>3310</v>
      </c>
      <c r="G9" t="str">
        <f>"1000 "&amp;D9&amp;""</f>
        <v>1000 m</v>
      </c>
    </row>
    <row r="10" spans="2:13" ht="12" x14ac:dyDescent="0.25">
      <c r="B10" s="137" t="s">
        <v>195</v>
      </c>
      <c r="C10" s="137" t="s">
        <v>196</v>
      </c>
      <c r="D10" s="137" t="s">
        <v>187</v>
      </c>
      <c r="E10" s="261">
        <v>6870</v>
      </c>
      <c r="F10" s="261">
        <v>7210</v>
      </c>
      <c r="G10" t="str">
        <f>"1000 "&amp;D10&amp;""</f>
        <v>1000 m</v>
      </c>
      <c r="J10" s="136" t="s">
        <v>197</v>
      </c>
    </row>
    <row r="11" spans="2:13" x14ac:dyDescent="0.2">
      <c r="B11" s="137" t="s">
        <v>198</v>
      </c>
      <c r="C11" s="137" t="s">
        <v>199</v>
      </c>
      <c r="D11" s="137" t="s">
        <v>187</v>
      </c>
      <c r="E11" s="261">
        <v>4470</v>
      </c>
      <c r="F11" s="261">
        <v>4690</v>
      </c>
      <c r="G11" t="str">
        <f>"100 "&amp;D11&amp;""</f>
        <v>100 m</v>
      </c>
    </row>
    <row r="12" spans="2:13" ht="12" x14ac:dyDescent="0.25">
      <c r="B12" s="137" t="s">
        <v>200</v>
      </c>
      <c r="C12" s="137" t="s">
        <v>201</v>
      </c>
      <c r="D12" s="137" t="s">
        <v>187</v>
      </c>
      <c r="E12" s="261">
        <v>2730</v>
      </c>
      <c r="F12" s="261">
        <v>2870</v>
      </c>
      <c r="G12" t="str">
        <f>"1000 "&amp;D12&amp;""</f>
        <v>1000 m</v>
      </c>
      <c r="J12" s="27" t="s">
        <v>184</v>
      </c>
      <c r="K12" s="27" t="s">
        <v>202</v>
      </c>
      <c r="L12" s="27" t="s">
        <v>203</v>
      </c>
      <c r="M12" s="27" t="s">
        <v>204</v>
      </c>
    </row>
    <row r="13" spans="2:13" x14ac:dyDescent="0.2">
      <c r="B13" s="137" t="s">
        <v>205</v>
      </c>
      <c r="C13" s="137" t="s">
        <v>206</v>
      </c>
      <c r="D13" s="137" t="s">
        <v>187</v>
      </c>
      <c r="E13" s="261">
        <v>2160</v>
      </c>
      <c r="F13" s="261">
        <v>2270</v>
      </c>
      <c r="G13" t="str">
        <f>"80 "&amp;D13&amp;""</f>
        <v>80 m</v>
      </c>
      <c r="J13" t="s">
        <v>145</v>
      </c>
      <c r="K13" s="141">
        <v>0</v>
      </c>
      <c r="L13" s="141">
        <v>0.05</v>
      </c>
      <c r="M13" s="141">
        <v>0.1</v>
      </c>
    </row>
    <row r="14" spans="2:13" x14ac:dyDescent="0.2">
      <c r="B14" s="137" t="s">
        <v>207</v>
      </c>
      <c r="C14" s="139" t="s">
        <v>208</v>
      </c>
      <c r="D14" s="137" t="s">
        <v>187</v>
      </c>
      <c r="E14" s="261">
        <v>2380</v>
      </c>
      <c r="F14" s="261">
        <v>2500</v>
      </c>
      <c r="G14" t="str">
        <f>"1000 "&amp;D14&amp;""</f>
        <v>1000 m</v>
      </c>
      <c r="J14" t="s">
        <v>174</v>
      </c>
      <c r="K14" s="141">
        <v>0</v>
      </c>
      <c r="L14" s="141">
        <v>2.5000000000000001E-2</v>
      </c>
      <c r="M14" s="141">
        <v>0.05</v>
      </c>
    </row>
    <row r="15" spans="2:13" x14ac:dyDescent="0.2">
      <c r="B15" s="137" t="s">
        <v>209</v>
      </c>
      <c r="C15" s="137" t="s">
        <v>210</v>
      </c>
      <c r="D15" s="137" t="s">
        <v>187</v>
      </c>
      <c r="E15" s="261">
        <v>2690</v>
      </c>
      <c r="F15" s="261">
        <v>2820</v>
      </c>
      <c r="G15" t="str">
        <f>"1000 "&amp;D15&amp;""</f>
        <v>1000 m</v>
      </c>
    </row>
    <row r="16" spans="2:13" ht="12" x14ac:dyDescent="0.25">
      <c r="B16" s="209" t="s">
        <v>211</v>
      </c>
      <c r="C16" s="209" t="s">
        <v>212</v>
      </c>
      <c r="D16" s="209" t="s">
        <v>213</v>
      </c>
      <c r="E16" s="262">
        <v>338630</v>
      </c>
      <c r="F16" s="262">
        <v>355560</v>
      </c>
      <c r="G16" s="211" t="str">
        <f>"1 "&amp;D16&amp;""</f>
        <v>1 each</v>
      </c>
      <c r="J16" s="27" t="s">
        <v>214</v>
      </c>
    </row>
    <row r="17" spans="2:12" x14ac:dyDescent="0.2">
      <c r="B17" s="213" t="s">
        <v>215</v>
      </c>
      <c r="C17" s="213" t="s">
        <v>216</v>
      </c>
      <c r="D17" s="213" t="s">
        <v>213</v>
      </c>
      <c r="E17" s="263">
        <v>384880</v>
      </c>
      <c r="F17" s="263">
        <v>404120</v>
      </c>
      <c r="G17" s="214" t="str">
        <f>"1 "&amp;D17&amp;""</f>
        <v>1 each</v>
      </c>
      <c r="J17" s="137">
        <v>25</v>
      </c>
    </row>
    <row r="18" spans="2:12" x14ac:dyDescent="0.2">
      <c r="B18" s="209" t="s">
        <v>217</v>
      </c>
      <c r="C18" s="209" t="s">
        <v>218</v>
      </c>
      <c r="D18" s="209" t="s">
        <v>213</v>
      </c>
      <c r="E18" s="262">
        <v>414780</v>
      </c>
      <c r="F18" s="262">
        <v>435520</v>
      </c>
      <c r="G18" s="211" t="str">
        <f t="shared" ref="G18:G34" si="0">"1 "&amp;D18&amp;""</f>
        <v>1 each</v>
      </c>
      <c r="J18" s="137">
        <v>75</v>
      </c>
    </row>
    <row r="19" spans="2:12" x14ac:dyDescent="0.2">
      <c r="B19" s="213" t="s">
        <v>219</v>
      </c>
      <c r="C19" s="213" t="s">
        <v>602</v>
      </c>
      <c r="D19" s="213" t="s">
        <v>213</v>
      </c>
      <c r="E19" s="263">
        <v>543850</v>
      </c>
      <c r="F19" s="263">
        <v>571040</v>
      </c>
      <c r="G19" s="214" t="str">
        <f t="shared" si="0"/>
        <v>1 each</v>
      </c>
    </row>
    <row r="20" spans="2:12" ht="12" x14ac:dyDescent="0.25">
      <c r="B20" s="137" t="s">
        <v>220</v>
      </c>
      <c r="C20" s="137" t="s">
        <v>221</v>
      </c>
      <c r="D20" s="137" t="s">
        <v>213</v>
      </c>
      <c r="E20" s="261">
        <v>713850</v>
      </c>
      <c r="F20" s="261">
        <v>749540</v>
      </c>
      <c r="G20" t="str">
        <f t="shared" si="0"/>
        <v>1 each</v>
      </c>
      <c r="J20" s="136" t="s">
        <v>224</v>
      </c>
    </row>
    <row r="21" spans="2:12" x14ac:dyDescent="0.2">
      <c r="B21" s="137" t="s">
        <v>222</v>
      </c>
      <c r="C21" s="137" t="s">
        <v>223</v>
      </c>
      <c r="D21" s="137" t="s">
        <v>213</v>
      </c>
      <c r="E21" s="261">
        <v>928005</v>
      </c>
      <c r="F21" s="261">
        <v>974405</v>
      </c>
      <c r="G21" t="str">
        <f t="shared" si="0"/>
        <v>1 each</v>
      </c>
    </row>
    <row r="22" spans="2:12" ht="12" x14ac:dyDescent="0.25">
      <c r="B22" s="137" t="s">
        <v>225</v>
      </c>
      <c r="C22" s="137" t="s">
        <v>226</v>
      </c>
      <c r="D22" s="137" t="s">
        <v>213</v>
      </c>
      <c r="E22" s="261">
        <v>51110</v>
      </c>
      <c r="F22" s="261">
        <v>53670</v>
      </c>
      <c r="G22" t="str">
        <f t="shared" si="0"/>
        <v>1 each</v>
      </c>
      <c r="J22" s="27" t="s">
        <v>184</v>
      </c>
      <c r="K22" s="27" t="s">
        <v>229</v>
      </c>
      <c r="L22" s="27" t="s">
        <v>230</v>
      </c>
    </row>
    <row r="23" spans="2:12" x14ac:dyDescent="0.2">
      <c r="B23" s="137" t="s">
        <v>227</v>
      </c>
      <c r="C23" s="137" t="s">
        <v>228</v>
      </c>
      <c r="D23" s="137" t="s">
        <v>213</v>
      </c>
      <c r="E23" s="261">
        <v>49500</v>
      </c>
      <c r="F23" s="261">
        <v>51980</v>
      </c>
      <c r="G23" t="str">
        <f t="shared" si="0"/>
        <v>1 each</v>
      </c>
      <c r="J23" t="s">
        <v>232</v>
      </c>
      <c r="K23" s="145">
        <v>0.26</v>
      </c>
      <c r="L23" s="145">
        <v>0.4</v>
      </c>
    </row>
    <row r="24" spans="2:12" x14ac:dyDescent="0.2">
      <c r="B24" s="137" t="s">
        <v>231</v>
      </c>
      <c r="C24" s="137" t="s">
        <v>172</v>
      </c>
      <c r="D24" s="137" t="s">
        <v>213</v>
      </c>
      <c r="E24" s="261">
        <v>72280</v>
      </c>
      <c r="F24" s="261">
        <v>75890</v>
      </c>
      <c r="G24" t="str">
        <f t="shared" si="0"/>
        <v>1 each</v>
      </c>
      <c r="J24" t="s">
        <v>236</v>
      </c>
      <c r="K24" s="145">
        <v>0.15</v>
      </c>
      <c r="L24" s="145">
        <v>0.25</v>
      </c>
    </row>
    <row r="25" spans="2:12" x14ac:dyDescent="0.2">
      <c r="B25" s="137" t="s">
        <v>233</v>
      </c>
      <c r="C25" s="137" t="s">
        <v>234</v>
      </c>
      <c r="D25" s="137" t="s">
        <v>235</v>
      </c>
      <c r="E25" s="261">
        <v>310</v>
      </c>
      <c r="F25" s="261">
        <v>330</v>
      </c>
      <c r="G25" t="str">
        <f t="shared" si="0"/>
        <v>1 sqm</v>
      </c>
      <c r="J25" t="s">
        <v>239</v>
      </c>
      <c r="K25" s="145">
        <v>0</v>
      </c>
      <c r="L25" s="145">
        <v>0</v>
      </c>
    </row>
    <row r="26" spans="2:12" x14ac:dyDescent="0.2">
      <c r="B26" s="137" t="s">
        <v>237</v>
      </c>
      <c r="C26" s="137" t="s">
        <v>238</v>
      </c>
      <c r="D26" s="137" t="s">
        <v>235</v>
      </c>
      <c r="E26" s="261">
        <v>5570</v>
      </c>
      <c r="F26" s="261">
        <v>5850</v>
      </c>
      <c r="G26" t="str">
        <f t="shared" si="0"/>
        <v>1 sqm</v>
      </c>
      <c r="K26" s="144"/>
      <c r="L26" s="144"/>
    </row>
    <row r="27" spans="2:12" x14ac:dyDescent="0.2">
      <c r="B27" s="137" t="s">
        <v>240</v>
      </c>
      <c r="C27" s="137" t="s">
        <v>241</v>
      </c>
      <c r="D27" s="137" t="s">
        <v>235</v>
      </c>
      <c r="E27" s="261">
        <v>8340</v>
      </c>
      <c r="F27" s="261">
        <v>8760</v>
      </c>
      <c r="G27" t="str">
        <f t="shared" si="0"/>
        <v>1 sqm</v>
      </c>
      <c r="J27" t="s">
        <v>244</v>
      </c>
      <c r="K27" s="145">
        <v>0.11</v>
      </c>
      <c r="L27" s="145">
        <v>0.15</v>
      </c>
    </row>
    <row r="28" spans="2:12" x14ac:dyDescent="0.2">
      <c r="B28" s="137" t="s">
        <v>242</v>
      </c>
      <c r="C28" s="137" t="s">
        <v>243</v>
      </c>
      <c r="D28" s="137" t="s">
        <v>235</v>
      </c>
      <c r="E28" s="261">
        <v>10780</v>
      </c>
      <c r="F28" s="261">
        <v>11320</v>
      </c>
      <c r="G28" t="str">
        <f t="shared" si="0"/>
        <v>1 sqm</v>
      </c>
      <c r="J28" t="s">
        <v>247</v>
      </c>
      <c r="K28" s="145">
        <v>0.05</v>
      </c>
      <c r="L28" s="145">
        <v>0.1</v>
      </c>
    </row>
    <row r="29" spans="2:12" x14ac:dyDescent="0.2">
      <c r="B29" s="137" t="s">
        <v>245</v>
      </c>
      <c r="C29" s="137" t="s">
        <v>246</v>
      </c>
      <c r="D29" s="137" t="s">
        <v>235</v>
      </c>
      <c r="E29" s="261">
        <v>12310</v>
      </c>
      <c r="F29" s="261">
        <v>12930</v>
      </c>
      <c r="G29" t="str">
        <f t="shared" si="0"/>
        <v>1 sqm</v>
      </c>
      <c r="J29" t="s">
        <v>250</v>
      </c>
      <c r="K29" s="145">
        <v>0</v>
      </c>
      <c r="L29" s="145">
        <v>0</v>
      </c>
    </row>
    <row r="30" spans="2:12" x14ac:dyDescent="0.2">
      <c r="B30" s="137" t="s">
        <v>248</v>
      </c>
      <c r="C30" s="137" t="s">
        <v>249</v>
      </c>
      <c r="D30" s="137" t="s">
        <v>213</v>
      </c>
      <c r="E30" s="261">
        <v>700</v>
      </c>
      <c r="F30" s="261">
        <v>740</v>
      </c>
      <c r="G30" t="str">
        <f t="shared" si="0"/>
        <v>1 each</v>
      </c>
    </row>
    <row r="31" spans="2:12" x14ac:dyDescent="0.2">
      <c r="B31" s="137" t="s">
        <v>251</v>
      </c>
      <c r="C31" s="137" t="s">
        <v>252</v>
      </c>
      <c r="D31" s="137" t="s">
        <v>213</v>
      </c>
      <c r="E31" s="261">
        <v>60270</v>
      </c>
      <c r="F31" s="261">
        <v>63280</v>
      </c>
      <c r="G31" t="str">
        <f t="shared" si="0"/>
        <v>1 each</v>
      </c>
    </row>
    <row r="32" spans="2:12" ht="12" x14ac:dyDescent="0.25">
      <c r="B32" s="137" t="s">
        <v>253</v>
      </c>
      <c r="C32" s="137" t="s">
        <v>170</v>
      </c>
      <c r="D32" s="137" t="s">
        <v>213</v>
      </c>
      <c r="E32" s="261">
        <v>66297</v>
      </c>
      <c r="F32" s="261">
        <v>69611</v>
      </c>
      <c r="G32" t="str">
        <f t="shared" si="0"/>
        <v>1 each</v>
      </c>
      <c r="J32" s="136" t="s">
        <v>157</v>
      </c>
    </row>
    <row r="33" spans="2:13" x14ac:dyDescent="0.2">
      <c r="B33" s="137" t="s">
        <v>254</v>
      </c>
      <c r="C33" s="137" t="s">
        <v>255</v>
      </c>
      <c r="D33" s="137" t="s">
        <v>213</v>
      </c>
      <c r="E33" s="261">
        <v>23140</v>
      </c>
      <c r="F33" s="261">
        <v>24300</v>
      </c>
      <c r="G33" t="str">
        <f t="shared" si="0"/>
        <v>1 each</v>
      </c>
    </row>
    <row r="34" spans="2:13" ht="12" x14ac:dyDescent="0.25">
      <c r="B34" s="137" t="s">
        <v>256</v>
      </c>
      <c r="C34" s="137" t="s">
        <v>257</v>
      </c>
      <c r="D34" s="137" t="s">
        <v>213</v>
      </c>
      <c r="E34" s="261">
        <v>16980</v>
      </c>
      <c r="F34" s="261">
        <v>17830</v>
      </c>
      <c r="G34" t="str">
        <f t="shared" si="0"/>
        <v>1 each</v>
      </c>
      <c r="J34" s="27" t="s">
        <v>260</v>
      </c>
      <c r="K34" s="27" t="s">
        <v>261</v>
      </c>
      <c r="L34" s="27" t="s">
        <v>262</v>
      </c>
      <c r="M34" s="27" t="s">
        <v>263</v>
      </c>
    </row>
    <row r="35" spans="2:13" x14ac:dyDescent="0.2">
      <c r="B35" s="137" t="s">
        <v>258</v>
      </c>
      <c r="C35" s="137" t="s">
        <v>259</v>
      </c>
      <c r="D35" s="137" t="s">
        <v>187</v>
      </c>
      <c r="E35" s="261">
        <v>510</v>
      </c>
      <c r="F35" s="261">
        <v>530</v>
      </c>
      <c r="G35" t="str">
        <f>"10 "&amp;D35&amp;""</f>
        <v>10 m</v>
      </c>
      <c r="J35" t="s">
        <v>266</v>
      </c>
      <c r="K35" s="143">
        <v>0</v>
      </c>
      <c r="L35" s="142">
        <v>0.25</v>
      </c>
      <c r="M35" s="142">
        <v>0.1</v>
      </c>
    </row>
    <row r="36" spans="2:13" x14ac:dyDescent="0.2">
      <c r="B36" s="209" t="s">
        <v>286</v>
      </c>
      <c r="C36" s="209" t="s">
        <v>589</v>
      </c>
      <c r="D36" s="209" t="s">
        <v>187</v>
      </c>
      <c r="E36" s="262">
        <v>1410</v>
      </c>
      <c r="F36" s="262">
        <v>1480</v>
      </c>
      <c r="G36" s="211" t="str">
        <f>"1 "&amp;D36&amp;""</f>
        <v>1 m</v>
      </c>
      <c r="J36" t="s">
        <v>268</v>
      </c>
      <c r="K36" s="143">
        <v>1000000</v>
      </c>
      <c r="L36" s="142">
        <v>0.17499999999999999</v>
      </c>
      <c r="M36" s="142">
        <v>0.05</v>
      </c>
    </row>
    <row r="37" spans="2:13" x14ac:dyDescent="0.2">
      <c r="B37" s="212" t="s">
        <v>286</v>
      </c>
      <c r="C37" s="212" t="s">
        <v>591</v>
      </c>
      <c r="D37" s="212" t="s">
        <v>213</v>
      </c>
      <c r="E37" s="264">
        <v>2010</v>
      </c>
      <c r="F37" s="264">
        <v>2110</v>
      </c>
      <c r="G37" t="str">
        <f>"1 "&amp;D37&amp;""</f>
        <v>1 each</v>
      </c>
      <c r="J37" t="s">
        <v>270</v>
      </c>
      <c r="K37" s="143">
        <v>2000000</v>
      </c>
      <c r="L37" s="142">
        <v>0.15</v>
      </c>
      <c r="M37" s="142">
        <v>0.03</v>
      </c>
    </row>
    <row r="38" spans="2:13" x14ac:dyDescent="0.2">
      <c r="B38" s="212" t="s">
        <v>287</v>
      </c>
      <c r="C38" s="212" t="s">
        <v>590</v>
      </c>
      <c r="D38" s="212" t="s">
        <v>187</v>
      </c>
      <c r="E38" s="264">
        <v>1620</v>
      </c>
      <c r="F38" s="264">
        <v>1700</v>
      </c>
      <c r="G38" t="str">
        <f>"1 "&amp;D38&amp;""</f>
        <v>1 m</v>
      </c>
      <c r="J38" t="s">
        <v>272</v>
      </c>
      <c r="K38" s="143">
        <v>5000000</v>
      </c>
      <c r="L38" s="142">
        <v>0.125</v>
      </c>
      <c r="M38" s="142">
        <v>2.5000000000000001E-2</v>
      </c>
    </row>
    <row r="39" spans="2:13" x14ac:dyDescent="0.2">
      <c r="B39" s="212" t="s">
        <v>287</v>
      </c>
      <c r="C39" s="212" t="s">
        <v>592</v>
      </c>
      <c r="D39" s="212" t="s">
        <v>213</v>
      </c>
      <c r="E39" s="264">
        <v>2510</v>
      </c>
      <c r="F39" s="264">
        <v>2640</v>
      </c>
      <c r="G39" t="str">
        <f>"1 "&amp;D39&amp;""</f>
        <v>1 each</v>
      </c>
      <c r="J39" s="143"/>
    </row>
    <row r="40" spans="2:13" ht="12" x14ac:dyDescent="0.25">
      <c r="B40" s="212" t="s">
        <v>288</v>
      </c>
      <c r="C40" s="212" t="s">
        <v>664</v>
      </c>
      <c r="D40" s="212" t="s">
        <v>187</v>
      </c>
      <c r="E40" s="264">
        <v>2970</v>
      </c>
      <c r="F40" s="264">
        <v>3120</v>
      </c>
      <c r="G40" t="str">
        <f t="shared" ref="G40" si="1">"1 "&amp;D40&amp;""</f>
        <v>1 m</v>
      </c>
      <c r="J40" s="27" t="s">
        <v>275</v>
      </c>
    </row>
    <row r="41" spans="2:13" x14ac:dyDescent="0.2">
      <c r="B41" s="212" t="s">
        <v>288</v>
      </c>
      <c r="C41" s="212" t="s">
        <v>593</v>
      </c>
      <c r="D41" s="212" t="s">
        <v>213</v>
      </c>
      <c r="E41" s="264">
        <v>9280</v>
      </c>
      <c r="F41" s="264">
        <v>9740</v>
      </c>
      <c r="G41" t="str">
        <f>"1 "&amp;D41&amp;""</f>
        <v>1 each</v>
      </c>
      <c r="J41" s="137" t="s">
        <v>81</v>
      </c>
    </row>
    <row r="42" spans="2:13" x14ac:dyDescent="0.2">
      <c r="B42" s="212" t="s">
        <v>289</v>
      </c>
      <c r="C42" s="212" t="s">
        <v>665</v>
      </c>
      <c r="D42" s="212" t="s">
        <v>187</v>
      </c>
      <c r="E42" s="264">
        <v>5560</v>
      </c>
      <c r="F42" s="264">
        <v>5840</v>
      </c>
      <c r="G42" t="str">
        <f t="shared" ref="G42" si="2">"1 "&amp;D42&amp;""</f>
        <v>1 m</v>
      </c>
      <c r="J42" s="137" t="s">
        <v>168</v>
      </c>
    </row>
    <row r="43" spans="2:13" x14ac:dyDescent="0.2">
      <c r="B43" s="212" t="s">
        <v>289</v>
      </c>
      <c r="C43" s="212" t="s">
        <v>594</v>
      </c>
      <c r="D43" s="212" t="s">
        <v>213</v>
      </c>
      <c r="E43" s="264">
        <v>11550</v>
      </c>
      <c r="F43" s="264">
        <v>12130</v>
      </c>
      <c r="G43" t="str">
        <f>"1 "&amp;D43&amp;""</f>
        <v>1 each</v>
      </c>
    </row>
    <row r="44" spans="2:13" x14ac:dyDescent="0.2">
      <c r="B44" s="212" t="s">
        <v>290</v>
      </c>
      <c r="C44" s="212" t="s">
        <v>666</v>
      </c>
      <c r="D44" s="212" t="s">
        <v>187</v>
      </c>
      <c r="E44" s="264">
        <v>2750</v>
      </c>
      <c r="F44" s="264">
        <v>2890</v>
      </c>
      <c r="G44" t="str">
        <f t="shared" ref="G44" si="3">"1 "&amp;D44&amp;""</f>
        <v>1 m</v>
      </c>
    </row>
    <row r="45" spans="2:13" ht="12" x14ac:dyDescent="0.25">
      <c r="B45" s="212" t="s">
        <v>290</v>
      </c>
      <c r="C45" s="212" t="s">
        <v>595</v>
      </c>
      <c r="D45" s="212" t="s">
        <v>213</v>
      </c>
      <c r="E45" s="264">
        <v>2920</v>
      </c>
      <c r="F45" s="264">
        <v>3070</v>
      </c>
      <c r="G45" t="str">
        <f>"1 "&amp;D45&amp;""</f>
        <v>1 each</v>
      </c>
      <c r="J45" s="136" t="s">
        <v>161</v>
      </c>
    </row>
    <row r="46" spans="2:13" x14ac:dyDescent="0.2">
      <c r="B46" s="212" t="s">
        <v>291</v>
      </c>
      <c r="C46" s="212" t="s">
        <v>667</v>
      </c>
      <c r="D46" s="212" t="s">
        <v>187</v>
      </c>
      <c r="E46" s="264">
        <v>3990</v>
      </c>
      <c r="F46" s="264">
        <v>4190</v>
      </c>
      <c r="G46" t="str">
        <f t="shared" ref="G46:G51" si="4">"1 "&amp;D46&amp;""</f>
        <v>1 m</v>
      </c>
    </row>
    <row r="47" spans="2:13" ht="12" x14ac:dyDescent="0.25">
      <c r="B47" s="212" t="s">
        <v>291</v>
      </c>
      <c r="C47" s="212" t="s">
        <v>596</v>
      </c>
      <c r="D47" s="212" t="s">
        <v>213</v>
      </c>
      <c r="E47" s="264">
        <v>3730</v>
      </c>
      <c r="F47" s="264">
        <v>3920</v>
      </c>
      <c r="G47" t="str">
        <f t="shared" si="4"/>
        <v>1 each</v>
      </c>
      <c r="J47" s="27" t="s">
        <v>184</v>
      </c>
      <c r="K47" s="27" t="s">
        <v>169</v>
      </c>
      <c r="L47" s="27" t="s">
        <v>283</v>
      </c>
      <c r="M47" s="27" t="s">
        <v>284</v>
      </c>
    </row>
    <row r="48" spans="2:13" x14ac:dyDescent="0.2">
      <c r="B48" s="212" t="s">
        <v>292</v>
      </c>
      <c r="C48" s="212" t="s">
        <v>668</v>
      </c>
      <c r="D48" s="212" t="s">
        <v>187</v>
      </c>
      <c r="E48" s="264">
        <v>8460</v>
      </c>
      <c r="F48" s="264">
        <v>8880</v>
      </c>
      <c r="G48" t="str">
        <f t="shared" si="4"/>
        <v>1 m</v>
      </c>
      <c r="J48" s="137" t="s">
        <v>145</v>
      </c>
      <c r="K48" s="142">
        <v>0.15</v>
      </c>
      <c r="L48" s="142">
        <v>0.15</v>
      </c>
      <c r="M48" s="142">
        <v>0.1</v>
      </c>
    </row>
    <row r="49" spans="2:13" x14ac:dyDescent="0.2">
      <c r="B49" s="212" t="s">
        <v>292</v>
      </c>
      <c r="C49" s="212" t="s">
        <v>597</v>
      </c>
      <c r="D49" s="212" t="s">
        <v>213</v>
      </c>
      <c r="E49" s="264">
        <v>11880</v>
      </c>
      <c r="F49" s="264">
        <v>12470</v>
      </c>
      <c r="G49" t="str">
        <f t="shared" si="4"/>
        <v>1 each</v>
      </c>
      <c r="J49" s="137" t="s">
        <v>174</v>
      </c>
      <c r="K49" s="142">
        <v>0.15</v>
      </c>
      <c r="L49" s="142">
        <v>0.1</v>
      </c>
      <c r="M49" s="142">
        <v>0.1</v>
      </c>
    </row>
    <row r="50" spans="2:13" x14ac:dyDescent="0.2">
      <c r="B50" s="212" t="s">
        <v>293</v>
      </c>
      <c r="C50" s="212" t="s">
        <v>669</v>
      </c>
      <c r="D50" s="212" t="s">
        <v>187</v>
      </c>
      <c r="E50" s="264">
        <v>11120</v>
      </c>
      <c r="F50" s="264">
        <v>11680</v>
      </c>
      <c r="G50" t="str">
        <f t="shared" si="4"/>
        <v>1 m</v>
      </c>
      <c r="J50" s="137" t="s">
        <v>175</v>
      </c>
      <c r="K50" s="142">
        <v>0.15</v>
      </c>
      <c r="L50" s="142">
        <v>0.1</v>
      </c>
      <c r="M50" s="142">
        <v>0.1</v>
      </c>
    </row>
    <row r="51" spans="2:13" x14ac:dyDescent="0.2">
      <c r="B51" s="213" t="s">
        <v>293</v>
      </c>
      <c r="C51" s="213" t="s">
        <v>598</v>
      </c>
      <c r="D51" s="213" t="s">
        <v>213</v>
      </c>
      <c r="E51" s="263">
        <v>15390</v>
      </c>
      <c r="F51" s="263">
        <v>16160</v>
      </c>
      <c r="G51" s="214" t="str">
        <f t="shared" si="4"/>
        <v>1 each</v>
      </c>
    </row>
    <row r="52" spans="2:13" ht="12" x14ac:dyDescent="0.25">
      <c r="B52" s="137"/>
      <c r="C52" s="137"/>
      <c r="D52" s="137"/>
      <c r="E52" s="137"/>
      <c r="F52" s="137"/>
      <c r="G52" s="137"/>
      <c r="J52" s="27" t="s">
        <v>285</v>
      </c>
    </row>
    <row r="53" spans="2:13" x14ac:dyDescent="0.2">
      <c r="B53" s="137"/>
      <c r="C53" s="137"/>
      <c r="D53" s="137"/>
      <c r="E53" s="137"/>
      <c r="F53" s="137"/>
      <c r="G53" s="137"/>
      <c r="J53" s="137" t="s">
        <v>169</v>
      </c>
    </row>
    <row r="54" spans="2:13" ht="12" x14ac:dyDescent="0.25">
      <c r="B54" s="136" t="s">
        <v>600</v>
      </c>
      <c r="J54" s="137" t="s">
        <v>283</v>
      </c>
    </row>
    <row r="55" spans="2:13" x14ac:dyDescent="0.2">
      <c r="J55" s="137" t="s">
        <v>284</v>
      </c>
    </row>
    <row r="56" spans="2:13" ht="12" x14ac:dyDescent="0.25">
      <c r="B56" s="27" t="s">
        <v>178</v>
      </c>
      <c r="C56" s="27" t="s">
        <v>599</v>
      </c>
      <c r="D56" s="27" t="s">
        <v>180</v>
      </c>
      <c r="E56" s="27" t="s">
        <v>181</v>
      </c>
      <c r="F56" s="27" t="s">
        <v>182</v>
      </c>
      <c r="G56" s="27" t="s">
        <v>183</v>
      </c>
    </row>
    <row r="57" spans="2:13" x14ac:dyDescent="0.2">
      <c r="B57" s="137" t="s">
        <v>264</v>
      </c>
      <c r="C57" s="137" t="s">
        <v>762</v>
      </c>
      <c r="D57" s="137" t="s">
        <v>265</v>
      </c>
      <c r="E57" s="261">
        <v>470</v>
      </c>
      <c r="F57" s="261">
        <v>490</v>
      </c>
      <c r="G57" t="str">
        <f t="shared" ref="G57:G64" si="5">"1 "&amp;D57&amp;""</f>
        <v>1 tonne</v>
      </c>
    </row>
    <row r="58" spans="2:13" x14ac:dyDescent="0.2">
      <c r="B58" s="137" t="s">
        <v>267</v>
      </c>
      <c r="C58" s="137" t="s">
        <v>763</v>
      </c>
      <c r="D58" s="137" t="s">
        <v>265</v>
      </c>
      <c r="E58" s="261">
        <v>390</v>
      </c>
      <c r="F58" s="261">
        <v>410</v>
      </c>
      <c r="G58" t="str">
        <f t="shared" si="5"/>
        <v>1 tonne</v>
      </c>
    </row>
    <row r="59" spans="2:13" x14ac:dyDescent="0.2">
      <c r="B59" s="137" t="s">
        <v>269</v>
      </c>
      <c r="C59" s="137" t="s">
        <v>764</v>
      </c>
      <c r="D59" s="137" t="s">
        <v>265</v>
      </c>
      <c r="E59" s="261">
        <v>510</v>
      </c>
      <c r="F59" s="261">
        <v>540</v>
      </c>
      <c r="G59" t="str">
        <f t="shared" si="5"/>
        <v>1 tonne</v>
      </c>
    </row>
    <row r="60" spans="2:13" x14ac:dyDescent="0.2">
      <c r="B60" s="137" t="s">
        <v>271</v>
      </c>
      <c r="C60" s="137" t="s">
        <v>765</v>
      </c>
      <c r="D60" s="137" t="s">
        <v>265</v>
      </c>
      <c r="E60" s="261">
        <v>470</v>
      </c>
      <c r="F60" s="261">
        <v>490</v>
      </c>
      <c r="G60" t="str">
        <f t="shared" si="5"/>
        <v>1 tonne</v>
      </c>
    </row>
    <row r="61" spans="2:13" x14ac:dyDescent="0.2">
      <c r="B61" s="137" t="s">
        <v>273</v>
      </c>
      <c r="C61" s="137" t="s">
        <v>766</v>
      </c>
      <c r="D61" s="137" t="s">
        <v>265</v>
      </c>
      <c r="E61" s="261">
        <v>480</v>
      </c>
      <c r="F61" s="261">
        <v>500</v>
      </c>
      <c r="G61" t="str">
        <f t="shared" si="5"/>
        <v>1 tonne</v>
      </c>
    </row>
    <row r="62" spans="2:13" x14ac:dyDescent="0.2">
      <c r="B62" s="137" t="s">
        <v>274</v>
      </c>
      <c r="C62" s="137" t="s">
        <v>767</v>
      </c>
      <c r="D62" s="137" t="s">
        <v>265</v>
      </c>
      <c r="E62" s="261">
        <v>540</v>
      </c>
      <c r="F62" s="261">
        <v>570</v>
      </c>
      <c r="G62" t="str">
        <f t="shared" si="5"/>
        <v>1 tonne</v>
      </c>
    </row>
    <row r="63" spans="2:13" x14ac:dyDescent="0.2">
      <c r="B63" s="137" t="s">
        <v>276</v>
      </c>
      <c r="C63" s="137" t="s">
        <v>768</v>
      </c>
      <c r="D63" s="137" t="s">
        <v>265</v>
      </c>
      <c r="E63" s="261">
        <v>1250</v>
      </c>
      <c r="F63" s="261">
        <v>1310</v>
      </c>
      <c r="G63" t="str">
        <f t="shared" si="5"/>
        <v>1 tonne</v>
      </c>
    </row>
    <row r="64" spans="2:13" x14ac:dyDescent="0.2">
      <c r="B64" s="137" t="s">
        <v>277</v>
      </c>
      <c r="C64" s="137" t="s">
        <v>769</v>
      </c>
      <c r="D64" s="137" t="s">
        <v>265</v>
      </c>
      <c r="E64" s="261">
        <v>1250</v>
      </c>
      <c r="F64" s="261">
        <v>1310</v>
      </c>
      <c r="G64" t="str">
        <f t="shared" si="5"/>
        <v>1 tonne</v>
      </c>
    </row>
    <row r="65" spans="2:8" x14ac:dyDescent="0.2">
      <c r="B65" s="137"/>
      <c r="C65" s="137" t="s">
        <v>571</v>
      </c>
      <c r="D65" s="137"/>
      <c r="E65" s="261">
        <v>0</v>
      </c>
      <c r="F65" s="261">
        <v>0</v>
      </c>
    </row>
    <row r="66" spans="2:8" x14ac:dyDescent="0.2">
      <c r="B66" s="137"/>
      <c r="C66" s="137"/>
      <c r="D66" s="137"/>
      <c r="E66" s="137"/>
      <c r="F66" s="137"/>
      <c r="G66" s="137"/>
    </row>
    <row r="67" spans="2:8" ht="12" x14ac:dyDescent="0.25">
      <c r="B67" s="27" t="s">
        <v>178</v>
      </c>
      <c r="C67" s="27" t="s">
        <v>601</v>
      </c>
      <c r="D67" s="27" t="s">
        <v>180</v>
      </c>
      <c r="E67" s="27" t="s">
        <v>181</v>
      </c>
      <c r="F67" s="27" t="s">
        <v>182</v>
      </c>
      <c r="G67" s="27" t="s">
        <v>183</v>
      </c>
    </row>
    <row r="68" spans="2:8" x14ac:dyDescent="0.2">
      <c r="B68" s="137" t="s">
        <v>278</v>
      </c>
      <c r="C68" s="137" t="s">
        <v>567</v>
      </c>
      <c r="D68" s="137" t="s">
        <v>235</v>
      </c>
      <c r="E68" s="261">
        <v>240</v>
      </c>
      <c r="F68" s="261">
        <v>250</v>
      </c>
      <c r="G68" t="str">
        <f>"1 "&amp;D68&amp;""</f>
        <v>1 sqm</v>
      </c>
    </row>
    <row r="69" spans="2:8" x14ac:dyDescent="0.2">
      <c r="B69" s="137" t="s">
        <v>279</v>
      </c>
      <c r="C69" s="137" t="s">
        <v>568</v>
      </c>
      <c r="D69" s="137" t="s">
        <v>235</v>
      </c>
      <c r="E69" s="261">
        <v>300</v>
      </c>
      <c r="F69" s="261">
        <v>320</v>
      </c>
      <c r="G69" t="str">
        <f>"1 "&amp;D69&amp;""</f>
        <v>1 sqm</v>
      </c>
    </row>
    <row r="70" spans="2:8" x14ac:dyDescent="0.2">
      <c r="B70" s="137" t="s">
        <v>280</v>
      </c>
      <c r="C70" s="137" t="s">
        <v>569</v>
      </c>
      <c r="D70" s="137" t="s">
        <v>235</v>
      </c>
      <c r="E70" s="261">
        <v>330</v>
      </c>
      <c r="F70" s="261">
        <v>350</v>
      </c>
      <c r="G70" t="str">
        <f>"1 "&amp;D70&amp;""</f>
        <v>1 sqm</v>
      </c>
    </row>
    <row r="71" spans="2:8" x14ac:dyDescent="0.2">
      <c r="B71" s="137" t="s">
        <v>281</v>
      </c>
      <c r="C71" s="137" t="s">
        <v>570</v>
      </c>
      <c r="D71" s="137" t="s">
        <v>235</v>
      </c>
      <c r="E71" s="261">
        <v>380</v>
      </c>
      <c r="F71" s="261">
        <v>400</v>
      </c>
      <c r="G71" t="str">
        <f>"1 "&amp;D71&amp;""</f>
        <v>1 sqm</v>
      </c>
    </row>
    <row r="72" spans="2:8" x14ac:dyDescent="0.2">
      <c r="B72" s="137" t="s">
        <v>282</v>
      </c>
      <c r="C72" s="137" t="s">
        <v>768</v>
      </c>
      <c r="D72" s="137" t="s">
        <v>235</v>
      </c>
      <c r="E72" s="261">
        <v>450</v>
      </c>
      <c r="F72" s="261">
        <v>470</v>
      </c>
      <c r="G72" t="str">
        <f>"1 "&amp;D72&amp;""</f>
        <v>1 sqm</v>
      </c>
    </row>
    <row r="73" spans="2:8" x14ac:dyDescent="0.2">
      <c r="C73" s="137" t="s">
        <v>571</v>
      </c>
      <c r="E73" s="261">
        <v>0</v>
      </c>
      <c r="F73" s="261">
        <v>0</v>
      </c>
    </row>
    <row r="76" spans="2:8" ht="12" x14ac:dyDescent="0.25">
      <c r="B76" s="136" t="s">
        <v>174</v>
      </c>
    </row>
    <row r="78" spans="2:8" ht="12" x14ac:dyDescent="0.25">
      <c r="B78" s="27" t="s">
        <v>178</v>
      </c>
      <c r="C78" s="27" t="s">
        <v>179</v>
      </c>
      <c r="D78" s="27" t="s">
        <v>180</v>
      </c>
      <c r="E78" s="27" t="s">
        <v>181</v>
      </c>
      <c r="F78" s="27" t="s">
        <v>182</v>
      </c>
      <c r="G78" s="27" t="s">
        <v>183</v>
      </c>
    </row>
    <row r="79" spans="2:8" ht="12" x14ac:dyDescent="0.25">
      <c r="B79" s="250" t="str">
        <f>B36</f>
        <v>ST/T-1.01.1</v>
      </c>
      <c r="C79" s="250" t="str">
        <f t="shared" ref="C79:G79" si="6">C36</f>
        <v>Box culvert and headwall - single cell - size 300 x 225 mm</v>
      </c>
      <c r="D79" s="250" t="str">
        <f t="shared" si="6"/>
        <v>m</v>
      </c>
      <c r="E79" s="251">
        <f t="shared" si="6"/>
        <v>1410</v>
      </c>
      <c r="F79" s="251">
        <f t="shared" si="6"/>
        <v>1480</v>
      </c>
      <c r="G79" s="252" t="str">
        <f t="shared" si="6"/>
        <v>1 m</v>
      </c>
      <c r="H79" s="259" t="s">
        <v>752</v>
      </c>
    </row>
    <row r="80" spans="2:8" x14ac:dyDescent="0.2">
      <c r="B80" s="253" t="str">
        <f t="shared" ref="B80:B94" si="7">B37</f>
        <v>ST/T-1.01.1</v>
      </c>
      <c r="C80" s="253" t="str">
        <f t="shared" ref="C80:G80" si="8">C37</f>
        <v>Box culvert and headwall - headwall for single cell - size 300 x 225 mm</v>
      </c>
      <c r="D80" s="253" t="str">
        <f t="shared" si="8"/>
        <v>each</v>
      </c>
      <c r="E80" s="254">
        <f t="shared" si="8"/>
        <v>2010</v>
      </c>
      <c r="F80" s="254">
        <f t="shared" si="8"/>
        <v>2110</v>
      </c>
      <c r="G80" s="255" t="str">
        <f t="shared" si="8"/>
        <v>1 each</v>
      </c>
    </row>
    <row r="81" spans="2:7" x14ac:dyDescent="0.2">
      <c r="B81" s="253" t="str">
        <f t="shared" si="7"/>
        <v>ST/T-1.01.2</v>
      </c>
      <c r="C81" s="253" t="str">
        <f t="shared" ref="C81:G81" si="9">C38</f>
        <v>Box culvert and headwall - single cell - size 600 x 450 mm</v>
      </c>
      <c r="D81" s="253" t="str">
        <f t="shared" si="9"/>
        <v>m</v>
      </c>
      <c r="E81" s="254">
        <f t="shared" si="9"/>
        <v>1620</v>
      </c>
      <c r="F81" s="254">
        <f t="shared" si="9"/>
        <v>1700</v>
      </c>
      <c r="G81" s="255" t="str">
        <f t="shared" si="9"/>
        <v>1 m</v>
      </c>
    </row>
    <row r="82" spans="2:7" x14ac:dyDescent="0.2">
      <c r="B82" s="253" t="str">
        <f t="shared" si="7"/>
        <v>ST/T-1.01.2</v>
      </c>
      <c r="C82" s="253" t="str">
        <f t="shared" ref="C82:G82" si="10">C39</f>
        <v>Box culvert and headwall - headwall for single cell - size 600 x 450 mm</v>
      </c>
      <c r="D82" s="253" t="str">
        <f t="shared" si="10"/>
        <v>each</v>
      </c>
      <c r="E82" s="254">
        <f t="shared" si="10"/>
        <v>2510</v>
      </c>
      <c r="F82" s="254">
        <f t="shared" si="10"/>
        <v>2640</v>
      </c>
      <c r="G82" s="255" t="str">
        <f t="shared" si="10"/>
        <v>1 each</v>
      </c>
    </row>
    <row r="83" spans="2:7" x14ac:dyDescent="0.2">
      <c r="B83" s="253" t="str">
        <f t="shared" si="7"/>
        <v>ST/T-1.01.3</v>
      </c>
      <c r="C83" s="253" t="str">
        <f t="shared" ref="C83:G83" si="11">C40</f>
        <v>Box culvert and headwall - single cell - size 1500 x 600 mm</v>
      </c>
      <c r="D83" s="253" t="str">
        <f t="shared" si="11"/>
        <v>m</v>
      </c>
      <c r="E83" s="254">
        <f t="shared" si="11"/>
        <v>2970</v>
      </c>
      <c r="F83" s="254">
        <f t="shared" si="11"/>
        <v>3120</v>
      </c>
      <c r="G83" s="255" t="str">
        <f t="shared" si="11"/>
        <v>1 m</v>
      </c>
    </row>
    <row r="84" spans="2:7" x14ac:dyDescent="0.2">
      <c r="B84" s="253" t="str">
        <f t="shared" si="7"/>
        <v>ST/T-1.01.3</v>
      </c>
      <c r="C84" s="253" t="str">
        <f t="shared" ref="C84:G84" si="12">C41</f>
        <v>Box culvert and headwall - headwall for single cell - size 1500 x 600 mm</v>
      </c>
      <c r="D84" s="253" t="str">
        <f t="shared" si="12"/>
        <v>each</v>
      </c>
      <c r="E84" s="254">
        <f t="shared" si="12"/>
        <v>9280</v>
      </c>
      <c r="F84" s="254">
        <f t="shared" si="12"/>
        <v>9740</v>
      </c>
      <c r="G84" s="255" t="str">
        <f t="shared" si="12"/>
        <v>1 each</v>
      </c>
    </row>
    <row r="85" spans="2:7" x14ac:dyDescent="0.2">
      <c r="B85" s="253" t="str">
        <f t="shared" si="7"/>
        <v>ST/T-1.01.4</v>
      </c>
      <c r="C85" s="253" t="str">
        <f t="shared" ref="C85:G85" si="13">C42</f>
        <v>Box culvert and headwall - single cell - size 2100 x 2100 mm</v>
      </c>
      <c r="D85" s="253" t="str">
        <f t="shared" si="13"/>
        <v>m</v>
      </c>
      <c r="E85" s="254">
        <f t="shared" si="13"/>
        <v>5560</v>
      </c>
      <c r="F85" s="254">
        <f t="shared" si="13"/>
        <v>5840</v>
      </c>
      <c r="G85" s="255" t="str">
        <f t="shared" si="13"/>
        <v>1 m</v>
      </c>
    </row>
    <row r="86" spans="2:7" x14ac:dyDescent="0.2">
      <c r="B86" s="253" t="str">
        <f t="shared" si="7"/>
        <v>ST/T-1.01.4</v>
      </c>
      <c r="C86" s="253" t="str">
        <f t="shared" ref="C86:G86" si="14">C43</f>
        <v>Box culvert and headwall - headwall for single cell - size 2100 x 2100 mm</v>
      </c>
      <c r="D86" s="253" t="str">
        <f t="shared" si="14"/>
        <v>each</v>
      </c>
      <c r="E86" s="254">
        <f t="shared" si="14"/>
        <v>11550</v>
      </c>
      <c r="F86" s="254">
        <f t="shared" si="14"/>
        <v>12130</v>
      </c>
      <c r="G86" s="255" t="str">
        <f t="shared" si="14"/>
        <v>1 each</v>
      </c>
    </row>
    <row r="87" spans="2:7" x14ac:dyDescent="0.2">
      <c r="B87" s="253" t="str">
        <f t="shared" si="7"/>
        <v>ST/T-1.01.5</v>
      </c>
      <c r="C87" s="253" t="str">
        <f t="shared" ref="C87:G87" si="15">C44</f>
        <v>Box culvert and headwall - twin cell - size 300 x 225 mm</v>
      </c>
      <c r="D87" s="253" t="str">
        <f t="shared" si="15"/>
        <v>m</v>
      </c>
      <c r="E87" s="254">
        <f t="shared" si="15"/>
        <v>2750</v>
      </c>
      <c r="F87" s="254">
        <f t="shared" si="15"/>
        <v>2890</v>
      </c>
      <c r="G87" s="255" t="str">
        <f t="shared" si="15"/>
        <v>1 m</v>
      </c>
    </row>
    <row r="88" spans="2:7" x14ac:dyDescent="0.2">
      <c r="B88" s="253" t="str">
        <f t="shared" si="7"/>
        <v>ST/T-1.01.5</v>
      </c>
      <c r="C88" s="253" t="str">
        <f t="shared" ref="C88:G88" si="16">C45</f>
        <v>Box culvert and headwall - headwall for twin cell - size 300 x 225 mm</v>
      </c>
      <c r="D88" s="253" t="str">
        <f t="shared" si="16"/>
        <v>each</v>
      </c>
      <c r="E88" s="254">
        <f t="shared" si="16"/>
        <v>2920</v>
      </c>
      <c r="F88" s="254">
        <f t="shared" si="16"/>
        <v>3070</v>
      </c>
      <c r="G88" s="255" t="str">
        <f t="shared" si="16"/>
        <v>1 each</v>
      </c>
    </row>
    <row r="89" spans="2:7" x14ac:dyDescent="0.2">
      <c r="B89" s="253" t="str">
        <f t="shared" si="7"/>
        <v>ST/T-1.01.6</v>
      </c>
      <c r="C89" s="253" t="str">
        <f t="shared" ref="C89:G89" si="17">C46</f>
        <v>Box culvert and headwall - twin cell - size 600 x 450 mm</v>
      </c>
      <c r="D89" s="253" t="str">
        <f t="shared" si="17"/>
        <v>m</v>
      </c>
      <c r="E89" s="254">
        <f t="shared" si="17"/>
        <v>3990</v>
      </c>
      <c r="F89" s="254">
        <f t="shared" si="17"/>
        <v>4190</v>
      </c>
      <c r="G89" s="255" t="str">
        <f t="shared" si="17"/>
        <v>1 m</v>
      </c>
    </row>
    <row r="90" spans="2:7" x14ac:dyDescent="0.2">
      <c r="B90" s="253" t="str">
        <f t="shared" si="7"/>
        <v>ST/T-1.01.6</v>
      </c>
      <c r="C90" s="253" t="str">
        <f t="shared" ref="C90:G90" si="18">C47</f>
        <v>Box culvert and headwall - headwall for twin cell - size 600 x 450 mm</v>
      </c>
      <c r="D90" s="253" t="str">
        <f t="shared" si="18"/>
        <v>each</v>
      </c>
      <c r="E90" s="254">
        <f t="shared" si="18"/>
        <v>3730</v>
      </c>
      <c r="F90" s="254">
        <f t="shared" si="18"/>
        <v>3920</v>
      </c>
      <c r="G90" s="255" t="str">
        <f t="shared" si="18"/>
        <v>1 each</v>
      </c>
    </row>
    <row r="91" spans="2:7" x14ac:dyDescent="0.2">
      <c r="B91" s="253" t="str">
        <f t="shared" si="7"/>
        <v>ST/T-1.01.7</v>
      </c>
      <c r="C91" s="253" t="str">
        <f t="shared" ref="C91:G91" si="19">C48</f>
        <v>Box culvert and headwall - twin cell - size 1500 x 600 mm</v>
      </c>
      <c r="D91" s="253" t="str">
        <f t="shared" si="19"/>
        <v>m</v>
      </c>
      <c r="E91" s="254">
        <f t="shared" si="19"/>
        <v>8460</v>
      </c>
      <c r="F91" s="254">
        <f t="shared" si="19"/>
        <v>8880</v>
      </c>
      <c r="G91" s="255" t="str">
        <f t="shared" si="19"/>
        <v>1 m</v>
      </c>
    </row>
    <row r="92" spans="2:7" x14ac:dyDescent="0.2">
      <c r="B92" s="253" t="str">
        <f t="shared" si="7"/>
        <v>ST/T-1.01.7</v>
      </c>
      <c r="C92" s="253" t="str">
        <f t="shared" ref="C92:G92" si="20">C49</f>
        <v>Box culvert and headwall - headwall for twin cell - size 1500 x 600 mm</v>
      </c>
      <c r="D92" s="253" t="str">
        <f t="shared" si="20"/>
        <v>each</v>
      </c>
      <c r="E92" s="254">
        <f t="shared" si="20"/>
        <v>11880</v>
      </c>
      <c r="F92" s="254">
        <f t="shared" si="20"/>
        <v>12470</v>
      </c>
      <c r="G92" s="255" t="str">
        <f t="shared" si="20"/>
        <v>1 each</v>
      </c>
    </row>
    <row r="93" spans="2:7" x14ac:dyDescent="0.2">
      <c r="B93" s="253" t="str">
        <f t="shared" si="7"/>
        <v>ST/T-1.01.8</v>
      </c>
      <c r="C93" s="253" t="str">
        <f t="shared" ref="C93:G93" si="21">C50</f>
        <v>Box culvert and headwall - twin cell - size 2100 x 2100 mm</v>
      </c>
      <c r="D93" s="253" t="str">
        <f t="shared" si="21"/>
        <v>m</v>
      </c>
      <c r="E93" s="254">
        <f t="shared" si="21"/>
        <v>11120</v>
      </c>
      <c r="F93" s="254">
        <f t="shared" si="21"/>
        <v>11680</v>
      </c>
      <c r="G93" s="255" t="str">
        <f t="shared" si="21"/>
        <v>1 m</v>
      </c>
    </row>
    <row r="94" spans="2:7" x14ac:dyDescent="0.2">
      <c r="B94" s="256" t="str">
        <f t="shared" si="7"/>
        <v>ST/T-1.01.8</v>
      </c>
      <c r="C94" s="256" t="str">
        <f t="shared" ref="C94:G94" si="22">C51</f>
        <v>Box culvert and headwall - headwall for twin cell - size 2100 x 2100 mm</v>
      </c>
      <c r="D94" s="256" t="str">
        <f t="shared" si="22"/>
        <v>each</v>
      </c>
      <c r="E94" s="257">
        <f t="shared" si="22"/>
        <v>15390</v>
      </c>
      <c r="F94" s="257">
        <f t="shared" si="22"/>
        <v>16160</v>
      </c>
      <c r="G94" s="258" t="str">
        <f t="shared" si="22"/>
        <v>1 each</v>
      </c>
    </row>
    <row r="95" spans="2:7" x14ac:dyDescent="0.2">
      <c r="B95" s="137" t="s">
        <v>294</v>
      </c>
      <c r="C95" s="137" t="s">
        <v>295</v>
      </c>
      <c r="D95" s="137" t="s">
        <v>235</v>
      </c>
      <c r="E95" s="261">
        <v>520</v>
      </c>
      <c r="F95" s="261">
        <v>550</v>
      </c>
      <c r="G95" t="str">
        <f>"1 "&amp;D95&amp;""</f>
        <v>1 sqm</v>
      </c>
    </row>
    <row r="96" spans="2:7" x14ac:dyDescent="0.2">
      <c r="B96" s="209" t="s">
        <v>296</v>
      </c>
      <c r="C96" s="209" t="s">
        <v>637</v>
      </c>
      <c r="D96" s="209" t="s">
        <v>213</v>
      </c>
      <c r="E96" s="262">
        <v>1770</v>
      </c>
      <c r="F96" s="262">
        <v>1860</v>
      </c>
      <c r="G96" s="211" t="str">
        <f>"1 "&amp;D96&amp;""</f>
        <v>1 each</v>
      </c>
    </row>
    <row r="97" spans="2:7" x14ac:dyDescent="0.2">
      <c r="B97" s="212" t="s">
        <v>297</v>
      </c>
      <c r="C97" s="212" t="s">
        <v>638</v>
      </c>
      <c r="D97" s="212" t="s">
        <v>213</v>
      </c>
      <c r="E97" s="264">
        <v>2080</v>
      </c>
      <c r="F97" s="264">
        <v>2280</v>
      </c>
      <c r="G97" t="str">
        <f t="shared" ref="G97:G126" si="23">"1 "&amp;D97&amp;""</f>
        <v>1 each</v>
      </c>
    </row>
    <row r="98" spans="2:7" x14ac:dyDescent="0.2">
      <c r="B98" s="212" t="s">
        <v>298</v>
      </c>
      <c r="C98" s="212" t="s">
        <v>639</v>
      </c>
      <c r="D98" s="212" t="s">
        <v>213</v>
      </c>
      <c r="E98" s="264">
        <v>3310</v>
      </c>
      <c r="F98" s="264">
        <v>3480</v>
      </c>
      <c r="G98" t="str">
        <f>"1 "&amp;D98&amp;""</f>
        <v>1 each</v>
      </c>
    </row>
    <row r="99" spans="2:7" x14ac:dyDescent="0.2">
      <c r="B99" s="212" t="s">
        <v>299</v>
      </c>
      <c r="C99" s="212" t="s">
        <v>640</v>
      </c>
      <c r="D99" s="212" t="s">
        <v>213</v>
      </c>
      <c r="E99" s="264">
        <v>3890</v>
      </c>
      <c r="F99" s="264">
        <v>4080</v>
      </c>
      <c r="G99" t="str">
        <f t="shared" si="23"/>
        <v>1 each</v>
      </c>
    </row>
    <row r="100" spans="2:7" x14ac:dyDescent="0.2">
      <c r="B100" s="212" t="s">
        <v>300</v>
      </c>
      <c r="C100" s="212" t="s">
        <v>641</v>
      </c>
      <c r="D100" s="212" t="s">
        <v>213</v>
      </c>
      <c r="E100" s="264">
        <v>5890</v>
      </c>
      <c r="F100" s="264">
        <v>6180</v>
      </c>
      <c r="G100" t="str">
        <f>"1 "&amp;D100&amp;""</f>
        <v>1 each</v>
      </c>
    </row>
    <row r="101" spans="2:7" x14ac:dyDescent="0.2">
      <c r="B101" s="213" t="s">
        <v>301</v>
      </c>
      <c r="C101" s="213" t="s">
        <v>642</v>
      </c>
      <c r="D101" s="213" t="s">
        <v>213</v>
      </c>
      <c r="E101" s="263">
        <v>7290</v>
      </c>
      <c r="F101" s="263">
        <v>7650</v>
      </c>
      <c r="G101" s="214" t="str">
        <f t="shared" si="23"/>
        <v>1 each</v>
      </c>
    </row>
    <row r="102" spans="2:7" x14ac:dyDescent="0.2">
      <c r="B102" s="137" t="s">
        <v>302</v>
      </c>
      <c r="C102" s="137" t="s">
        <v>303</v>
      </c>
      <c r="D102" s="137" t="s">
        <v>213</v>
      </c>
      <c r="E102" s="261">
        <v>9060</v>
      </c>
      <c r="F102" s="261">
        <v>9510</v>
      </c>
      <c r="G102" t="str">
        <f>"1 "&amp;D102&amp;""</f>
        <v>1 each</v>
      </c>
    </row>
    <row r="103" spans="2:7" x14ac:dyDescent="0.2">
      <c r="B103" s="209" t="s">
        <v>304</v>
      </c>
      <c r="C103" s="209" t="s">
        <v>615</v>
      </c>
      <c r="D103" s="209" t="s">
        <v>187</v>
      </c>
      <c r="E103" s="262">
        <v>190</v>
      </c>
      <c r="F103" s="262">
        <v>200</v>
      </c>
      <c r="G103" s="211" t="str">
        <f>"1 "&amp;D103&amp;""</f>
        <v>1 m</v>
      </c>
    </row>
    <row r="104" spans="2:7" x14ac:dyDescent="0.2">
      <c r="B104" s="212" t="s">
        <v>305</v>
      </c>
      <c r="C104" s="212" t="s">
        <v>616</v>
      </c>
      <c r="D104" s="212" t="s">
        <v>187</v>
      </c>
      <c r="E104" s="264">
        <v>380</v>
      </c>
      <c r="F104" s="264">
        <v>400</v>
      </c>
      <c r="G104" t="str">
        <f t="shared" si="23"/>
        <v>1 m</v>
      </c>
    </row>
    <row r="105" spans="2:7" x14ac:dyDescent="0.2">
      <c r="B105" s="213" t="s">
        <v>306</v>
      </c>
      <c r="C105" s="213" t="s">
        <v>617</v>
      </c>
      <c r="D105" s="213" t="s">
        <v>187</v>
      </c>
      <c r="E105" s="263">
        <v>630</v>
      </c>
      <c r="F105" s="263">
        <v>660</v>
      </c>
      <c r="G105" s="214" t="str">
        <f>"1 "&amp;D105&amp;""</f>
        <v>1 m</v>
      </c>
    </row>
    <row r="106" spans="2:7" x14ac:dyDescent="0.2">
      <c r="B106" s="137" t="s">
        <v>307</v>
      </c>
      <c r="C106" s="137" t="s">
        <v>308</v>
      </c>
      <c r="D106" s="137" t="s">
        <v>235</v>
      </c>
      <c r="E106" s="261">
        <v>240</v>
      </c>
      <c r="F106" s="261">
        <v>250</v>
      </c>
      <c r="G106" t="str">
        <f>"1 "&amp;D106&amp;""</f>
        <v>1 sqm</v>
      </c>
    </row>
    <row r="107" spans="2:7" x14ac:dyDescent="0.2">
      <c r="B107" s="137" t="s">
        <v>309</v>
      </c>
      <c r="C107" s="137" t="s">
        <v>310</v>
      </c>
      <c r="D107" s="137" t="s">
        <v>235</v>
      </c>
      <c r="E107" s="261">
        <v>260</v>
      </c>
      <c r="F107" s="261">
        <v>270</v>
      </c>
      <c r="G107" t="str">
        <f>"1 "&amp;D107&amp;""</f>
        <v>1 sqm</v>
      </c>
    </row>
    <row r="108" spans="2:7" x14ac:dyDescent="0.2">
      <c r="B108" s="137" t="s">
        <v>311</v>
      </c>
      <c r="C108" s="137" t="s">
        <v>312</v>
      </c>
      <c r="D108" s="137" t="s">
        <v>235</v>
      </c>
      <c r="E108" s="261">
        <v>310</v>
      </c>
      <c r="F108" s="261">
        <v>330</v>
      </c>
      <c r="G108" t="str">
        <f t="shared" si="23"/>
        <v>1 sqm</v>
      </c>
    </row>
    <row r="109" spans="2:7" x14ac:dyDescent="0.2">
      <c r="B109" s="209" t="s">
        <v>313</v>
      </c>
      <c r="C109" s="209" t="s">
        <v>646</v>
      </c>
      <c r="D109" s="209" t="s">
        <v>213</v>
      </c>
      <c r="E109" s="262">
        <v>60600</v>
      </c>
      <c r="F109" s="262">
        <v>63630</v>
      </c>
      <c r="G109" s="211" t="str">
        <f>"1 "&amp;D109&amp;""</f>
        <v>1 each</v>
      </c>
    </row>
    <row r="110" spans="2:7" x14ac:dyDescent="0.2">
      <c r="B110" s="212" t="s">
        <v>314</v>
      </c>
      <c r="C110" s="212" t="s">
        <v>647</v>
      </c>
      <c r="D110" s="212" t="s">
        <v>213</v>
      </c>
      <c r="E110" s="264">
        <v>117910</v>
      </c>
      <c r="F110" s="264">
        <v>123810</v>
      </c>
      <c r="G110" t="str">
        <f>"1 "&amp;D110&amp;""</f>
        <v>1 each</v>
      </c>
    </row>
    <row r="111" spans="2:7" x14ac:dyDescent="0.2">
      <c r="B111" s="213" t="s">
        <v>315</v>
      </c>
      <c r="C111" s="213" t="s">
        <v>648</v>
      </c>
      <c r="D111" s="213" t="s">
        <v>213</v>
      </c>
      <c r="E111" s="263">
        <v>207440</v>
      </c>
      <c r="F111" s="263">
        <v>217810</v>
      </c>
      <c r="G111" t="str">
        <f>"1 "&amp;D111&amp;""</f>
        <v>1 each</v>
      </c>
    </row>
    <row r="112" spans="2:7" x14ac:dyDescent="0.2">
      <c r="B112" s="137" t="s">
        <v>316</v>
      </c>
      <c r="C112" s="137" t="s">
        <v>317</v>
      </c>
      <c r="D112" s="137" t="s">
        <v>235</v>
      </c>
      <c r="E112" s="261">
        <v>450</v>
      </c>
      <c r="F112" s="261">
        <v>470</v>
      </c>
      <c r="G112" t="str">
        <f>"1 "&amp;D112&amp;""</f>
        <v>1 sqm</v>
      </c>
    </row>
    <row r="113" spans="2:7" x14ac:dyDescent="0.2">
      <c r="B113" s="209" t="s">
        <v>318</v>
      </c>
      <c r="C113" s="209" t="s">
        <v>624</v>
      </c>
      <c r="D113" s="209" t="s">
        <v>187</v>
      </c>
      <c r="E113" s="262">
        <v>450</v>
      </c>
      <c r="F113" s="262">
        <v>470</v>
      </c>
      <c r="G113" s="211" t="str">
        <f t="shared" si="23"/>
        <v>1 m</v>
      </c>
    </row>
    <row r="114" spans="2:7" x14ac:dyDescent="0.2">
      <c r="B114" s="212" t="s">
        <v>319</v>
      </c>
      <c r="C114" s="212" t="s">
        <v>625</v>
      </c>
      <c r="D114" s="212" t="s">
        <v>187</v>
      </c>
      <c r="E114" s="264">
        <v>530</v>
      </c>
      <c r="F114" s="264">
        <v>560</v>
      </c>
      <c r="G114" t="str">
        <f t="shared" si="23"/>
        <v>1 m</v>
      </c>
    </row>
    <row r="115" spans="2:7" x14ac:dyDescent="0.2">
      <c r="B115" s="212" t="s">
        <v>320</v>
      </c>
      <c r="C115" s="212" t="s">
        <v>626</v>
      </c>
      <c r="D115" s="212" t="s">
        <v>187</v>
      </c>
      <c r="E115" s="264">
        <v>990</v>
      </c>
      <c r="F115" s="264">
        <v>1040</v>
      </c>
      <c r="G115" t="str">
        <f t="shared" si="23"/>
        <v>1 m</v>
      </c>
    </row>
    <row r="116" spans="2:7" x14ac:dyDescent="0.2">
      <c r="B116" s="212" t="s">
        <v>321</v>
      </c>
      <c r="C116" s="212" t="s">
        <v>627</v>
      </c>
      <c r="D116" s="212" t="s">
        <v>187</v>
      </c>
      <c r="E116" s="264">
        <v>1460</v>
      </c>
      <c r="F116" s="264">
        <v>1530</v>
      </c>
      <c r="G116" t="str">
        <f t="shared" si="23"/>
        <v>1 m</v>
      </c>
    </row>
    <row r="117" spans="2:7" x14ac:dyDescent="0.2">
      <c r="B117" s="212" t="s">
        <v>322</v>
      </c>
      <c r="C117" s="212" t="s">
        <v>628</v>
      </c>
      <c r="D117" s="212" t="s">
        <v>187</v>
      </c>
      <c r="E117" s="264">
        <v>1640</v>
      </c>
      <c r="F117" s="264">
        <v>1720</v>
      </c>
      <c r="G117" t="str">
        <f t="shared" si="23"/>
        <v>1 m</v>
      </c>
    </row>
    <row r="118" spans="2:7" x14ac:dyDescent="0.2">
      <c r="B118" s="213" t="s">
        <v>323</v>
      </c>
      <c r="C118" s="213" t="s">
        <v>629</v>
      </c>
      <c r="D118" s="213" t="s">
        <v>187</v>
      </c>
      <c r="E118" s="263">
        <v>1750</v>
      </c>
      <c r="F118" s="263">
        <v>1840</v>
      </c>
      <c r="G118" s="214" t="str">
        <f t="shared" si="23"/>
        <v>1 m</v>
      </c>
    </row>
    <row r="119" spans="2:7" x14ac:dyDescent="0.2">
      <c r="B119" s="209" t="s">
        <v>324</v>
      </c>
      <c r="C119" s="209" t="s">
        <v>649</v>
      </c>
      <c r="D119" s="209" t="s">
        <v>213</v>
      </c>
      <c r="E119" s="262">
        <v>5670</v>
      </c>
      <c r="F119" s="262">
        <v>5950</v>
      </c>
      <c r="G119" s="211" t="str">
        <f t="shared" si="23"/>
        <v>1 each</v>
      </c>
    </row>
    <row r="120" spans="2:7" x14ac:dyDescent="0.2">
      <c r="B120" s="212" t="s">
        <v>325</v>
      </c>
      <c r="C120" s="212" t="s">
        <v>650</v>
      </c>
      <c r="D120" s="212" t="s">
        <v>213</v>
      </c>
      <c r="E120" s="264">
        <v>5670</v>
      </c>
      <c r="F120" s="264">
        <v>5950</v>
      </c>
      <c r="G120" t="str">
        <f t="shared" si="23"/>
        <v>1 each</v>
      </c>
    </row>
    <row r="121" spans="2:7" x14ac:dyDescent="0.2">
      <c r="B121" s="212" t="s">
        <v>326</v>
      </c>
      <c r="C121" s="212" t="s">
        <v>651</v>
      </c>
      <c r="D121" s="212" t="s">
        <v>213</v>
      </c>
      <c r="E121" s="264">
        <v>6550</v>
      </c>
      <c r="F121" s="264">
        <v>6880</v>
      </c>
      <c r="G121" t="str">
        <f t="shared" si="23"/>
        <v>1 each</v>
      </c>
    </row>
    <row r="122" spans="2:7" x14ac:dyDescent="0.2">
      <c r="B122" s="212" t="s">
        <v>327</v>
      </c>
      <c r="C122" s="212" t="s">
        <v>652</v>
      </c>
      <c r="D122" s="212" t="s">
        <v>213</v>
      </c>
      <c r="E122" s="264">
        <v>8670</v>
      </c>
      <c r="F122" s="264">
        <v>9100</v>
      </c>
      <c r="G122" t="str">
        <f t="shared" si="23"/>
        <v>1 each</v>
      </c>
    </row>
    <row r="123" spans="2:7" x14ac:dyDescent="0.2">
      <c r="B123" s="212" t="s">
        <v>328</v>
      </c>
      <c r="C123" s="212" t="s">
        <v>653</v>
      </c>
      <c r="D123" s="212" t="s">
        <v>213</v>
      </c>
      <c r="E123" s="264">
        <v>10020</v>
      </c>
      <c r="F123" s="264">
        <v>10520</v>
      </c>
      <c r="G123" t="str">
        <f t="shared" si="23"/>
        <v>1 each</v>
      </c>
    </row>
    <row r="124" spans="2:7" x14ac:dyDescent="0.2">
      <c r="B124" s="213" t="s">
        <v>329</v>
      </c>
      <c r="C124" s="213" t="s">
        <v>654</v>
      </c>
      <c r="D124" s="213" t="s">
        <v>213</v>
      </c>
      <c r="E124" s="263">
        <v>11050</v>
      </c>
      <c r="F124" s="263">
        <v>11600</v>
      </c>
      <c r="G124" s="214" t="str">
        <f t="shared" si="23"/>
        <v>1 each</v>
      </c>
    </row>
    <row r="125" spans="2:7" x14ac:dyDescent="0.2">
      <c r="B125" s="137" t="s">
        <v>330</v>
      </c>
      <c r="C125" s="137" t="s">
        <v>331</v>
      </c>
      <c r="D125" s="137" t="s">
        <v>187</v>
      </c>
      <c r="E125" s="261">
        <v>2210</v>
      </c>
      <c r="F125" s="261">
        <v>2320</v>
      </c>
      <c r="G125" t="str">
        <f t="shared" si="23"/>
        <v>1 m</v>
      </c>
    </row>
    <row r="126" spans="2:7" x14ac:dyDescent="0.2">
      <c r="B126" s="137" t="s">
        <v>332</v>
      </c>
      <c r="C126" s="137" t="s">
        <v>333</v>
      </c>
      <c r="D126" s="137" t="s">
        <v>187</v>
      </c>
      <c r="E126" s="261">
        <v>2540</v>
      </c>
      <c r="F126" s="261">
        <v>2670</v>
      </c>
      <c r="G126" t="str">
        <f t="shared" si="23"/>
        <v>1 m</v>
      </c>
    </row>
    <row r="129" spans="2:7" ht="12" x14ac:dyDescent="0.25">
      <c r="B129" s="136" t="s">
        <v>175</v>
      </c>
    </row>
    <row r="131" spans="2:7" ht="12" x14ac:dyDescent="0.25">
      <c r="B131" s="27" t="s">
        <v>334</v>
      </c>
      <c r="C131" s="27"/>
      <c r="D131" s="27" t="s">
        <v>180</v>
      </c>
      <c r="E131" s="27" t="s">
        <v>181</v>
      </c>
      <c r="F131" s="27" t="s">
        <v>182</v>
      </c>
      <c r="G131" s="27" t="s">
        <v>183</v>
      </c>
    </row>
    <row r="132" spans="2:7" ht="12" x14ac:dyDescent="0.25">
      <c r="B132" s="137" t="s">
        <v>335</v>
      </c>
      <c r="C132" s="152" t="s">
        <v>336</v>
      </c>
      <c r="D132" s="137"/>
      <c r="E132" s="261"/>
      <c r="F132" s="261"/>
    </row>
    <row r="133" spans="2:7" x14ac:dyDescent="0.2">
      <c r="B133" s="137" t="s">
        <v>337</v>
      </c>
      <c r="C133" s="137" t="s">
        <v>678</v>
      </c>
      <c r="D133" s="137" t="s">
        <v>235</v>
      </c>
      <c r="E133" s="261">
        <v>7880</v>
      </c>
      <c r="F133" s="261">
        <v>8270</v>
      </c>
      <c r="G133" t="str">
        <f t="shared" ref="G133:G215" si="24">"1 "&amp;D133&amp;""</f>
        <v>1 sqm</v>
      </c>
    </row>
    <row r="134" spans="2:7" x14ac:dyDescent="0.2">
      <c r="B134" s="137" t="s">
        <v>339</v>
      </c>
      <c r="C134" s="137" t="s">
        <v>679</v>
      </c>
      <c r="D134" s="137" t="s">
        <v>235</v>
      </c>
      <c r="E134" s="261">
        <v>7720</v>
      </c>
      <c r="F134" s="261">
        <v>8110</v>
      </c>
      <c r="G134" t="str">
        <f t="shared" si="24"/>
        <v>1 sqm</v>
      </c>
    </row>
    <row r="135" spans="2:7" x14ac:dyDescent="0.2">
      <c r="B135" s="137" t="s">
        <v>341</v>
      </c>
      <c r="C135" s="137" t="s">
        <v>680</v>
      </c>
      <c r="D135" s="137" t="s">
        <v>235</v>
      </c>
      <c r="E135" s="261">
        <v>7410</v>
      </c>
      <c r="F135" s="261">
        <v>7780</v>
      </c>
      <c r="G135" t="str">
        <f t="shared" si="24"/>
        <v>1 sqm</v>
      </c>
    </row>
    <row r="136" spans="2:7" ht="12" x14ac:dyDescent="0.25">
      <c r="B136" s="209" t="s">
        <v>343</v>
      </c>
      <c r="C136" s="210" t="s">
        <v>344</v>
      </c>
      <c r="D136" s="209"/>
      <c r="E136" s="262"/>
      <c r="F136" s="262"/>
      <c r="G136" s="211"/>
    </row>
    <row r="137" spans="2:7" x14ac:dyDescent="0.2">
      <c r="B137" s="212" t="s">
        <v>345</v>
      </c>
      <c r="C137" s="212" t="s">
        <v>673</v>
      </c>
      <c r="D137" s="212" t="s">
        <v>213</v>
      </c>
      <c r="E137" s="264">
        <v>16390</v>
      </c>
      <c r="F137" s="264">
        <v>17210</v>
      </c>
      <c r="G137" t="str">
        <f t="shared" si="24"/>
        <v>1 each</v>
      </c>
    </row>
    <row r="138" spans="2:7" x14ac:dyDescent="0.2">
      <c r="B138" s="213" t="s">
        <v>347</v>
      </c>
      <c r="C138" s="213" t="s">
        <v>674</v>
      </c>
      <c r="D138" s="213" t="s">
        <v>213</v>
      </c>
      <c r="E138" s="263">
        <v>21000</v>
      </c>
      <c r="F138" s="263">
        <v>22050</v>
      </c>
      <c r="G138" t="str">
        <f t="shared" si="24"/>
        <v>1 each</v>
      </c>
    </row>
    <row r="139" spans="2:7" x14ac:dyDescent="0.2">
      <c r="B139" s="137" t="s">
        <v>349</v>
      </c>
      <c r="C139" s="137" t="s">
        <v>350</v>
      </c>
      <c r="D139" s="137" t="s">
        <v>187</v>
      </c>
      <c r="E139" s="261">
        <v>240</v>
      </c>
      <c r="F139" s="261">
        <v>250</v>
      </c>
      <c r="G139" s="211" t="str">
        <f t="shared" si="24"/>
        <v>1 m</v>
      </c>
    </row>
    <row r="140" spans="2:7" x14ac:dyDescent="0.2">
      <c r="B140" s="137" t="s">
        <v>351</v>
      </c>
      <c r="C140" s="137" t="s">
        <v>352</v>
      </c>
      <c r="D140" s="137" t="s">
        <v>235</v>
      </c>
      <c r="E140" s="261">
        <v>550</v>
      </c>
      <c r="F140" s="261">
        <v>577</v>
      </c>
      <c r="G140" t="str">
        <f t="shared" si="24"/>
        <v>1 sqm</v>
      </c>
    </row>
    <row r="141" spans="2:7" x14ac:dyDescent="0.2">
      <c r="B141" s="137" t="s">
        <v>353</v>
      </c>
      <c r="C141" s="137" t="s">
        <v>354</v>
      </c>
      <c r="D141" s="137" t="s">
        <v>213</v>
      </c>
      <c r="E141" s="261">
        <v>153100</v>
      </c>
      <c r="F141" s="261">
        <v>160760</v>
      </c>
      <c r="G141" t="str">
        <f t="shared" si="24"/>
        <v>1 each</v>
      </c>
    </row>
    <row r="142" spans="2:7" x14ac:dyDescent="0.2">
      <c r="B142" s="137" t="s">
        <v>355</v>
      </c>
      <c r="C142" s="137" t="s">
        <v>356</v>
      </c>
      <c r="D142" s="137" t="s">
        <v>213</v>
      </c>
      <c r="E142" s="261">
        <v>36500</v>
      </c>
      <c r="F142" s="261">
        <v>38330</v>
      </c>
      <c r="G142" t="str">
        <f t="shared" si="24"/>
        <v>1 each</v>
      </c>
    </row>
    <row r="143" spans="2:7" ht="12" x14ac:dyDescent="0.25">
      <c r="B143" s="209" t="s">
        <v>357</v>
      </c>
      <c r="C143" s="210" t="s">
        <v>358</v>
      </c>
      <c r="D143" s="209"/>
      <c r="E143" s="262"/>
      <c r="F143" s="262"/>
      <c r="G143" s="211"/>
    </row>
    <row r="144" spans="2:7" x14ac:dyDescent="0.2">
      <c r="B144" s="212" t="s">
        <v>359</v>
      </c>
      <c r="C144" s="212" t="s">
        <v>360</v>
      </c>
      <c r="D144" s="212" t="s">
        <v>235</v>
      </c>
      <c r="E144" s="264">
        <v>170</v>
      </c>
      <c r="F144" s="264">
        <v>180</v>
      </c>
      <c r="G144" t="str">
        <f t="shared" si="24"/>
        <v>1 sqm</v>
      </c>
    </row>
    <row r="145" spans="2:7" x14ac:dyDescent="0.2">
      <c r="B145" s="212" t="s">
        <v>361</v>
      </c>
      <c r="C145" s="212" t="s">
        <v>362</v>
      </c>
      <c r="D145" s="212" t="s">
        <v>235</v>
      </c>
      <c r="E145" s="264">
        <v>100</v>
      </c>
      <c r="F145" s="264">
        <v>110</v>
      </c>
      <c r="G145" t="str">
        <f t="shared" si="24"/>
        <v>1 sqm</v>
      </c>
    </row>
    <row r="146" spans="2:7" x14ac:dyDescent="0.2">
      <c r="B146" s="212" t="s">
        <v>363</v>
      </c>
      <c r="C146" s="212" t="s">
        <v>364</v>
      </c>
      <c r="D146" s="212" t="s">
        <v>235</v>
      </c>
      <c r="E146" s="264">
        <v>140</v>
      </c>
      <c r="F146" s="264">
        <v>150</v>
      </c>
      <c r="G146" t="str">
        <f t="shared" si="24"/>
        <v>1 sqm</v>
      </c>
    </row>
    <row r="147" spans="2:7" x14ac:dyDescent="0.2">
      <c r="B147" s="212" t="s">
        <v>365</v>
      </c>
      <c r="C147" s="212" t="s">
        <v>366</v>
      </c>
      <c r="D147" s="212" t="s">
        <v>235</v>
      </c>
      <c r="E147" s="264">
        <v>210</v>
      </c>
      <c r="F147" s="264">
        <v>220</v>
      </c>
      <c r="G147" t="str">
        <f t="shared" si="24"/>
        <v>1 sqm</v>
      </c>
    </row>
    <row r="148" spans="2:7" x14ac:dyDescent="0.2">
      <c r="B148" s="212" t="s">
        <v>367</v>
      </c>
      <c r="C148" s="212" t="s">
        <v>368</v>
      </c>
      <c r="D148" s="212" t="s">
        <v>235</v>
      </c>
      <c r="E148" s="264">
        <v>90</v>
      </c>
      <c r="F148" s="264">
        <v>90</v>
      </c>
      <c r="G148" t="str">
        <f t="shared" si="24"/>
        <v>1 sqm</v>
      </c>
    </row>
    <row r="149" spans="2:7" x14ac:dyDescent="0.2">
      <c r="B149" s="212" t="s">
        <v>369</v>
      </c>
      <c r="C149" s="212" t="s">
        <v>370</v>
      </c>
      <c r="D149" s="212" t="s">
        <v>235</v>
      </c>
      <c r="E149" s="264">
        <v>180</v>
      </c>
      <c r="F149" s="264">
        <v>190</v>
      </c>
      <c r="G149" t="str">
        <f t="shared" si="24"/>
        <v>1 sqm</v>
      </c>
    </row>
    <row r="150" spans="2:7" x14ac:dyDescent="0.2">
      <c r="B150" s="213" t="s">
        <v>371</v>
      </c>
      <c r="C150" s="213" t="s">
        <v>372</v>
      </c>
      <c r="D150" s="213" t="s">
        <v>235</v>
      </c>
      <c r="E150" s="263">
        <v>220</v>
      </c>
      <c r="F150" s="263">
        <v>230</v>
      </c>
      <c r="G150" t="str">
        <f t="shared" si="24"/>
        <v>1 sqm</v>
      </c>
    </row>
    <row r="151" spans="2:7" ht="12" x14ac:dyDescent="0.25">
      <c r="B151" s="137" t="s">
        <v>373</v>
      </c>
      <c r="C151" s="152" t="s">
        <v>374</v>
      </c>
      <c r="D151" s="137"/>
      <c r="E151" s="261"/>
      <c r="F151" s="261"/>
      <c r="G151" s="211"/>
    </row>
    <row r="152" spans="2:7" x14ac:dyDescent="0.2">
      <c r="B152" s="137" t="s">
        <v>375</v>
      </c>
      <c r="C152" s="137" t="s">
        <v>376</v>
      </c>
      <c r="D152" s="137" t="s">
        <v>213</v>
      </c>
      <c r="E152" s="261">
        <v>1284680</v>
      </c>
      <c r="F152" s="261">
        <v>1348920</v>
      </c>
      <c r="G152" t="str">
        <f t="shared" si="24"/>
        <v>1 each</v>
      </c>
    </row>
    <row r="153" spans="2:7" x14ac:dyDescent="0.2">
      <c r="B153" s="137" t="s">
        <v>377</v>
      </c>
      <c r="C153" s="137" t="s">
        <v>378</v>
      </c>
      <c r="D153" s="137" t="s">
        <v>213</v>
      </c>
      <c r="E153" s="261">
        <v>1371720</v>
      </c>
      <c r="F153" s="261">
        <v>1440310</v>
      </c>
      <c r="G153" t="str">
        <f t="shared" si="24"/>
        <v>1 each</v>
      </c>
    </row>
    <row r="154" spans="2:7" ht="12" x14ac:dyDescent="0.25">
      <c r="B154" s="209" t="s">
        <v>379</v>
      </c>
      <c r="C154" s="210" t="s">
        <v>380</v>
      </c>
      <c r="D154" s="209"/>
      <c r="E154" s="262"/>
      <c r="F154" s="262"/>
      <c r="G154" s="211"/>
    </row>
    <row r="155" spans="2:7" x14ac:dyDescent="0.2">
      <c r="B155" s="212" t="s">
        <v>381</v>
      </c>
      <c r="C155" s="212" t="s">
        <v>382</v>
      </c>
      <c r="D155" s="212" t="s">
        <v>213</v>
      </c>
      <c r="E155" s="264">
        <v>1196730</v>
      </c>
      <c r="F155" s="264">
        <v>1256567</v>
      </c>
      <c r="G155" t="str">
        <f t="shared" si="24"/>
        <v>1 each</v>
      </c>
    </row>
    <row r="156" spans="2:7" x14ac:dyDescent="0.2">
      <c r="B156" s="213" t="s">
        <v>383</v>
      </c>
      <c r="C156" s="213" t="s">
        <v>384</v>
      </c>
      <c r="D156" s="213" t="s">
        <v>213</v>
      </c>
      <c r="E156" s="263">
        <v>602430</v>
      </c>
      <c r="F156" s="263">
        <v>608550</v>
      </c>
      <c r="G156" s="214" t="str">
        <f t="shared" si="24"/>
        <v>1 each</v>
      </c>
    </row>
    <row r="157" spans="2:7" x14ac:dyDescent="0.2">
      <c r="B157" s="137" t="s">
        <v>385</v>
      </c>
      <c r="C157" s="137" t="s">
        <v>386</v>
      </c>
      <c r="D157" s="137" t="s">
        <v>213</v>
      </c>
      <c r="E157" s="261">
        <v>307030</v>
      </c>
      <c r="F157" s="261">
        <v>322380</v>
      </c>
      <c r="G157" t="str">
        <f t="shared" si="24"/>
        <v>1 each</v>
      </c>
    </row>
    <row r="158" spans="2:7" x14ac:dyDescent="0.2">
      <c r="B158" s="137" t="s">
        <v>387</v>
      </c>
      <c r="C158" s="137" t="s">
        <v>388</v>
      </c>
      <c r="D158" s="137" t="s">
        <v>213</v>
      </c>
      <c r="E158" s="261">
        <v>223770</v>
      </c>
      <c r="F158" s="261">
        <v>234960</v>
      </c>
      <c r="G158" t="str">
        <f t="shared" si="24"/>
        <v>1 each</v>
      </c>
    </row>
    <row r="159" spans="2:7" x14ac:dyDescent="0.2">
      <c r="B159" s="137" t="s">
        <v>389</v>
      </c>
      <c r="C159" s="137" t="s">
        <v>390</v>
      </c>
      <c r="D159" s="137" t="s">
        <v>213</v>
      </c>
      <c r="E159" s="261">
        <v>1125590</v>
      </c>
      <c r="F159" s="261">
        <v>1181870</v>
      </c>
      <c r="G159" t="str">
        <f t="shared" si="24"/>
        <v>1 each</v>
      </c>
    </row>
    <row r="160" spans="2:7" x14ac:dyDescent="0.2">
      <c r="B160" s="137" t="s">
        <v>391</v>
      </c>
      <c r="C160" s="137" t="s">
        <v>392</v>
      </c>
      <c r="D160" s="137" t="s">
        <v>213</v>
      </c>
      <c r="E160" s="261">
        <v>220794</v>
      </c>
      <c r="F160" s="261">
        <v>231830</v>
      </c>
      <c r="G160" t="str">
        <f t="shared" si="24"/>
        <v>1 each</v>
      </c>
    </row>
    <row r="161" spans="2:7" ht="12" x14ac:dyDescent="0.25">
      <c r="B161" s="209" t="s">
        <v>393</v>
      </c>
      <c r="C161" s="210" t="s">
        <v>394</v>
      </c>
      <c r="D161" s="209"/>
      <c r="E161" s="262"/>
      <c r="F161" s="262"/>
      <c r="G161" s="211"/>
    </row>
    <row r="162" spans="2:7" x14ac:dyDescent="0.2">
      <c r="B162" s="212" t="s">
        <v>395</v>
      </c>
      <c r="C162" s="212" t="s">
        <v>688</v>
      </c>
      <c r="D162" s="212" t="s">
        <v>397</v>
      </c>
      <c r="E162" s="264">
        <v>195320</v>
      </c>
      <c r="F162" s="264">
        <v>205090</v>
      </c>
      <c r="G162" t="str">
        <f>"1 "&amp;D162&amp;""</f>
        <v>1 pitch</v>
      </c>
    </row>
    <row r="163" spans="2:7" x14ac:dyDescent="0.2">
      <c r="B163" s="212" t="s">
        <v>398</v>
      </c>
      <c r="C163" s="212" t="s">
        <v>689</v>
      </c>
      <c r="D163" s="212" t="s">
        <v>400</v>
      </c>
      <c r="E163" s="264">
        <v>67520</v>
      </c>
      <c r="F163" s="264">
        <v>70900</v>
      </c>
      <c r="G163" t="str">
        <f t="shared" ref="G163" si="25">"1 "&amp;D164&amp;""</f>
        <v>1 court</v>
      </c>
    </row>
    <row r="164" spans="2:7" x14ac:dyDescent="0.2">
      <c r="B164" s="212" t="s">
        <v>401</v>
      </c>
      <c r="C164" s="212" t="s">
        <v>690</v>
      </c>
      <c r="D164" s="212" t="s">
        <v>400</v>
      </c>
      <c r="E164" s="264">
        <v>67520</v>
      </c>
      <c r="F164" s="264">
        <v>70900</v>
      </c>
      <c r="G164" t="str">
        <f>"1 "&amp;D164&amp;""</f>
        <v>1 court</v>
      </c>
    </row>
    <row r="165" spans="2:7" x14ac:dyDescent="0.2">
      <c r="B165" s="213" t="s">
        <v>403</v>
      </c>
      <c r="C165" s="213" t="s">
        <v>698</v>
      </c>
      <c r="D165" s="213" t="s">
        <v>405</v>
      </c>
      <c r="E165" s="263">
        <v>292980</v>
      </c>
      <c r="F165" s="263">
        <v>307635</v>
      </c>
      <c r="G165" s="214" t="str">
        <f t="shared" si="24"/>
        <v>1 double/combined field</v>
      </c>
    </row>
    <row r="166" spans="2:7" ht="12" x14ac:dyDescent="0.25">
      <c r="B166" s="209" t="s">
        <v>406</v>
      </c>
      <c r="C166" s="210" t="s">
        <v>407</v>
      </c>
      <c r="D166" s="209"/>
      <c r="E166" s="262"/>
      <c r="F166" s="262"/>
      <c r="G166" s="211"/>
    </row>
    <row r="167" spans="2:7" x14ac:dyDescent="0.2">
      <c r="B167" s="212" t="s">
        <v>408</v>
      </c>
      <c r="C167" s="212" t="s">
        <v>691</v>
      </c>
      <c r="D167" s="212" t="s">
        <v>213</v>
      </c>
      <c r="E167" s="264">
        <v>10</v>
      </c>
      <c r="F167" s="264">
        <v>10</v>
      </c>
      <c r="G167" t="str">
        <f t="shared" si="24"/>
        <v>1 each</v>
      </c>
    </row>
    <row r="168" spans="2:7" x14ac:dyDescent="0.2">
      <c r="B168" s="212" t="s">
        <v>410</v>
      </c>
      <c r="C168" s="212" t="s">
        <v>692</v>
      </c>
      <c r="D168" s="212" t="s">
        <v>213</v>
      </c>
      <c r="E168" s="264">
        <v>330</v>
      </c>
      <c r="F168" s="264">
        <v>346</v>
      </c>
      <c r="G168" t="str">
        <f t="shared" si="24"/>
        <v>1 each</v>
      </c>
    </row>
    <row r="169" spans="2:7" x14ac:dyDescent="0.2">
      <c r="B169" s="212" t="s">
        <v>412</v>
      </c>
      <c r="C169" s="212" t="s">
        <v>693</v>
      </c>
      <c r="D169" s="212" t="s">
        <v>213</v>
      </c>
      <c r="E169" s="264">
        <v>590</v>
      </c>
      <c r="F169" s="264">
        <v>620</v>
      </c>
      <c r="G169" t="str">
        <f t="shared" si="24"/>
        <v>1 each</v>
      </c>
    </row>
    <row r="170" spans="2:7" x14ac:dyDescent="0.2">
      <c r="B170" s="212" t="s">
        <v>414</v>
      </c>
      <c r="C170" s="212" t="s">
        <v>694</v>
      </c>
      <c r="D170" s="212" t="s">
        <v>235</v>
      </c>
      <c r="E170" s="264">
        <v>60</v>
      </c>
      <c r="F170" s="264">
        <v>63</v>
      </c>
      <c r="G170" t="str">
        <f t="shared" si="24"/>
        <v>1 sqm</v>
      </c>
    </row>
    <row r="171" spans="2:7" x14ac:dyDescent="0.2">
      <c r="B171" s="212" t="s">
        <v>416</v>
      </c>
      <c r="C171" s="212" t="s">
        <v>695</v>
      </c>
      <c r="D171" s="212" t="s">
        <v>235</v>
      </c>
      <c r="E171" s="264">
        <v>40</v>
      </c>
      <c r="F171" s="264">
        <v>42</v>
      </c>
      <c r="G171" t="str">
        <f t="shared" si="24"/>
        <v>1 sqm</v>
      </c>
    </row>
    <row r="172" spans="2:7" x14ac:dyDescent="0.2">
      <c r="B172" s="212" t="s">
        <v>418</v>
      </c>
      <c r="C172" s="212" t="s">
        <v>696</v>
      </c>
      <c r="D172" s="212" t="s">
        <v>187</v>
      </c>
      <c r="E172" s="264">
        <v>90</v>
      </c>
      <c r="F172" s="264">
        <v>95</v>
      </c>
      <c r="G172" t="str">
        <f t="shared" si="24"/>
        <v>1 m</v>
      </c>
    </row>
    <row r="173" spans="2:7" x14ac:dyDescent="0.2">
      <c r="B173" s="213" t="s">
        <v>420</v>
      </c>
      <c r="C173" s="213" t="s">
        <v>697</v>
      </c>
      <c r="D173" s="213" t="s">
        <v>187</v>
      </c>
      <c r="E173" s="263">
        <v>90</v>
      </c>
      <c r="F173" s="263">
        <v>95</v>
      </c>
      <c r="G173" s="214" t="str">
        <f t="shared" si="24"/>
        <v>1 m</v>
      </c>
    </row>
    <row r="174" spans="2:7" x14ac:dyDescent="0.2">
      <c r="B174" s="137" t="s">
        <v>422</v>
      </c>
      <c r="C174" s="137" t="s">
        <v>423</v>
      </c>
      <c r="D174" s="137" t="s">
        <v>213</v>
      </c>
      <c r="E174" s="261">
        <v>3720</v>
      </c>
      <c r="F174" s="261">
        <v>3910</v>
      </c>
      <c r="G174" t="str">
        <f t="shared" si="24"/>
        <v>1 each</v>
      </c>
    </row>
    <row r="175" spans="2:7" ht="12" x14ac:dyDescent="0.25">
      <c r="B175" s="209" t="s">
        <v>424</v>
      </c>
      <c r="C175" s="210" t="s">
        <v>425</v>
      </c>
      <c r="D175" s="209"/>
      <c r="E175" s="262"/>
      <c r="F175" s="262"/>
      <c r="G175" s="211"/>
    </row>
    <row r="176" spans="2:7" x14ac:dyDescent="0.2">
      <c r="B176" s="212" t="s">
        <v>426</v>
      </c>
      <c r="C176" s="212" t="s">
        <v>682</v>
      </c>
      <c r="D176" s="212" t="s">
        <v>235</v>
      </c>
      <c r="E176" s="264">
        <v>150</v>
      </c>
      <c r="F176" s="264">
        <v>160</v>
      </c>
      <c r="G176" t="str">
        <f t="shared" si="24"/>
        <v>1 sqm</v>
      </c>
    </row>
    <row r="177" spans="2:7" x14ac:dyDescent="0.2">
      <c r="B177" s="212" t="s">
        <v>428</v>
      </c>
      <c r="C177" s="212" t="s">
        <v>683</v>
      </c>
      <c r="D177" s="212" t="s">
        <v>235</v>
      </c>
      <c r="E177" s="264">
        <v>350</v>
      </c>
      <c r="F177" s="264">
        <v>370</v>
      </c>
      <c r="G177" t="str">
        <f t="shared" si="24"/>
        <v>1 sqm</v>
      </c>
    </row>
    <row r="178" spans="2:7" x14ac:dyDescent="0.2">
      <c r="B178" s="212" t="s">
        <v>430</v>
      </c>
      <c r="C178" s="212" t="s">
        <v>684</v>
      </c>
      <c r="D178" s="212" t="s">
        <v>235</v>
      </c>
      <c r="E178" s="264">
        <v>170</v>
      </c>
      <c r="F178" s="264">
        <v>180</v>
      </c>
      <c r="G178" t="str">
        <f t="shared" si="24"/>
        <v>1 sqm</v>
      </c>
    </row>
    <row r="179" spans="2:7" x14ac:dyDescent="0.2">
      <c r="B179" s="212" t="s">
        <v>432</v>
      </c>
      <c r="C179" s="212" t="s">
        <v>685</v>
      </c>
      <c r="D179" s="212" t="s">
        <v>235</v>
      </c>
      <c r="E179" s="264">
        <v>380</v>
      </c>
      <c r="F179" s="264">
        <v>400</v>
      </c>
      <c r="G179" t="str">
        <f t="shared" si="24"/>
        <v>1 sqm</v>
      </c>
    </row>
    <row r="180" spans="2:7" x14ac:dyDescent="0.2">
      <c r="B180" s="212" t="s">
        <v>434</v>
      </c>
      <c r="C180" s="212" t="s">
        <v>686</v>
      </c>
      <c r="D180" s="212" t="s">
        <v>235</v>
      </c>
      <c r="E180" s="264">
        <v>270</v>
      </c>
      <c r="F180" s="264">
        <v>280</v>
      </c>
      <c r="G180" t="str">
        <f t="shared" si="24"/>
        <v>1 sqm</v>
      </c>
    </row>
    <row r="181" spans="2:7" x14ac:dyDescent="0.2">
      <c r="B181" s="213" t="s">
        <v>436</v>
      </c>
      <c r="C181" s="213" t="s">
        <v>687</v>
      </c>
      <c r="D181" s="213" t="s">
        <v>235</v>
      </c>
      <c r="E181" s="263">
        <v>260</v>
      </c>
      <c r="F181" s="263">
        <v>270</v>
      </c>
      <c r="G181" s="214" t="str">
        <f t="shared" si="24"/>
        <v>1 sqm</v>
      </c>
    </row>
    <row r="182" spans="2:7" ht="12" x14ac:dyDescent="0.25">
      <c r="B182" s="137" t="s">
        <v>438</v>
      </c>
      <c r="C182" s="152" t="s">
        <v>439</v>
      </c>
      <c r="D182" s="137"/>
      <c r="E182" s="261"/>
      <c r="F182" s="261"/>
    </row>
    <row r="183" spans="2:7" x14ac:dyDescent="0.2">
      <c r="B183" s="137" t="s">
        <v>440</v>
      </c>
      <c r="C183" s="137" t="s">
        <v>723</v>
      </c>
      <c r="D183" s="137" t="s">
        <v>213</v>
      </c>
      <c r="E183" s="261">
        <v>8650</v>
      </c>
      <c r="F183" s="261">
        <v>9080</v>
      </c>
      <c r="G183" t="str">
        <f>"1 "&amp;D183&amp;""</f>
        <v>1 each</v>
      </c>
    </row>
    <row r="184" spans="2:7" x14ac:dyDescent="0.2">
      <c r="B184" s="137" t="s">
        <v>442</v>
      </c>
      <c r="C184" s="137" t="s">
        <v>724</v>
      </c>
      <c r="D184" s="137" t="s">
        <v>235</v>
      </c>
      <c r="E184" s="261">
        <v>220</v>
      </c>
      <c r="F184" s="261">
        <v>230</v>
      </c>
      <c r="G184" t="str">
        <f>"1 "&amp;D184&amp;""</f>
        <v>1 sqm</v>
      </c>
    </row>
    <row r="185" spans="2:7" ht="12" x14ac:dyDescent="0.25">
      <c r="B185" s="209" t="s">
        <v>444</v>
      </c>
      <c r="C185" s="210" t="s">
        <v>445</v>
      </c>
      <c r="D185" s="209"/>
      <c r="E185" s="262"/>
      <c r="F185" s="262"/>
      <c r="G185" s="211"/>
    </row>
    <row r="186" spans="2:7" x14ac:dyDescent="0.2">
      <c r="B186" s="212" t="s">
        <v>446</v>
      </c>
      <c r="C186" s="212" t="s">
        <v>733</v>
      </c>
      <c r="D186" s="212" t="s">
        <v>213</v>
      </c>
      <c r="E186" s="264">
        <v>13890</v>
      </c>
      <c r="F186" s="264">
        <v>14580</v>
      </c>
      <c r="G186" t="str">
        <f t="shared" si="24"/>
        <v>1 each</v>
      </c>
    </row>
    <row r="187" spans="2:7" x14ac:dyDescent="0.2">
      <c r="B187" s="212" t="s">
        <v>447</v>
      </c>
      <c r="C187" s="212" t="s">
        <v>734</v>
      </c>
      <c r="D187" s="212" t="s">
        <v>213</v>
      </c>
      <c r="E187" s="264">
        <v>20530</v>
      </c>
      <c r="F187" s="264">
        <v>21560</v>
      </c>
      <c r="G187" t="str">
        <f t="shared" si="24"/>
        <v>1 each</v>
      </c>
    </row>
    <row r="188" spans="2:7" x14ac:dyDescent="0.2">
      <c r="B188" s="212" t="s">
        <v>448</v>
      </c>
      <c r="C188" s="212" t="s">
        <v>735</v>
      </c>
      <c r="D188" s="212" t="s">
        <v>213</v>
      </c>
      <c r="E188" s="264">
        <v>27170</v>
      </c>
      <c r="F188" s="264">
        <v>28530</v>
      </c>
      <c r="G188" t="str">
        <f t="shared" si="24"/>
        <v>1 each</v>
      </c>
    </row>
    <row r="189" spans="2:7" x14ac:dyDescent="0.2">
      <c r="B189" s="212" t="s">
        <v>449</v>
      </c>
      <c r="C189" s="212" t="s">
        <v>728</v>
      </c>
      <c r="D189" s="212" t="s">
        <v>213</v>
      </c>
      <c r="E189" s="264">
        <v>40450</v>
      </c>
      <c r="F189" s="264">
        <v>42470</v>
      </c>
      <c r="G189" t="str">
        <f t="shared" si="24"/>
        <v>1 each</v>
      </c>
    </row>
    <row r="190" spans="2:7" x14ac:dyDescent="0.2">
      <c r="B190" s="212" t="s">
        <v>451</v>
      </c>
      <c r="C190" s="212" t="s">
        <v>729</v>
      </c>
      <c r="D190" s="212" t="s">
        <v>213</v>
      </c>
      <c r="E190" s="264">
        <v>9730</v>
      </c>
      <c r="F190" s="264">
        <v>10220</v>
      </c>
      <c r="G190" t="str">
        <f t="shared" si="24"/>
        <v>1 each</v>
      </c>
    </row>
    <row r="191" spans="2:7" x14ac:dyDescent="0.2">
      <c r="B191" s="212" t="s">
        <v>453</v>
      </c>
      <c r="C191" s="212" t="s">
        <v>730</v>
      </c>
      <c r="D191" s="212" t="s">
        <v>213</v>
      </c>
      <c r="E191" s="264">
        <v>12780</v>
      </c>
      <c r="F191" s="264">
        <v>13420</v>
      </c>
      <c r="G191" t="str">
        <f t="shared" si="24"/>
        <v>1 each</v>
      </c>
    </row>
    <row r="192" spans="2:7" x14ac:dyDescent="0.2">
      <c r="B192" s="212" t="s">
        <v>455</v>
      </c>
      <c r="C192" s="212" t="s">
        <v>731</v>
      </c>
      <c r="D192" s="212" t="s">
        <v>235</v>
      </c>
      <c r="E192" s="264">
        <v>420</v>
      </c>
      <c r="F192" s="264">
        <v>440</v>
      </c>
      <c r="G192" t="str">
        <f t="shared" si="24"/>
        <v>1 sqm</v>
      </c>
    </row>
    <row r="193" spans="2:7" x14ac:dyDescent="0.2">
      <c r="B193" s="213" t="s">
        <v>457</v>
      </c>
      <c r="C193" s="213" t="s">
        <v>732</v>
      </c>
      <c r="D193" s="213" t="s">
        <v>187</v>
      </c>
      <c r="E193" s="263">
        <v>130</v>
      </c>
      <c r="F193" s="263">
        <v>140</v>
      </c>
      <c r="G193" s="214" t="str">
        <f t="shared" si="24"/>
        <v>1 m</v>
      </c>
    </row>
    <row r="194" spans="2:7" ht="12" x14ac:dyDescent="0.25">
      <c r="B194" s="209" t="s">
        <v>459</v>
      </c>
      <c r="C194" s="210" t="s">
        <v>460</v>
      </c>
      <c r="D194" s="209"/>
      <c r="E194" s="262"/>
      <c r="F194" s="262"/>
      <c r="G194" s="211"/>
    </row>
    <row r="195" spans="2:7" x14ac:dyDescent="0.2">
      <c r="B195" s="212" t="s">
        <v>461</v>
      </c>
      <c r="C195" s="212" t="s">
        <v>736</v>
      </c>
      <c r="D195" s="212" t="s">
        <v>213</v>
      </c>
      <c r="E195" s="264">
        <v>5400</v>
      </c>
      <c r="F195" s="264">
        <v>5670</v>
      </c>
      <c r="G195" t="str">
        <f t="shared" si="24"/>
        <v>1 each</v>
      </c>
    </row>
    <row r="196" spans="2:7" x14ac:dyDescent="0.2">
      <c r="B196" s="212" t="s">
        <v>463</v>
      </c>
      <c r="C196" s="212" t="s">
        <v>737</v>
      </c>
      <c r="D196" s="212" t="s">
        <v>213</v>
      </c>
      <c r="E196" s="264">
        <v>4760</v>
      </c>
      <c r="F196" s="264">
        <v>5000</v>
      </c>
      <c r="G196" t="str">
        <f t="shared" si="24"/>
        <v>1 each</v>
      </c>
    </row>
    <row r="197" spans="2:7" x14ac:dyDescent="0.2">
      <c r="B197" s="212" t="s">
        <v>465</v>
      </c>
      <c r="C197" s="212" t="s">
        <v>738</v>
      </c>
      <c r="D197" s="212" t="s">
        <v>213</v>
      </c>
      <c r="E197" s="264">
        <v>3750</v>
      </c>
      <c r="F197" s="264">
        <v>3940</v>
      </c>
      <c r="G197" t="str">
        <f t="shared" si="24"/>
        <v>1 each</v>
      </c>
    </row>
    <row r="198" spans="2:7" x14ac:dyDescent="0.2">
      <c r="B198" s="213" t="s">
        <v>467</v>
      </c>
      <c r="C198" s="213" t="s">
        <v>739</v>
      </c>
      <c r="D198" s="213" t="s">
        <v>213</v>
      </c>
      <c r="E198" s="263">
        <v>3240</v>
      </c>
      <c r="F198" s="263">
        <v>3400</v>
      </c>
      <c r="G198" s="214" t="str">
        <f t="shared" si="24"/>
        <v>1 each</v>
      </c>
    </row>
    <row r="199" spans="2:7" x14ac:dyDescent="0.2">
      <c r="B199" s="137" t="s">
        <v>469</v>
      </c>
      <c r="C199" s="137" t="s">
        <v>470</v>
      </c>
      <c r="D199" s="137" t="s">
        <v>235</v>
      </c>
      <c r="E199" s="261">
        <v>220</v>
      </c>
      <c r="F199" s="261">
        <v>230</v>
      </c>
      <c r="G199" t="str">
        <f t="shared" si="24"/>
        <v>1 sqm</v>
      </c>
    </row>
    <row r="200" spans="2:7" ht="12" x14ac:dyDescent="0.25">
      <c r="B200" s="209" t="s">
        <v>471</v>
      </c>
      <c r="C200" s="210" t="s">
        <v>472</v>
      </c>
      <c r="D200" s="209"/>
      <c r="E200" s="262"/>
      <c r="F200" s="262"/>
      <c r="G200" s="211"/>
    </row>
    <row r="201" spans="2:7" x14ac:dyDescent="0.2">
      <c r="B201" s="212" t="s">
        <v>473</v>
      </c>
      <c r="C201" s="212" t="s">
        <v>740</v>
      </c>
      <c r="D201" s="212" t="s">
        <v>213</v>
      </c>
      <c r="E201" s="264">
        <v>6740</v>
      </c>
      <c r="F201" s="264">
        <v>7080</v>
      </c>
      <c r="G201" t="str">
        <f t="shared" si="24"/>
        <v>1 each</v>
      </c>
    </row>
    <row r="202" spans="2:7" x14ac:dyDescent="0.2">
      <c r="B202" s="212" t="s">
        <v>475</v>
      </c>
      <c r="C202" s="212" t="s">
        <v>741</v>
      </c>
      <c r="D202" s="212" t="s">
        <v>213</v>
      </c>
      <c r="E202" s="264">
        <v>8340</v>
      </c>
      <c r="F202" s="264">
        <v>8760</v>
      </c>
      <c r="G202" t="str">
        <f t="shared" si="24"/>
        <v>1 each</v>
      </c>
    </row>
    <row r="203" spans="2:7" x14ac:dyDescent="0.2">
      <c r="B203" s="212" t="s">
        <v>477</v>
      </c>
      <c r="C203" s="212" t="s">
        <v>742</v>
      </c>
      <c r="D203" s="212" t="s">
        <v>213</v>
      </c>
      <c r="E203" s="264">
        <v>10880</v>
      </c>
      <c r="F203" s="264">
        <v>11420</v>
      </c>
      <c r="G203" t="str">
        <f t="shared" si="24"/>
        <v>1 each</v>
      </c>
    </row>
    <row r="204" spans="2:7" x14ac:dyDescent="0.2">
      <c r="B204" s="213" t="s">
        <v>479</v>
      </c>
      <c r="C204" s="213" t="s">
        <v>743</v>
      </c>
      <c r="D204" s="213" t="s">
        <v>213</v>
      </c>
      <c r="E204" s="263">
        <v>13670</v>
      </c>
      <c r="F204" s="263">
        <v>14350</v>
      </c>
      <c r="G204" s="214" t="str">
        <f t="shared" si="24"/>
        <v>1 each</v>
      </c>
    </row>
    <row r="205" spans="2:7" ht="12" x14ac:dyDescent="0.25">
      <c r="B205" s="137" t="s">
        <v>481</v>
      </c>
      <c r="C205" s="152" t="s">
        <v>482</v>
      </c>
      <c r="D205" s="137"/>
      <c r="E205" s="261"/>
      <c r="F205" s="261"/>
    </row>
    <row r="206" spans="2:7" x14ac:dyDescent="0.2">
      <c r="B206" s="137" t="s">
        <v>483</v>
      </c>
      <c r="C206" s="137" t="s">
        <v>746</v>
      </c>
      <c r="D206" s="137" t="s">
        <v>235</v>
      </c>
      <c r="E206" s="261">
        <v>50</v>
      </c>
      <c r="F206" s="261">
        <v>52</v>
      </c>
      <c r="G206" t="str">
        <f t="shared" si="24"/>
        <v>1 sqm</v>
      </c>
    </row>
    <row r="207" spans="2:7" x14ac:dyDescent="0.2">
      <c r="B207" s="137" t="s">
        <v>485</v>
      </c>
      <c r="C207" s="137" t="s">
        <v>747</v>
      </c>
      <c r="D207" s="137" t="s">
        <v>235</v>
      </c>
      <c r="E207" s="261">
        <v>20</v>
      </c>
      <c r="F207" s="261">
        <v>21</v>
      </c>
      <c r="G207" t="str">
        <f t="shared" si="24"/>
        <v>1 sqm</v>
      </c>
    </row>
    <row r="208" spans="2:7" ht="12" x14ac:dyDescent="0.25">
      <c r="B208" s="209" t="s">
        <v>487</v>
      </c>
      <c r="C208" s="210" t="s">
        <v>488</v>
      </c>
      <c r="D208" s="209"/>
      <c r="E208" s="262"/>
      <c r="F208" s="262"/>
      <c r="G208" s="211"/>
    </row>
    <row r="209" spans="2:7" x14ac:dyDescent="0.2">
      <c r="B209" s="212" t="s">
        <v>489</v>
      </c>
      <c r="C209" s="212" t="s">
        <v>744</v>
      </c>
      <c r="D209" s="212" t="s">
        <v>235</v>
      </c>
      <c r="E209" s="264">
        <v>500</v>
      </c>
      <c r="F209" s="264">
        <v>530</v>
      </c>
      <c r="G209" t="str">
        <f t="shared" si="24"/>
        <v>1 sqm</v>
      </c>
    </row>
    <row r="210" spans="2:7" x14ac:dyDescent="0.2">
      <c r="B210" s="213" t="s">
        <v>491</v>
      </c>
      <c r="C210" s="213" t="s">
        <v>745</v>
      </c>
      <c r="D210" s="213" t="s">
        <v>235</v>
      </c>
      <c r="E210" s="263">
        <v>670</v>
      </c>
      <c r="F210" s="263">
        <v>700</v>
      </c>
      <c r="G210" s="214" t="str">
        <f t="shared" si="24"/>
        <v>1 sqm</v>
      </c>
    </row>
    <row r="211" spans="2:7" x14ac:dyDescent="0.2">
      <c r="B211" s="137" t="s">
        <v>493</v>
      </c>
      <c r="C211" s="137" t="s">
        <v>494</v>
      </c>
      <c r="D211" s="137" t="s">
        <v>235</v>
      </c>
      <c r="E211" s="261">
        <v>20</v>
      </c>
      <c r="F211" s="261">
        <v>21</v>
      </c>
      <c r="G211" t="str">
        <f>"667 "&amp;D211&amp;""</f>
        <v>667 sqm</v>
      </c>
    </row>
    <row r="212" spans="2:7" x14ac:dyDescent="0.2">
      <c r="B212" s="137" t="s">
        <v>495</v>
      </c>
      <c r="C212" s="137" t="s">
        <v>496</v>
      </c>
      <c r="D212" s="137" t="s">
        <v>235</v>
      </c>
      <c r="E212" s="261">
        <v>220</v>
      </c>
      <c r="F212" s="261">
        <v>230</v>
      </c>
      <c r="G212" t="str">
        <f t="shared" si="24"/>
        <v>1 sqm</v>
      </c>
    </row>
    <row r="213" spans="2:7" x14ac:dyDescent="0.2">
      <c r="B213" s="137" t="s">
        <v>497</v>
      </c>
      <c r="C213" s="137" t="s">
        <v>498</v>
      </c>
      <c r="D213" s="137" t="s">
        <v>213</v>
      </c>
      <c r="E213" s="261">
        <v>2200</v>
      </c>
      <c r="F213" s="261">
        <v>2300</v>
      </c>
      <c r="G213" t="str">
        <f t="shared" si="24"/>
        <v>1 each</v>
      </c>
    </row>
    <row r="214" spans="2:7" x14ac:dyDescent="0.2">
      <c r="B214" s="137" t="s">
        <v>499</v>
      </c>
      <c r="C214" s="137" t="s">
        <v>500</v>
      </c>
      <c r="D214" s="137" t="s">
        <v>213</v>
      </c>
      <c r="E214" s="261">
        <v>700</v>
      </c>
      <c r="F214" s="261">
        <v>730</v>
      </c>
      <c r="G214" t="str">
        <f t="shared" si="24"/>
        <v>1 each</v>
      </c>
    </row>
    <row r="215" spans="2:7" x14ac:dyDescent="0.2">
      <c r="B215" s="137" t="s">
        <v>501</v>
      </c>
      <c r="C215" s="137" t="s">
        <v>502</v>
      </c>
      <c r="D215" s="137" t="s">
        <v>213</v>
      </c>
      <c r="E215" s="261">
        <v>4500</v>
      </c>
      <c r="F215" s="261">
        <v>4725</v>
      </c>
      <c r="G215" t="str">
        <f t="shared" si="24"/>
        <v>1 each</v>
      </c>
    </row>
    <row r="218" spans="2:7" ht="12" x14ac:dyDescent="0.25">
      <c r="B218" s="136" t="s">
        <v>503</v>
      </c>
    </row>
    <row r="220" spans="2:7" ht="12" x14ac:dyDescent="0.25">
      <c r="B220" s="27" t="s">
        <v>178</v>
      </c>
      <c r="C220" s="27" t="s">
        <v>179</v>
      </c>
      <c r="D220" s="27" t="s">
        <v>180</v>
      </c>
      <c r="E220" s="27" t="s">
        <v>181</v>
      </c>
      <c r="F220" s="27" t="s">
        <v>182</v>
      </c>
      <c r="G220" s="27" t="s">
        <v>183</v>
      </c>
    </row>
    <row r="221" spans="2:7" x14ac:dyDescent="0.2">
      <c r="B221" s="137" t="s">
        <v>751</v>
      </c>
      <c r="C221" s="137" t="s">
        <v>504</v>
      </c>
      <c r="E221" s="265" t="s">
        <v>505</v>
      </c>
      <c r="F221" s="265" t="s">
        <v>505</v>
      </c>
    </row>
  </sheetData>
  <sheetProtection algorithmName="SHA-512" hashValue="iYgfAK5nZwiYDaDNmKhnx1/fMbgQFfVqXOAfrLFC3dNYCG5NOwUSAZ0TkCL3hX2jxcwv09khLlpN1Cvqng894A==" saltValue="NpXPcYw8JaLIwaXUssCwug==" spinCount="100000" sheet="1" objects="1" scenarios="1"/>
  <hyperlinks>
    <hyperlink ref="J6" location="'Rawlinsons regional indices'!A1" display="See Rawlinsons regional indices tab" xr:uid="{2A233E27-5535-49B0-BD00-ACEC857D2711}"/>
    <hyperlink ref="K6" location="'Rawlinsons regional indices'!A1" display="See Rawlinsons regional indices tab" xr:uid="{E2CEB04A-2755-4E32-A1C0-95052DFAF8C6}"/>
  </hyperlinks>
  <pageMargins left="0.7" right="0.7" top="0.75" bottom="0.75" header="0.3" footer="0.3"/>
  <ignoredErrors>
    <ignoredError sqref="G1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0B065-6ECE-4C39-9503-B118B670B197}">
  <sheetPr codeName="Sheet1"/>
  <dimension ref="A1:R63"/>
  <sheetViews>
    <sheetView zoomScaleNormal="100" workbookViewId="0"/>
  </sheetViews>
  <sheetFormatPr defaultRowHeight="11.4" x14ac:dyDescent="0.2"/>
  <cols>
    <col min="1" max="1" width="13.625" bestFit="1" customWidth="1"/>
    <col min="2" max="2" width="12.75" bestFit="1" customWidth="1"/>
  </cols>
  <sheetData>
    <row r="1" spans="1:3" ht="12" x14ac:dyDescent="0.25">
      <c r="A1" s="27" t="s">
        <v>150</v>
      </c>
      <c r="B1" s="384" t="s">
        <v>506</v>
      </c>
      <c r="C1" s="384"/>
    </row>
    <row r="2" spans="1:3" x14ac:dyDescent="0.2">
      <c r="A2" s="137" t="s">
        <v>507</v>
      </c>
      <c r="B2" s="137">
        <v>101</v>
      </c>
      <c r="C2" s="147">
        <f t="shared" ref="C2:C33" si="0">B2/100-1</f>
        <v>1.0000000000000009E-2</v>
      </c>
    </row>
    <row r="3" spans="1:3" x14ac:dyDescent="0.2">
      <c r="A3" s="137" t="s">
        <v>508</v>
      </c>
      <c r="B3" s="137">
        <v>110</v>
      </c>
      <c r="C3" s="147">
        <f t="shared" si="0"/>
        <v>0.10000000000000009</v>
      </c>
    </row>
    <row r="4" spans="1:3" x14ac:dyDescent="0.2">
      <c r="A4" s="137" t="s">
        <v>509</v>
      </c>
      <c r="B4" s="137">
        <v>110</v>
      </c>
      <c r="C4" s="147">
        <f t="shared" si="0"/>
        <v>0.10000000000000009</v>
      </c>
    </row>
    <row r="5" spans="1:3" x14ac:dyDescent="0.2">
      <c r="A5" s="137" t="s">
        <v>510</v>
      </c>
      <c r="B5" s="137">
        <v>105</v>
      </c>
      <c r="C5" s="147">
        <f t="shared" si="0"/>
        <v>5.0000000000000044E-2</v>
      </c>
    </row>
    <row r="6" spans="1:3" x14ac:dyDescent="0.2">
      <c r="A6" s="137" t="s">
        <v>511</v>
      </c>
      <c r="B6" s="137">
        <v>112</v>
      </c>
      <c r="C6" s="147">
        <f t="shared" si="0"/>
        <v>0.12000000000000011</v>
      </c>
    </row>
    <row r="7" spans="1:3" x14ac:dyDescent="0.2">
      <c r="A7" s="137" t="s">
        <v>512</v>
      </c>
      <c r="B7" s="137">
        <v>115</v>
      </c>
      <c r="C7" s="147">
        <f t="shared" si="0"/>
        <v>0.14999999999999991</v>
      </c>
    </row>
    <row r="8" spans="1:3" x14ac:dyDescent="0.2">
      <c r="A8" s="137" t="s">
        <v>513</v>
      </c>
      <c r="B8" s="137">
        <v>128</v>
      </c>
      <c r="C8" s="147">
        <f t="shared" si="0"/>
        <v>0.28000000000000003</v>
      </c>
    </row>
    <row r="9" spans="1:3" x14ac:dyDescent="0.2">
      <c r="A9" s="137" t="s">
        <v>514</v>
      </c>
      <c r="B9" s="137">
        <v>103</v>
      </c>
      <c r="C9" s="147">
        <f t="shared" si="0"/>
        <v>3.0000000000000027E-2</v>
      </c>
    </row>
    <row r="10" spans="1:3" x14ac:dyDescent="0.2">
      <c r="A10" s="137" t="s">
        <v>515</v>
      </c>
      <c r="B10" s="137">
        <v>105</v>
      </c>
      <c r="C10" s="147">
        <f t="shared" si="0"/>
        <v>5.0000000000000044E-2</v>
      </c>
    </row>
    <row r="11" spans="1:3" x14ac:dyDescent="0.2">
      <c r="A11" s="137" t="s">
        <v>516</v>
      </c>
      <c r="B11" s="137">
        <v>126</v>
      </c>
      <c r="C11" s="147">
        <f t="shared" si="0"/>
        <v>0.26</v>
      </c>
    </row>
    <row r="12" spans="1:3" x14ac:dyDescent="0.2">
      <c r="A12" s="137" t="s">
        <v>517</v>
      </c>
      <c r="B12" s="137">
        <v>120</v>
      </c>
      <c r="C12" s="147">
        <f t="shared" si="0"/>
        <v>0.19999999999999996</v>
      </c>
    </row>
    <row r="13" spans="1:3" x14ac:dyDescent="0.2">
      <c r="A13" s="137" t="s">
        <v>518</v>
      </c>
      <c r="B13" s="137">
        <v>134</v>
      </c>
      <c r="C13" s="147">
        <f t="shared" si="0"/>
        <v>0.34000000000000008</v>
      </c>
    </row>
    <row r="14" spans="1:3" x14ac:dyDescent="0.2">
      <c r="A14" s="137" t="s">
        <v>519</v>
      </c>
      <c r="B14" s="137">
        <v>105</v>
      </c>
      <c r="C14" s="147">
        <f t="shared" si="0"/>
        <v>5.0000000000000044E-2</v>
      </c>
    </row>
    <row r="15" spans="1:3" x14ac:dyDescent="0.2">
      <c r="A15" s="137" t="s">
        <v>520</v>
      </c>
      <c r="B15" s="137">
        <v>120</v>
      </c>
      <c r="C15" s="147">
        <f t="shared" si="0"/>
        <v>0.19999999999999996</v>
      </c>
    </row>
    <row r="16" spans="1:3" x14ac:dyDescent="0.2">
      <c r="A16" s="137" t="s">
        <v>521</v>
      </c>
      <c r="B16" s="137">
        <v>118</v>
      </c>
      <c r="C16" s="147">
        <f t="shared" si="0"/>
        <v>0.17999999999999994</v>
      </c>
    </row>
    <row r="17" spans="1:3" x14ac:dyDescent="0.2">
      <c r="A17" s="137" t="s">
        <v>522</v>
      </c>
      <c r="B17" s="137">
        <v>120</v>
      </c>
      <c r="C17" s="147">
        <f t="shared" si="0"/>
        <v>0.19999999999999996</v>
      </c>
    </row>
    <row r="18" spans="1:3" x14ac:dyDescent="0.2">
      <c r="A18" s="137" t="s">
        <v>523</v>
      </c>
      <c r="B18" s="137">
        <v>112</v>
      </c>
      <c r="C18" s="147">
        <f t="shared" si="0"/>
        <v>0.12000000000000011</v>
      </c>
    </row>
    <row r="19" spans="1:3" x14ac:dyDescent="0.2">
      <c r="A19" s="137" t="s">
        <v>524</v>
      </c>
      <c r="B19" s="137">
        <v>115</v>
      </c>
      <c r="C19" s="147">
        <f t="shared" si="0"/>
        <v>0.14999999999999991</v>
      </c>
    </row>
    <row r="20" spans="1:3" x14ac:dyDescent="0.2">
      <c r="A20" s="137" t="s">
        <v>525</v>
      </c>
      <c r="B20" s="137">
        <v>108</v>
      </c>
      <c r="C20" s="147">
        <f t="shared" si="0"/>
        <v>8.0000000000000071E-2</v>
      </c>
    </row>
    <row r="21" spans="1:3" x14ac:dyDescent="0.2">
      <c r="A21" s="137" t="s">
        <v>526</v>
      </c>
      <c r="B21" s="137">
        <v>111</v>
      </c>
      <c r="C21" s="147">
        <f t="shared" si="0"/>
        <v>0.1100000000000001</v>
      </c>
    </row>
    <row r="22" spans="1:3" x14ac:dyDescent="0.2">
      <c r="A22" s="137" t="s">
        <v>527</v>
      </c>
      <c r="B22" s="137">
        <v>110</v>
      </c>
      <c r="C22" s="147">
        <f t="shared" si="0"/>
        <v>0.10000000000000009</v>
      </c>
    </row>
    <row r="23" spans="1:3" x14ac:dyDescent="0.2">
      <c r="A23" s="137" t="s">
        <v>528</v>
      </c>
      <c r="B23" s="137">
        <v>109</v>
      </c>
      <c r="C23" s="147">
        <f t="shared" si="0"/>
        <v>9.000000000000008E-2</v>
      </c>
    </row>
    <row r="24" spans="1:3" x14ac:dyDescent="0.2">
      <c r="A24" s="137" t="s">
        <v>529</v>
      </c>
      <c r="B24" s="137">
        <v>112</v>
      </c>
      <c r="C24" s="147">
        <f t="shared" si="0"/>
        <v>0.12000000000000011</v>
      </c>
    </row>
    <row r="25" spans="1:3" x14ac:dyDescent="0.2">
      <c r="A25" s="137" t="s">
        <v>530</v>
      </c>
      <c r="B25" s="137">
        <v>102</v>
      </c>
      <c r="C25" s="147">
        <f t="shared" si="0"/>
        <v>2.0000000000000018E-2</v>
      </c>
    </row>
    <row r="26" spans="1:3" x14ac:dyDescent="0.2">
      <c r="A26" s="137" t="s">
        <v>531</v>
      </c>
      <c r="B26" s="137">
        <v>108</v>
      </c>
      <c r="C26" s="147">
        <f t="shared" si="0"/>
        <v>8.0000000000000071E-2</v>
      </c>
    </row>
    <row r="27" spans="1:3" x14ac:dyDescent="0.2">
      <c r="A27" s="137" t="s">
        <v>532</v>
      </c>
      <c r="B27" s="137">
        <v>108</v>
      </c>
      <c r="C27" s="147">
        <f t="shared" si="0"/>
        <v>8.0000000000000071E-2</v>
      </c>
    </row>
    <row r="28" spans="1:3" x14ac:dyDescent="0.2">
      <c r="A28" s="137" t="s">
        <v>171</v>
      </c>
      <c r="B28" s="137">
        <v>100</v>
      </c>
      <c r="C28" s="147">
        <f t="shared" si="0"/>
        <v>0</v>
      </c>
    </row>
    <row r="29" spans="1:3" x14ac:dyDescent="0.2">
      <c r="A29" s="137" t="s">
        <v>533</v>
      </c>
      <c r="B29" s="137">
        <v>108</v>
      </c>
      <c r="C29" s="147">
        <f t="shared" si="0"/>
        <v>8.0000000000000071E-2</v>
      </c>
    </row>
    <row r="30" spans="1:3" x14ac:dyDescent="0.2">
      <c r="A30" s="137" t="s">
        <v>534</v>
      </c>
      <c r="B30" s="137">
        <v>115</v>
      </c>
      <c r="C30" s="147">
        <f t="shared" si="0"/>
        <v>0.14999999999999991</v>
      </c>
    </row>
    <row r="31" spans="1:3" x14ac:dyDescent="0.2">
      <c r="A31" s="137" t="s">
        <v>535</v>
      </c>
      <c r="B31" s="137">
        <v>120</v>
      </c>
      <c r="C31" s="147">
        <f t="shared" si="0"/>
        <v>0.19999999999999996</v>
      </c>
    </row>
    <row r="32" spans="1:3" x14ac:dyDescent="0.2">
      <c r="A32" s="137" t="s">
        <v>536</v>
      </c>
      <c r="B32" s="137">
        <v>115</v>
      </c>
      <c r="C32" s="147">
        <f t="shared" si="0"/>
        <v>0.14999999999999991</v>
      </c>
    </row>
    <row r="33" spans="1:18" x14ac:dyDescent="0.2">
      <c r="A33" s="137" t="s">
        <v>537</v>
      </c>
      <c r="B33" s="137">
        <v>130</v>
      </c>
      <c r="C33" s="147">
        <f t="shared" si="0"/>
        <v>0.30000000000000004</v>
      </c>
    </row>
    <row r="34" spans="1:18" x14ac:dyDescent="0.2">
      <c r="A34" s="137" t="s">
        <v>538</v>
      </c>
      <c r="B34" s="137">
        <v>119</v>
      </c>
      <c r="C34" s="147">
        <f t="shared" ref="C34:C63" si="1">B34/100-1</f>
        <v>0.18999999999999995</v>
      </c>
    </row>
    <row r="35" spans="1:18" x14ac:dyDescent="0.2">
      <c r="A35" s="137" t="s">
        <v>539</v>
      </c>
      <c r="B35" s="137">
        <v>102</v>
      </c>
      <c r="C35" s="147">
        <f t="shared" si="1"/>
        <v>2.0000000000000018E-2</v>
      </c>
    </row>
    <row r="36" spans="1:18" x14ac:dyDescent="0.2">
      <c r="A36" s="137" t="s">
        <v>540</v>
      </c>
      <c r="B36" s="137">
        <v>105</v>
      </c>
      <c r="C36" s="147">
        <f t="shared" si="1"/>
        <v>5.0000000000000044E-2</v>
      </c>
    </row>
    <row r="37" spans="1:18" x14ac:dyDescent="0.2">
      <c r="A37" s="137" t="s">
        <v>541</v>
      </c>
      <c r="B37" s="137">
        <v>103</v>
      </c>
      <c r="C37" s="147">
        <f t="shared" si="1"/>
        <v>3.0000000000000027E-2</v>
      </c>
    </row>
    <row r="38" spans="1:18" x14ac:dyDescent="0.2">
      <c r="A38" s="137" t="s">
        <v>781</v>
      </c>
      <c r="B38" s="137">
        <v>105</v>
      </c>
      <c r="C38" s="147">
        <f t="shared" si="1"/>
        <v>5.0000000000000044E-2</v>
      </c>
    </row>
    <row r="39" spans="1:18" x14ac:dyDescent="0.2">
      <c r="A39" s="137" t="s">
        <v>542</v>
      </c>
      <c r="B39" s="137">
        <v>113</v>
      </c>
      <c r="C39" s="147">
        <f t="shared" si="1"/>
        <v>0.12999999999999989</v>
      </c>
    </row>
    <row r="40" spans="1:18" x14ac:dyDescent="0.2">
      <c r="A40" s="137" t="s">
        <v>543</v>
      </c>
      <c r="B40" s="137">
        <v>112</v>
      </c>
      <c r="C40" s="147">
        <f t="shared" si="1"/>
        <v>0.12000000000000011</v>
      </c>
    </row>
    <row r="41" spans="1:18" x14ac:dyDescent="0.2">
      <c r="A41" s="137" t="s">
        <v>544</v>
      </c>
      <c r="B41" s="137">
        <v>109</v>
      </c>
      <c r="C41" s="147">
        <f t="shared" si="1"/>
        <v>9.000000000000008E-2</v>
      </c>
    </row>
    <row r="42" spans="1:18" x14ac:dyDescent="0.2">
      <c r="A42" s="137" t="s">
        <v>545</v>
      </c>
      <c r="B42" s="137">
        <v>115</v>
      </c>
      <c r="C42" s="147">
        <f t="shared" si="1"/>
        <v>0.14999999999999991</v>
      </c>
    </row>
    <row r="43" spans="1:18" x14ac:dyDescent="0.2">
      <c r="A43" s="137" t="s">
        <v>546</v>
      </c>
      <c r="B43" s="137">
        <v>101</v>
      </c>
      <c r="C43" s="147">
        <f t="shared" si="1"/>
        <v>1.0000000000000009E-2</v>
      </c>
      <c r="R43" s="150" t="s">
        <v>867</v>
      </c>
    </row>
    <row r="44" spans="1:18" x14ac:dyDescent="0.2">
      <c r="A44" s="137" t="s">
        <v>547</v>
      </c>
      <c r="B44" s="137">
        <v>103</v>
      </c>
      <c r="C44" s="147">
        <f t="shared" si="1"/>
        <v>3.0000000000000027E-2</v>
      </c>
    </row>
    <row r="45" spans="1:18" x14ac:dyDescent="0.2">
      <c r="A45" s="137" t="s">
        <v>548</v>
      </c>
      <c r="B45" s="137">
        <v>105</v>
      </c>
      <c r="C45" s="147">
        <f t="shared" si="1"/>
        <v>5.0000000000000044E-2</v>
      </c>
    </row>
    <row r="46" spans="1:18" x14ac:dyDescent="0.2">
      <c r="A46" s="137" t="s">
        <v>549</v>
      </c>
      <c r="B46" s="137">
        <v>110</v>
      </c>
      <c r="C46" s="147">
        <f t="shared" si="1"/>
        <v>0.10000000000000009</v>
      </c>
    </row>
    <row r="47" spans="1:18" x14ac:dyDescent="0.2">
      <c r="A47" s="137" t="s">
        <v>550</v>
      </c>
      <c r="B47" s="137">
        <v>125</v>
      </c>
      <c r="C47" s="147">
        <f t="shared" si="1"/>
        <v>0.25</v>
      </c>
    </row>
    <row r="48" spans="1:18" x14ac:dyDescent="0.2">
      <c r="A48" s="137" t="s">
        <v>167</v>
      </c>
      <c r="B48" s="137">
        <v>107</v>
      </c>
      <c r="C48" s="147">
        <f t="shared" si="1"/>
        <v>7.0000000000000062E-2</v>
      </c>
    </row>
    <row r="49" spans="1:6" x14ac:dyDescent="0.2">
      <c r="A49" s="137" t="s">
        <v>782</v>
      </c>
      <c r="B49" s="137">
        <v>102</v>
      </c>
      <c r="C49" s="147">
        <f t="shared" si="1"/>
        <v>2.0000000000000018E-2</v>
      </c>
    </row>
    <row r="50" spans="1:6" x14ac:dyDescent="0.2">
      <c r="A50" s="137" t="s">
        <v>551</v>
      </c>
      <c r="B50" s="137">
        <v>108</v>
      </c>
      <c r="C50" s="147">
        <f t="shared" si="1"/>
        <v>8.0000000000000071E-2</v>
      </c>
    </row>
    <row r="51" spans="1:6" x14ac:dyDescent="0.2">
      <c r="A51" s="137" t="s">
        <v>552</v>
      </c>
      <c r="B51" s="137">
        <v>103</v>
      </c>
      <c r="C51" s="147">
        <f t="shared" si="1"/>
        <v>3.0000000000000027E-2</v>
      </c>
    </row>
    <row r="52" spans="1:6" x14ac:dyDescent="0.2">
      <c r="A52" s="137" t="s">
        <v>553</v>
      </c>
      <c r="B52" s="137">
        <v>105</v>
      </c>
      <c r="C52" s="147">
        <f t="shared" si="1"/>
        <v>5.0000000000000044E-2</v>
      </c>
    </row>
    <row r="53" spans="1:6" x14ac:dyDescent="0.2">
      <c r="A53" s="137" t="s">
        <v>554</v>
      </c>
      <c r="B53" s="137">
        <v>108</v>
      </c>
      <c r="C53" s="147">
        <f t="shared" si="1"/>
        <v>8.0000000000000071E-2</v>
      </c>
    </row>
    <row r="54" spans="1:6" x14ac:dyDescent="0.2">
      <c r="A54" s="137" t="s">
        <v>555</v>
      </c>
      <c r="B54" s="137">
        <v>113</v>
      </c>
      <c r="C54" s="147">
        <f t="shared" si="1"/>
        <v>0.12999999999999989</v>
      </c>
    </row>
    <row r="55" spans="1:6" x14ac:dyDescent="0.2">
      <c r="A55" s="137" t="s">
        <v>556</v>
      </c>
      <c r="B55" s="137">
        <v>125</v>
      </c>
      <c r="C55" s="147">
        <f t="shared" si="1"/>
        <v>0.25</v>
      </c>
    </row>
    <row r="56" spans="1:6" x14ac:dyDescent="0.2">
      <c r="A56" s="137" t="s">
        <v>557</v>
      </c>
      <c r="B56" s="137">
        <v>104</v>
      </c>
      <c r="C56" s="147">
        <f t="shared" si="1"/>
        <v>4.0000000000000036E-2</v>
      </c>
    </row>
    <row r="57" spans="1:6" x14ac:dyDescent="0.2">
      <c r="A57" s="137" t="s">
        <v>558</v>
      </c>
      <c r="B57" s="137">
        <v>105</v>
      </c>
      <c r="C57" s="147">
        <f t="shared" si="1"/>
        <v>5.0000000000000044E-2</v>
      </c>
      <c r="F57" s="150" t="s">
        <v>867</v>
      </c>
    </row>
    <row r="58" spans="1:6" x14ac:dyDescent="0.2">
      <c r="A58" s="137" t="s">
        <v>559</v>
      </c>
      <c r="B58" s="137">
        <v>103</v>
      </c>
      <c r="C58" s="147">
        <f t="shared" si="1"/>
        <v>3.0000000000000027E-2</v>
      </c>
    </row>
    <row r="59" spans="1:6" x14ac:dyDescent="0.2">
      <c r="A59" s="137" t="s">
        <v>560</v>
      </c>
      <c r="B59" s="137">
        <v>120</v>
      </c>
      <c r="C59" s="147">
        <f t="shared" si="1"/>
        <v>0.19999999999999996</v>
      </c>
    </row>
    <row r="60" spans="1:6" x14ac:dyDescent="0.2">
      <c r="A60" s="137" t="s">
        <v>851</v>
      </c>
      <c r="B60" s="137">
        <v>108</v>
      </c>
      <c r="C60" s="147">
        <f t="shared" si="1"/>
        <v>8.0000000000000071E-2</v>
      </c>
    </row>
    <row r="61" spans="1:6" x14ac:dyDescent="0.2">
      <c r="A61" s="137" t="s">
        <v>561</v>
      </c>
      <c r="B61" s="137">
        <v>135</v>
      </c>
      <c r="C61" s="147">
        <f t="shared" si="1"/>
        <v>0.35000000000000009</v>
      </c>
    </row>
    <row r="62" spans="1:6" x14ac:dyDescent="0.2">
      <c r="A62" s="137" t="s">
        <v>562</v>
      </c>
      <c r="B62" s="137">
        <v>101</v>
      </c>
      <c r="C62" s="147">
        <f t="shared" si="1"/>
        <v>1.0000000000000009E-2</v>
      </c>
    </row>
    <row r="63" spans="1:6" x14ac:dyDescent="0.2">
      <c r="A63" s="137" t="s">
        <v>563</v>
      </c>
      <c r="B63" s="137">
        <v>103</v>
      </c>
      <c r="C63" s="147">
        <f t="shared" si="1"/>
        <v>3.0000000000000027E-2</v>
      </c>
    </row>
  </sheetData>
  <sheetProtection algorithmName="SHA-512" hashValue="P3/T4H8dT2w3cFOZHkb0qFZGTl3rpdXkdeUKFJd0zLHH1sJc2SGeCCOzl5pGalJKWAN1FTuGCU+dn17TXTCHxg==" saltValue="jSkR51l+Wt8Xn1RyZCy52g==" spinCount="100000" sheet="1" objects="1" scenarios="1"/>
  <mergeCells count="1">
    <mergeCell ref="B1:C1"/>
  </mergeCells>
  <hyperlinks>
    <hyperlink ref="F57" r:id="rId1" xr:uid="{0F667ACA-88A4-4D97-8B55-4EFC0915FC34}"/>
    <hyperlink ref="R43" r:id="rId2" xr:uid="{BB6A7B60-D1B7-4D7F-832C-09CE05FBC5A0}"/>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ABF61-D567-48F6-9E44-E9C7BD1CBFBF}">
  <sheetPr codeName="Sheet9">
    <pageSetUpPr fitToPage="1"/>
  </sheetPr>
  <dimension ref="A1:AB118"/>
  <sheetViews>
    <sheetView showGridLines="0" zoomScale="85" zoomScaleNormal="85" workbookViewId="0">
      <selection activeCell="C48" sqref="C48:G48"/>
    </sheetView>
  </sheetViews>
  <sheetFormatPr defaultColWidth="9.125" defaultRowHeight="11.4" x14ac:dyDescent="0.2"/>
  <cols>
    <col min="1" max="1" width="4.75" customWidth="1"/>
    <col min="2" max="2" width="3.375" customWidth="1"/>
    <col min="3" max="3" width="13.875" customWidth="1"/>
    <col min="4" max="4" width="16" customWidth="1"/>
    <col min="5" max="5" width="29.625" customWidth="1"/>
    <col min="6" max="6" width="16.875" customWidth="1"/>
    <col min="7" max="7" width="54" customWidth="1"/>
    <col min="8" max="8" width="14.125" customWidth="1"/>
    <col min="9" max="9" width="17" customWidth="1"/>
    <col min="10" max="10" width="27" customWidth="1"/>
    <col min="13" max="13" width="17.125" customWidth="1"/>
    <col min="21" max="26" width="10.875" customWidth="1"/>
  </cols>
  <sheetData>
    <row r="1" spans="1:28" x14ac:dyDescent="0.2">
      <c r="A1" s="1"/>
      <c r="B1" s="1"/>
      <c r="C1" s="1"/>
      <c r="D1" s="1"/>
      <c r="E1" s="1"/>
      <c r="F1" s="1"/>
      <c r="G1" s="1"/>
      <c r="H1" s="1"/>
      <c r="I1" s="1"/>
      <c r="J1" s="1"/>
      <c r="K1" s="1"/>
      <c r="L1" s="1"/>
      <c r="M1" s="1"/>
      <c r="N1" s="1"/>
      <c r="O1" s="1"/>
      <c r="P1" s="1"/>
      <c r="Q1" s="1"/>
      <c r="R1" s="1"/>
      <c r="S1" s="1"/>
      <c r="T1" s="1"/>
      <c r="U1" s="1"/>
      <c r="V1" s="1"/>
      <c r="W1" s="1"/>
      <c r="X1" s="1"/>
      <c r="Y1" s="1"/>
      <c r="Z1" s="1"/>
    </row>
    <row r="2" spans="1:28" ht="15.6" x14ac:dyDescent="0.3">
      <c r="A2" s="1"/>
      <c r="B2" s="3" t="s">
        <v>49</v>
      </c>
      <c r="C2" s="1"/>
      <c r="D2" s="1"/>
      <c r="E2" s="58"/>
      <c r="F2" s="58"/>
      <c r="G2" s="58"/>
      <c r="H2" s="1"/>
      <c r="I2" s="1"/>
      <c r="J2" s="1"/>
      <c r="K2" s="1"/>
      <c r="L2" s="1"/>
      <c r="M2" s="1"/>
      <c r="N2" s="1"/>
      <c r="O2" s="1"/>
      <c r="P2" s="1"/>
      <c r="Q2" s="1"/>
      <c r="R2" s="1"/>
      <c r="S2" s="1"/>
      <c r="T2" s="1"/>
      <c r="U2" s="1"/>
      <c r="V2" s="1"/>
      <c r="W2" s="1"/>
      <c r="X2" s="1"/>
      <c r="Y2" s="1"/>
      <c r="Z2" s="1"/>
    </row>
    <row r="3" spans="1:28" ht="20.25" customHeight="1" x14ac:dyDescent="0.3">
      <c r="A3" s="1"/>
      <c r="B3" s="3" t="s">
        <v>50</v>
      </c>
      <c r="C3" s="1"/>
      <c r="D3" s="1"/>
      <c r="E3" s="58" t="s">
        <v>51</v>
      </c>
      <c r="F3" s="58"/>
      <c r="G3" s="59"/>
      <c r="H3" s="1"/>
      <c r="I3" s="1"/>
      <c r="J3" s="1"/>
      <c r="K3" s="1"/>
      <c r="L3" s="1"/>
      <c r="M3" s="1"/>
      <c r="N3" s="1"/>
      <c r="O3" s="1"/>
      <c r="P3" s="1"/>
      <c r="Q3" s="1"/>
      <c r="R3" s="1"/>
      <c r="S3" s="1"/>
      <c r="T3" s="1"/>
      <c r="U3" s="1"/>
      <c r="V3" s="1"/>
      <c r="W3" s="1"/>
      <c r="X3" s="1"/>
      <c r="Y3" s="1"/>
      <c r="Z3" s="1"/>
    </row>
    <row r="4" spans="1:28" ht="18.75" customHeight="1" x14ac:dyDescent="0.3">
      <c r="A4" s="1"/>
      <c r="B4" s="3" t="s">
        <v>52</v>
      </c>
      <c r="C4" s="1"/>
      <c r="D4" s="1"/>
      <c r="E4" s="58"/>
      <c r="F4" s="58"/>
      <c r="G4" s="59"/>
      <c r="H4" s="1"/>
      <c r="I4" s="1"/>
      <c r="J4" s="1"/>
      <c r="K4" s="1"/>
      <c r="L4" s="1"/>
      <c r="M4" s="1"/>
      <c r="N4" s="1"/>
      <c r="O4" s="1"/>
      <c r="P4" s="1"/>
      <c r="Q4" s="1"/>
      <c r="R4" s="1"/>
      <c r="S4" s="1"/>
      <c r="T4" s="1"/>
      <c r="U4" s="1"/>
      <c r="V4" s="1"/>
      <c r="W4" s="1"/>
      <c r="X4" s="1"/>
      <c r="Y4" s="1"/>
      <c r="Z4" s="1"/>
    </row>
    <row r="5" spans="1:28" ht="15.6" x14ac:dyDescent="0.3">
      <c r="A5" s="1"/>
      <c r="B5" s="3"/>
      <c r="C5" s="1"/>
      <c r="D5" s="1"/>
      <c r="E5" s="58"/>
      <c r="F5" s="58"/>
      <c r="G5" s="59"/>
      <c r="H5" s="2"/>
      <c r="I5" s="2"/>
      <c r="J5" s="1"/>
      <c r="K5" s="1"/>
      <c r="L5" s="1"/>
      <c r="M5" s="1"/>
      <c r="N5" s="1"/>
      <c r="O5" s="1"/>
      <c r="P5" s="1"/>
      <c r="Q5" s="1"/>
      <c r="R5" s="1"/>
      <c r="S5" s="1"/>
      <c r="T5" s="1"/>
      <c r="U5" s="1"/>
      <c r="V5" s="1"/>
      <c r="W5" s="1"/>
      <c r="X5" s="1"/>
      <c r="Y5" s="1"/>
      <c r="Z5" s="1"/>
    </row>
    <row r="6" spans="1:28" ht="18" customHeight="1" x14ac:dyDescent="0.3">
      <c r="A6" s="1"/>
      <c r="B6" s="3"/>
      <c r="C6" s="1"/>
      <c r="D6" s="1"/>
      <c r="E6" s="58"/>
      <c r="F6" s="58"/>
      <c r="G6" s="59"/>
      <c r="H6" s="2"/>
      <c r="I6" s="2"/>
      <c r="J6" s="1"/>
      <c r="K6" s="1"/>
      <c r="L6" s="1"/>
      <c r="M6" s="1"/>
      <c r="N6" s="1"/>
      <c r="O6" s="1"/>
      <c r="P6" s="1"/>
      <c r="Q6" s="1"/>
      <c r="R6" s="1"/>
      <c r="S6" s="1"/>
      <c r="T6" s="1"/>
      <c r="U6" s="1"/>
      <c r="V6" s="1"/>
      <c r="W6" s="1"/>
      <c r="X6" s="1"/>
      <c r="Y6" s="1"/>
      <c r="Z6" s="1"/>
    </row>
    <row r="7" spans="1:28" ht="15.6" x14ac:dyDescent="0.3">
      <c r="A7" s="1"/>
      <c r="B7" s="3"/>
      <c r="C7" s="1"/>
      <c r="D7" s="1"/>
      <c r="E7" s="1"/>
      <c r="F7" s="1"/>
      <c r="G7" s="1"/>
      <c r="H7" s="2"/>
      <c r="I7" s="2"/>
      <c r="J7" s="1"/>
      <c r="K7" s="1"/>
      <c r="L7" s="1"/>
      <c r="M7" s="1"/>
      <c r="N7" s="1"/>
      <c r="O7" s="1"/>
      <c r="P7" s="1"/>
      <c r="Q7" s="1"/>
      <c r="R7" s="1"/>
      <c r="S7" s="1"/>
      <c r="T7" s="1"/>
      <c r="U7" s="1"/>
      <c r="V7" s="1"/>
      <c r="W7" s="1"/>
      <c r="X7" s="1"/>
      <c r="Y7" s="1"/>
      <c r="Z7" s="1"/>
    </row>
    <row r="8" spans="1:28" ht="15.6" x14ac:dyDescent="0.3">
      <c r="A8" s="1"/>
      <c r="B8" s="3" t="s">
        <v>53</v>
      </c>
      <c r="C8" s="1"/>
      <c r="D8" s="1"/>
      <c r="E8" s="58"/>
      <c r="F8" s="58"/>
      <c r="G8" s="58"/>
      <c r="H8" s="1"/>
      <c r="I8" s="2"/>
      <c r="J8" s="1"/>
      <c r="K8" s="1"/>
      <c r="L8" s="1"/>
      <c r="M8" s="1"/>
      <c r="N8" s="1"/>
      <c r="O8" s="1"/>
      <c r="P8" s="1"/>
      <c r="Q8" s="1"/>
      <c r="R8" s="1"/>
      <c r="S8" s="1"/>
      <c r="T8" s="1"/>
      <c r="U8" s="1"/>
      <c r="V8" s="1"/>
      <c r="W8" s="1"/>
      <c r="X8" s="1"/>
      <c r="Y8" s="1"/>
      <c r="Z8" s="1"/>
    </row>
    <row r="9" spans="1:28" ht="31.5" customHeight="1" x14ac:dyDescent="0.3">
      <c r="A9" s="1"/>
      <c r="B9" s="3" t="s">
        <v>54</v>
      </c>
      <c r="C9" s="1"/>
      <c r="D9" s="1"/>
      <c r="E9" s="60"/>
      <c r="F9" s="59"/>
      <c r="G9" s="59"/>
      <c r="H9" s="1"/>
      <c r="I9" s="1"/>
      <c r="J9" s="7"/>
      <c r="K9" s="7"/>
      <c r="L9" s="7"/>
      <c r="M9" s="7"/>
      <c r="N9" s="7"/>
      <c r="O9" s="7"/>
      <c r="P9" s="7"/>
      <c r="Q9" s="7"/>
      <c r="R9" s="7"/>
      <c r="S9" s="7"/>
      <c r="T9" s="7"/>
      <c r="U9" s="7"/>
      <c r="V9" s="7"/>
      <c r="W9" s="7"/>
      <c r="X9" s="7"/>
      <c r="Y9" s="7"/>
      <c r="Z9" s="7"/>
      <c r="AA9" s="8"/>
      <c r="AB9" s="8"/>
    </row>
    <row r="10" spans="1:28" ht="27.9" customHeight="1" x14ac:dyDescent="0.3">
      <c r="A10" s="1"/>
      <c r="B10" s="3" t="s">
        <v>55</v>
      </c>
      <c r="C10" s="1"/>
      <c r="D10" s="1"/>
      <c r="E10" s="60" t="s">
        <v>56</v>
      </c>
      <c r="G10" s="1"/>
      <c r="H10" s="7"/>
      <c r="I10" s="7"/>
      <c r="J10" s="7"/>
      <c r="K10" s="7"/>
      <c r="L10" s="7"/>
      <c r="M10" s="7"/>
      <c r="N10" s="7"/>
      <c r="O10" s="7"/>
      <c r="P10" s="7"/>
      <c r="Q10" s="7"/>
      <c r="R10" s="7"/>
      <c r="S10" s="7"/>
      <c r="T10" s="7"/>
      <c r="U10" s="7"/>
      <c r="V10" s="7"/>
      <c r="W10" s="7"/>
      <c r="X10" s="7"/>
      <c r="Y10" s="7"/>
      <c r="Z10" s="7"/>
      <c r="AA10" s="8"/>
      <c r="AB10" s="8"/>
    </row>
    <row r="11" spans="1:28" ht="27.9" customHeight="1" x14ac:dyDescent="0.25">
      <c r="A11" s="1"/>
      <c r="B11" s="61" t="s">
        <v>57</v>
      </c>
      <c r="C11" s="1"/>
      <c r="D11" s="1"/>
      <c r="E11" s="62"/>
      <c r="G11" s="1"/>
      <c r="H11" s="7"/>
      <c r="I11" s="7"/>
      <c r="J11" s="7"/>
      <c r="K11" s="7"/>
      <c r="L11" s="7"/>
      <c r="M11" s="7"/>
      <c r="N11" s="7"/>
      <c r="O11" s="7"/>
      <c r="P11" s="7"/>
      <c r="Q11" s="7"/>
      <c r="R11" s="7"/>
      <c r="S11" s="7"/>
      <c r="T11" s="7"/>
      <c r="U11" s="7"/>
      <c r="V11" s="7"/>
      <c r="W11" s="7"/>
      <c r="X11" s="7"/>
      <c r="Y11" s="7"/>
      <c r="Z11" s="7"/>
      <c r="AA11" s="8"/>
      <c r="AB11" s="8"/>
    </row>
    <row r="12" spans="1:28" ht="18" customHeight="1" x14ac:dyDescent="0.25">
      <c r="A12" s="1"/>
      <c r="B12" s="10"/>
      <c r="C12" s="1"/>
      <c r="D12" s="1"/>
      <c r="E12" s="1"/>
      <c r="F12" s="1"/>
      <c r="G12" s="1"/>
      <c r="H12" s="7"/>
      <c r="I12" s="7"/>
      <c r="J12" s="7"/>
      <c r="K12" s="7"/>
      <c r="L12" s="7"/>
      <c r="M12" s="7"/>
      <c r="N12" s="7"/>
      <c r="O12" s="7"/>
      <c r="P12" s="7"/>
      <c r="Q12" s="7"/>
      <c r="R12" s="7"/>
      <c r="S12" s="7"/>
      <c r="T12" s="7"/>
      <c r="U12" s="7"/>
      <c r="V12" s="7"/>
      <c r="W12" s="7"/>
      <c r="X12" s="7"/>
      <c r="Y12" s="7"/>
      <c r="Z12" s="7"/>
      <c r="AA12" s="8"/>
      <c r="AB12" s="8"/>
    </row>
    <row r="13" spans="1:28" ht="15.6" x14ac:dyDescent="0.3">
      <c r="A13" s="1"/>
      <c r="B13" s="63" t="s">
        <v>58</v>
      </c>
      <c r="C13" s="34"/>
      <c r="D13" s="34"/>
      <c r="E13" s="34"/>
      <c r="F13" s="34"/>
      <c r="G13" s="34"/>
      <c r="H13" s="7"/>
      <c r="I13" s="7"/>
      <c r="J13" s="7"/>
      <c r="K13" s="7"/>
      <c r="L13" s="7"/>
      <c r="M13" s="7"/>
      <c r="N13" s="7"/>
      <c r="O13" s="7"/>
      <c r="P13" s="7"/>
      <c r="Q13" s="7"/>
      <c r="R13" s="7"/>
      <c r="S13" s="7"/>
      <c r="T13" s="7"/>
      <c r="U13" s="7"/>
      <c r="V13" s="7"/>
      <c r="W13" s="7"/>
      <c r="X13" s="7"/>
      <c r="Y13" s="7"/>
      <c r="Z13" s="7"/>
      <c r="AA13" s="8"/>
      <c r="AB13" s="8"/>
    </row>
    <row r="14" spans="1:28" s="65" customFormat="1" ht="12" thickBot="1" x14ac:dyDescent="0.25">
      <c r="A14" s="9"/>
      <c r="B14" s="64" t="s">
        <v>59</v>
      </c>
      <c r="C14" s="1"/>
      <c r="D14" s="1"/>
      <c r="E14" s="1"/>
      <c r="F14" s="1"/>
      <c r="G14" s="1"/>
      <c r="H14" s="7"/>
      <c r="I14" s="7"/>
      <c r="J14" s="7"/>
      <c r="K14" s="7"/>
      <c r="L14" s="9"/>
      <c r="M14" s="7"/>
      <c r="N14" s="7"/>
      <c r="O14" s="7"/>
      <c r="P14" s="7"/>
      <c r="Q14" s="7"/>
      <c r="R14" s="9"/>
      <c r="S14" s="9"/>
      <c r="T14" s="9"/>
      <c r="U14" s="9"/>
      <c r="V14" s="9"/>
      <c r="W14" s="9"/>
      <c r="X14" s="9"/>
      <c r="Y14" s="9"/>
      <c r="Z14" s="9"/>
    </row>
    <row r="15" spans="1:28" x14ac:dyDescent="0.2">
      <c r="A15" s="1"/>
      <c r="B15" s="66" t="s">
        <v>60</v>
      </c>
      <c r="C15" s="67"/>
      <c r="D15" s="67"/>
      <c r="E15" s="67"/>
      <c r="F15" s="67"/>
      <c r="G15" s="67"/>
      <c r="H15" s="7"/>
      <c r="I15" s="7"/>
      <c r="J15" s="7"/>
      <c r="K15" s="7"/>
      <c r="L15" s="7"/>
      <c r="M15" s="7"/>
      <c r="N15" s="7"/>
      <c r="O15" s="7"/>
      <c r="P15" s="7"/>
      <c r="Q15" s="7"/>
      <c r="R15" s="7"/>
      <c r="S15" s="7"/>
      <c r="T15" s="7"/>
      <c r="U15" s="7"/>
      <c r="V15" s="7"/>
      <c r="W15" s="7"/>
      <c r="X15" s="7"/>
      <c r="Y15" s="7"/>
      <c r="Z15" s="7"/>
      <c r="AA15" s="8"/>
      <c r="AB15" s="8"/>
    </row>
    <row r="16" spans="1:28" x14ac:dyDescent="0.2">
      <c r="A16" s="1"/>
      <c r="B16" s="68"/>
      <c r="C16" s="69"/>
      <c r="D16" s="69"/>
      <c r="E16" s="69"/>
      <c r="F16" s="69"/>
      <c r="G16" s="69"/>
      <c r="H16" s="7"/>
      <c r="I16" s="7"/>
      <c r="J16" s="7"/>
      <c r="K16" s="7"/>
      <c r="L16" s="7"/>
      <c r="M16" s="7"/>
      <c r="N16" s="7"/>
      <c r="O16" s="7"/>
      <c r="P16" s="7"/>
      <c r="Q16" s="7"/>
      <c r="R16" s="7"/>
      <c r="S16" s="7"/>
      <c r="T16" s="7"/>
      <c r="U16" s="7"/>
      <c r="V16" s="7"/>
      <c r="W16" s="7"/>
      <c r="X16" s="7"/>
      <c r="Y16" s="7"/>
      <c r="Z16" s="7"/>
      <c r="AA16" s="8"/>
      <c r="AB16" s="8"/>
    </row>
    <row r="17" spans="1:28" x14ac:dyDescent="0.2">
      <c r="A17" s="1"/>
      <c r="B17" s="68"/>
      <c r="C17" s="69"/>
      <c r="D17" s="69"/>
      <c r="E17" s="69"/>
      <c r="F17" s="69"/>
      <c r="G17" s="69"/>
      <c r="H17" s="7"/>
      <c r="I17" s="7"/>
      <c r="J17" s="7"/>
      <c r="K17" s="7"/>
      <c r="L17" s="7"/>
      <c r="M17" s="7"/>
      <c r="N17" s="7"/>
      <c r="O17" s="7"/>
      <c r="P17" s="7"/>
      <c r="Q17" s="7"/>
      <c r="R17" s="7"/>
      <c r="S17" s="7"/>
      <c r="T17" s="7"/>
      <c r="U17" s="7"/>
      <c r="V17" s="7"/>
      <c r="W17" s="7"/>
      <c r="X17" s="7"/>
      <c r="Y17" s="7"/>
      <c r="Z17" s="7"/>
      <c r="AA17" s="8"/>
      <c r="AB17" s="8"/>
    </row>
    <row r="18" spans="1:28" ht="12" thickBot="1" x14ac:dyDescent="0.25">
      <c r="A18" s="1"/>
      <c r="B18" s="70"/>
      <c r="C18" s="70"/>
      <c r="D18" s="70"/>
      <c r="E18" s="70"/>
      <c r="F18" s="70"/>
      <c r="G18" s="70"/>
      <c r="H18" s="7"/>
      <c r="I18" s="7"/>
      <c r="J18" s="7"/>
      <c r="K18" s="7"/>
      <c r="L18" s="7"/>
      <c r="M18" s="7"/>
      <c r="N18" s="7"/>
      <c r="O18" s="7"/>
      <c r="P18" s="7"/>
      <c r="Q18" s="7"/>
      <c r="R18" s="7"/>
      <c r="S18" s="7"/>
      <c r="T18" s="7"/>
      <c r="U18" s="7"/>
      <c r="V18" s="7"/>
      <c r="W18" s="7"/>
      <c r="X18" s="7"/>
      <c r="Y18" s="7"/>
      <c r="Z18" s="7"/>
      <c r="AA18" s="8"/>
      <c r="AB18" s="8"/>
    </row>
    <row r="19" spans="1:28" x14ac:dyDescent="0.2">
      <c r="A19" s="1"/>
      <c r="B19" s="1"/>
      <c r="C19" s="1"/>
      <c r="D19" s="1"/>
      <c r="E19" s="1"/>
      <c r="F19" s="1"/>
      <c r="G19" s="1"/>
      <c r="H19" s="7"/>
      <c r="I19" s="7"/>
      <c r="J19" s="7"/>
      <c r="K19" s="7"/>
      <c r="L19" s="7"/>
      <c r="M19" s="7"/>
      <c r="N19" s="7"/>
      <c r="O19" s="7"/>
      <c r="P19" s="7"/>
      <c r="Q19" s="7"/>
      <c r="R19" s="7"/>
      <c r="S19" s="7"/>
      <c r="T19" s="7"/>
      <c r="U19" s="7"/>
      <c r="V19" s="7"/>
      <c r="W19" s="7"/>
      <c r="X19" s="7"/>
      <c r="Y19" s="7"/>
      <c r="Z19" s="7"/>
      <c r="AA19" s="8"/>
      <c r="AB19" s="8"/>
    </row>
    <row r="20" spans="1:28" x14ac:dyDescent="0.2">
      <c r="A20" s="1"/>
      <c r="B20" s="1"/>
      <c r="C20" s="1"/>
      <c r="D20" s="1"/>
      <c r="E20" s="1"/>
      <c r="F20" s="1"/>
      <c r="G20" s="1"/>
      <c r="H20" s="7"/>
      <c r="I20" s="7"/>
      <c r="J20" s="7"/>
      <c r="K20" s="7"/>
      <c r="L20" s="7"/>
      <c r="M20" s="7"/>
      <c r="N20" s="7"/>
      <c r="O20" s="7"/>
      <c r="P20" s="7"/>
      <c r="Q20" s="7"/>
      <c r="R20" s="7"/>
      <c r="S20" s="7"/>
      <c r="T20" s="7"/>
      <c r="U20" s="7"/>
      <c r="V20" s="7"/>
      <c r="W20" s="7"/>
      <c r="X20" s="7"/>
      <c r="Y20" s="7"/>
      <c r="Z20" s="7"/>
      <c r="AA20" s="8"/>
      <c r="AB20" s="8"/>
    </row>
    <row r="21" spans="1:28" ht="15.6" x14ac:dyDescent="0.3">
      <c r="A21" s="1"/>
      <c r="B21" s="63" t="s">
        <v>61</v>
      </c>
      <c r="C21" s="34"/>
      <c r="D21" s="34"/>
      <c r="E21" s="34"/>
      <c r="F21" s="34"/>
      <c r="G21" s="34"/>
      <c r="H21" s="7"/>
      <c r="I21" s="7"/>
      <c r="J21" s="7"/>
      <c r="K21" s="7"/>
      <c r="L21" s="7"/>
      <c r="M21" s="7"/>
      <c r="N21" s="7"/>
      <c r="O21" s="7"/>
      <c r="P21" s="7"/>
      <c r="Q21" s="7"/>
      <c r="R21" s="7"/>
      <c r="S21" s="7"/>
      <c r="T21" s="7"/>
      <c r="U21" s="7"/>
      <c r="V21" s="7"/>
      <c r="W21" s="7"/>
      <c r="X21" s="7"/>
      <c r="Y21" s="7"/>
      <c r="Z21" s="7"/>
      <c r="AA21" s="8"/>
      <c r="AB21" s="8"/>
    </row>
    <row r="22" spans="1:28" x14ac:dyDescent="0.2">
      <c r="A22" s="1"/>
      <c r="B22" s="64" t="s">
        <v>62</v>
      </c>
      <c r="C22" s="1"/>
      <c r="D22" s="1"/>
      <c r="E22" s="1"/>
      <c r="F22" s="1"/>
      <c r="G22" s="1"/>
      <c r="H22" s="7"/>
      <c r="I22" s="7"/>
      <c r="J22" s="7"/>
      <c r="K22" s="7"/>
      <c r="L22" s="7"/>
      <c r="M22" s="7"/>
      <c r="N22" s="7"/>
      <c r="O22" s="7"/>
      <c r="P22" s="7"/>
      <c r="Q22" s="7"/>
      <c r="R22" s="7"/>
      <c r="S22" s="7"/>
      <c r="T22" s="7"/>
      <c r="U22" s="7"/>
      <c r="V22" s="7"/>
      <c r="W22" s="7"/>
      <c r="X22" s="7"/>
      <c r="Y22" s="7"/>
      <c r="Z22" s="7"/>
      <c r="AA22" s="8"/>
      <c r="AB22" s="8"/>
    </row>
    <row r="23" spans="1:28" x14ac:dyDescent="0.2">
      <c r="A23" s="1"/>
      <c r="B23" s="1"/>
      <c r="C23" s="1"/>
      <c r="D23" s="1"/>
      <c r="E23" s="1"/>
      <c r="F23" s="1"/>
      <c r="G23" s="1"/>
      <c r="H23" s="7"/>
      <c r="I23" s="7"/>
      <c r="J23" s="7"/>
      <c r="K23" s="7"/>
      <c r="L23" s="7"/>
      <c r="M23" s="7"/>
      <c r="N23" s="7"/>
      <c r="O23" s="7"/>
      <c r="P23" s="7"/>
      <c r="Q23" s="7"/>
      <c r="R23" s="7"/>
      <c r="S23" s="7"/>
      <c r="T23" s="7"/>
      <c r="U23" s="7"/>
      <c r="V23" s="7"/>
      <c r="W23" s="7"/>
      <c r="X23" s="7"/>
      <c r="Y23" s="7"/>
      <c r="Z23" s="7"/>
      <c r="AA23" s="8"/>
      <c r="AB23" s="8"/>
    </row>
    <row r="24" spans="1:28" ht="12" x14ac:dyDescent="0.25">
      <c r="A24" s="1"/>
      <c r="B24" s="10" t="s">
        <v>63</v>
      </c>
      <c r="C24" s="1"/>
      <c r="D24" s="1"/>
      <c r="F24" s="71"/>
      <c r="G24" s="1"/>
      <c r="H24" s="7"/>
      <c r="I24" s="7"/>
      <c r="J24" s="7"/>
      <c r="K24" s="7"/>
      <c r="L24" s="7"/>
      <c r="M24" s="7"/>
      <c r="N24" s="7"/>
      <c r="O24" s="7"/>
      <c r="P24" s="7"/>
      <c r="Q24" s="7"/>
      <c r="R24" s="7"/>
      <c r="S24" s="7"/>
      <c r="T24" s="7"/>
      <c r="U24" s="7"/>
      <c r="V24" s="7"/>
      <c r="W24" s="7"/>
      <c r="X24" s="7"/>
      <c r="Y24" s="7"/>
      <c r="Z24" s="7"/>
      <c r="AA24" s="8"/>
      <c r="AB24" s="8"/>
    </row>
    <row r="25" spans="1:28" x14ac:dyDescent="0.2">
      <c r="A25" s="1"/>
      <c r="B25" s="1"/>
      <c r="C25" s="1"/>
      <c r="D25" s="1"/>
      <c r="E25" s="1"/>
      <c r="F25" s="1"/>
      <c r="G25" s="1"/>
      <c r="H25" s="7"/>
      <c r="I25" s="7"/>
      <c r="J25" s="7"/>
      <c r="K25" s="7"/>
      <c r="L25" s="7"/>
      <c r="M25" s="7"/>
      <c r="N25" s="7"/>
      <c r="O25" s="7"/>
      <c r="P25" s="7"/>
      <c r="Q25" s="7"/>
      <c r="R25" s="7"/>
      <c r="S25" s="7"/>
      <c r="T25" s="7"/>
      <c r="U25" s="7"/>
      <c r="V25" s="7"/>
      <c r="W25" s="7"/>
      <c r="X25" s="7"/>
      <c r="Y25" s="7"/>
      <c r="Z25" s="7"/>
      <c r="AA25" s="8"/>
      <c r="AB25" s="8"/>
    </row>
    <row r="26" spans="1:28" ht="10.5" customHeight="1" x14ac:dyDescent="0.2">
      <c r="A26" s="1"/>
      <c r="B26" s="1"/>
      <c r="C26" s="1"/>
      <c r="D26" s="1"/>
      <c r="E26" s="1"/>
      <c r="F26" s="1"/>
      <c r="G26" s="1"/>
      <c r="H26" s="7"/>
      <c r="I26" s="7"/>
      <c r="J26" s="7"/>
      <c r="K26" s="7"/>
      <c r="L26" s="7"/>
      <c r="M26" s="7"/>
      <c r="N26" s="7"/>
      <c r="O26" s="7"/>
      <c r="P26" s="7"/>
      <c r="Q26" s="7"/>
      <c r="R26" s="7"/>
      <c r="S26" s="7"/>
      <c r="T26" s="7"/>
      <c r="U26" s="7"/>
      <c r="V26" s="7"/>
      <c r="W26" s="7"/>
      <c r="X26" s="7"/>
      <c r="Y26" s="7"/>
      <c r="Z26" s="7"/>
      <c r="AA26" s="8"/>
      <c r="AB26" s="8"/>
    </row>
    <row r="27" spans="1:28" x14ac:dyDescent="0.2">
      <c r="A27" s="1"/>
      <c r="B27" s="1"/>
      <c r="C27" s="1"/>
      <c r="D27" s="1"/>
      <c r="E27" s="1"/>
      <c r="F27" s="1"/>
      <c r="G27" s="1"/>
      <c r="H27" s="7"/>
      <c r="I27" s="7"/>
      <c r="J27" s="7"/>
      <c r="K27" s="7"/>
      <c r="L27" s="7"/>
      <c r="M27" s="7"/>
      <c r="N27" s="7"/>
      <c r="O27" s="7"/>
      <c r="P27" s="7"/>
      <c r="Q27" s="7"/>
      <c r="R27" s="7"/>
      <c r="S27" s="7"/>
      <c r="T27" s="7"/>
      <c r="U27" s="7"/>
      <c r="V27" s="7"/>
      <c r="W27" s="7"/>
      <c r="X27" s="7"/>
      <c r="Y27" s="7"/>
      <c r="Z27" s="7"/>
      <c r="AA27" s="8"/>
      <c r="AB27" s="8"/>
    </row>
    <row r="28" spans="1:28" x14ac:dyDescent="0.2">
      <c r="A28" s="1"/>
      <c r="B28" s="1"/>
      <c r="C28" s="1"/>
      <c r="D28" s="1"/>
      <c r="E28" s="1"/>
      <c r="F28" s="1"/>
      <c r="G28" s="1"/>
      <c r="H28" s="7"/>
      <c r="I28" s="7"/>
      <c r="J28" s="7"/>
      <c r="K28" s="7"/>
      <c r="L28" s="7"/>
      <c r="M28" s="7"/>
      <c r="N28" s="7"/>
      <c r="O28" s="7"/>
      <c r="P28" s="7"/>
      <c r="Q28" s="7"/>
      <c r="R28" s="7"/>
      <c r="S28" s="7"/>
      <c r="T28" s="7"/>
      <c r="U28" s="7"/>
      <c r="V28" s="7"/>
      <c r="W28" s="7"/>
      <c r="X28" s="7"/>
      <c r="Y28" s="7"/>
      <c r="Z28" s="7"/>
      <c r="AA28" s="8"/>
      <c r="AB28" s="8"/>
    </row>
    <row r="29" spans="1:28" x14ac:dyDescent="0.2">
      <c r="A29" s="1"/>
      <c r="B29" s="1"/>
      <c r="C29" s="1"/>
      <c r="D29" s="1"/>
      <c r="E29" s="1"/>
      <c r="F29" s="1"/>
      <c r="G29" s="1"/>
      <c r="H29" s="7"/>
      <c r="I29" s="7"/>
      <c r="J29" s="7"/>
      <c r="K29" s="7"/>
      <c r="L29" s="7"/>
      <c r="M29" s="7"/>
      <c r="N29" s="7"/>
      <c r="O29" s="7"/>
      <c r="P29" s="7"/>
      <c r="Q29" s="7"/>
      <c r="R29" s="7"/>
      <c r="S29" s="7"/>
      <c r="T29" s="7"/>
      <c r="U29" s="7"/>
      <c r="V29" s="7"/>
      <c r="W29" s="7"/>
      <c r="X29" s="7"/>
      <c r="Y29" s="7"/>
      <c r="Z29" s="7"/>
      <c r="AA29" s="8"/>
      <c r="AB29" s="8"/>
    </row>
    <row r="30" spans="1:28" x14ac:dyDescent="0.2">
      <c r="A30" s="1"/>
      <c r="B30" s="1"/>
      <c r="C30" s="1"/>
      <c r="D30" s="1"/>
      <c r="E30" s="1"/>
      <c r="F30" s="1"/>
      <c r="G30" s="1"/>
      <c r="H30" s="7"/>
      <c r="I30" s="7"/>
      <c r="J30" s="7"/>
      <c r="K30" s="7"/>
      <c r="L30" s="7"/>
      <c r="M30" s="7"/>
      <c r="N30" s="7"/>
      <c r="O30" s="7"/>
      <c r="P30" s="7"/>
      <c r="Q30" s="7"/>
      <c r="R30" s="7"/>
      <c r="S30" s="7"/>
      <c r="T30" s="7"/>
      <c r="U30" s="7"/>
      <c r="V30" s="7"/>
      <c r="W30" s="7"/>
      <c r="X30" s="7"/>
      <c r="Y30" s="7"/>
      <c r="Z30" s="7"/>
      <c r="AA30" s="8"/>
      <c r="AB30" s="8"/>
    </row>
    <row r="31" spans="1:28" x14ac:dyDescent="0.2">
      <c r="A31" s="1"/>
      <c r="B31" s="1"/>
      <c r="C31" s="1"/>
      <c r="D31" s="1"/>
      <c r="E31" s="1"/>
      <c r="F31" s="1"/>
      <c r="G31" s="1"/>
      <c r="H31" s="7"/>
      <c r="I31" s="7"/>
      <c r="J31" s="7"/>
      <c r="K31" s="7"/>
      <c r="L31" s="7"/>
      <c r="M31" s="7"/>
      <c r="N31" s="7"/>
      <c r="O31" s="7"/>
      <c r="P31" s="7"/>
      <c r="Q31" s="7"/>
      <c r="R31" s="7"/>
      <c r="S31" s="7"/>
      <c r="T31" s="7"/>
      <c r="U31" s="7"/>
      <c r="V31" s="7"/>
      <c r="W31" s="7"/>
      <c r="X31" s="7"/>
      <c r="Y31" s="7"/>
      <c r="Z31" s="7"/>
      <c r="AA31" s="8"/>
      <c r="AB31" s="8"/>
    </row>
    <row r="32" spans="1:28" x14ac:dyDescent="0.2">
      <c r="A32" s="1"/>
      <c r="B32" s="1"/>
      <c r="C32" s="1"/>
      <c r="D32" s="1"/>
      <c r="E32" s="1"/>
      <c r="F32" s="1"/>
      <c r="G32" s="1"/>
      <c r="H32" s="7"/>
      <c r="I32" s="7"/>
      <c r="J32" s="7"/>
      <c r="K32" s="7"/>
      <c r="L32" s="7"/>
      <c r="M32" s="7"/>
      <c r="N32" s="7"/>
      <c r="O32" s="7"/>
      <c r="P32" s="7"/>
      <c r="Q32" s="7"/>
      <c r="R32" s="7"/>
      <c r="S32" s="7"/>
      <c r="T32" s="7"/>
      <c r="U32" s="7"/>
      <c r="V32" s="7"/>
      <c r="W32" s="7"/>
      <c r="X32" s="7"/>
      <c r="Y32" s="7"/>
      <c r="Z32" s="7"/>
      <c r="AA32" s="8"/>
      <c r="AB32" s="8"/>
    </row>
    <row r="33" spans="1:28" x14ac:dyDescent="0.2">
      <c r="A33" s="1"/>
      <c r="B33" s="1"/>
      <c r="C33" s="1"/>
      <c r="D33" s="1"/>
      <c r="E33" s="58"/>
      <c r="F33" s="58"/>
      <c r="G33" s="58"/>
      <c r="H33" s="7"/>
      <c r="I33" s="7"/>
      <c r="J33" s="7"/>
      <c r="K33" s="7"/>
      <c r="L33" s="7"/>
      <c r="M33" s="7"/>
      <c r="N33" s="7"/>
      <c r="O33" s="7"/>
      <c r="P33" s="7"/>
      <c r="Q33" s="7"/>
      <c r="R33" s="7"/>
      <c r="S33" s="7"/>
      <c r="T33" s="7"/>
      <c r="U33" s="7"/>
      <c r="V33" s="7"/>
      <c r="W33" s="7"/>
      <c r="X33" s="7"/>
      <c r="Y33" s="7"/>
      <c r="Z33" s="7"/>
      <c r="AA33" s="8"/>
      <c r="AB33" s="8"/>
    </row>
    <row r="34" spans="1:28" x14ac:dyDescent="0.2">
      <c r="A34" s="1"/>
      <c r="B34" s="1"/>
      <c r="C34" s="1"/>
      <c r="D34" s="1"/>
      <c r="E34" s="1"/>
      <c r="F34" s="1"/>
      <c r="G34" s="1"/>
      <c r="H34" s="7"/>
      <c r="I34" s="7"/>
      <c r="J34" s="7"/>
      <c r="K34" s="7"/>
      <c r="L34" s="7"/>
      <c r="M34" s="7"/>
      <c r="N34" s="7"/>
      <c r="O34" s="7"/>
      <c r="P34" s="7"/>
      <c r="Q34" s="7"/>
      <c r="R34" s="7"/>
      <c r="S34" s="7"/>
      <c r="T34" s="7"/>
      <c r="U34" s="7"/>
      <c r="V34" s="7"/>
      <c r="W34" s="7"/>
      <c r="X34" s="7"/>
      <c r="Y34" s="7"/>
      <c r="Z34" s="7"/>
      <c r="AA34" s="8"/>
      <c r="AB34" s="8"/>
    </row>
    <row r="35" spans="1:28" x14ac:dyDescent="0.2">
      <c r="A35" s="1"/>
      <c r="B35" s="1"/>
      <c r="C35" s="1"/>
      <c r="D35" s="1"/>
      <c r="E35" s="1"/>
      <c r="F35" s="1"/>
      <c r="G35" s="1"/>
      <c r="H35" s="7"/>
      <c r="I35" s="7"/>
      <c r="J35" s="7"/>
      <c r="K35" s="7"/>
      <c r="L35" s="7"/>
      <c r="M35" s="7"/>
      <c r="N35" s="7"/>
      <c r="O35" s="7"/>
      <c r="P35" s="7"/>
      <c r="Q35" s="7"/>
      <c r="R35" s="7"/>
      <c r="S35" s="7"/>
      <c r="T35" s="7"/>
      <c r="U35" s="7"/>
      <c r="V35" s="7"/>
      <c r="W35" s="7"/>
      <c r="X35" s="7"/>
      <c r="Y35" s="7"/>
      <c r="Z35" s="7"/>
      <c r="AA35" s="8"/>
      <c r="AB35" s="8"/>
    </row>
    <row r="36" spans="1:28" ht="12" x14ac:dyDescent="0.25">
      <c r="A36" s="1"/>
      <c r="B36" s="10" t="s">
        <v>64</v>
      </c>
      <c r="C36" s="1"/>
      <c r="D36" s="1"/>
      <c r="E36" s="1"/>
      <c r="F36" s="1"/>
      <c r="G36" s="1"/>
      <c r="H36" s="7"/>
      <c r="I36" s="7"/>
      <c r="J36" s="7"/>
      <c r="K36" s="7"/>
      <c r="L36" s="7"/>
      <c r="M36" s="7"/>
      <c r="N36" s="7"/>
      <c r="O36" s="7"/>
      <c r="P36" s="7"/>
      <c r="Q36" s="7"/>
      <c r="R36" s="7"/>
      <c r="S36" s="7"/>
      <c r="T36" s="7"/>
      <c r="U36" s="7"/>
      <c r="V36" s="7"/>
      <c r="W36" s="7"/>
      <c r="X36" s="7"/>
      <c r="Y36" s="7"/>
      <c r="Z36" s="7"/>
      <c r="AA36" s="8"/>
      <c r="AB36" s="8"/>
    </row>
    <row r="37" spans="1:28" ht="5.25" customHeight="1" x14ac:dyDescent="0.25">
      <c r="A37" s="1"/>
      <c r="B37" s="10"/>
      <c r="C37" s="1"/>
      <c r="D37" s="1"/>
      <c r="E37" s="1"/>
      <c r="F37" s="1"/>
      <c r="G37" s="1"/>
      <c r="H37" s="7"/>
      <c r="I37" s="7"/>
      <c r="J37" s="7"/>
      <c r="K37" s="7"/>
      <c r="L37" s="7"/>
      <c r="M37" s="7"/>
      <c r="N37" s="7"/>
      <c r="O37" s="7"/>
      <c r="P37" s="7"/>
      <c r="Q37" s="7"/>
      <c r="R37" s="7"/>
      <c r="S37" s="7"/>
      <c r="T37" s="7"/>
      <c r="U37" s="7"/>
      <c r="V37" s="7"/>
      <c r="W37" s="7"/>
      <c r="X37" s="7"/>
      <c r="Y37" s="7"/>
      <c r="Z37" s="7"/>
      <c r="AA37" s="8"/>
      <c r="AB37" s="8"/>
    </row>
    <row r="38" spans="1:28" ht="12" x14ac:dyDescent="0.25">
      <c r="A38" s="1"/>
      <c r="B38" s="10"/>
      <c r="C38" s="10" t="s">
        <v>65</v>
      </c>
      <c r="D38" s="10"/>
      <c r="E38" s="71" t="s">
        <v>66</v>
      </c>
      <c r="F38" s="1"/>
      <c r="G38" s="1"/>
      <c r="H38" s="7"/>
      <c r="I38" s="7"/>
      <c r="J38" s="7"/>
      <c r="K38" s="7"/>
      <c r="L38" s="7"/>
      <c r="M38" s="7"/>
      <c r="N38" s="7"/>
      <c r="O38" s="7"/>
      <c r="P38" s="7"/>
      <c r="Q38" s="7"/>
      <c r="R38" s="7"/>
      <c r="S38" s="7"/>
      <c r="T38" s="7"/>
      <c r="U38" s="7"/>
      <c r="V38" s="7"/>
      <c r="W38" s="7"/>
      <c r="X38" s="7"/>
      <c r="Y38" s="7"/>
      <c r="Z38" s="7"/>
      <c r="AA38" s="8"/>
      <c r="AB38" s="8"/>
    </row>
    <row r="39" spans="1:28" x14ac:dyDescent="0.2">
      <c r="A39" s="1"/>
      <c r="B39" s="1"/>
      <c r="C39" s="1"/>
      <c r="D39" s="1"/>
      <c r="E39" s="1"/>
      <c r="F39" s="1"/>
      <c r="G39" s="1"/>
      <c r="H39" s="7"/>
      <c r="I39" s="7"/>
      <c r="J39" s="7"/>
      <c r="K39" s="7"/>
      <c r="L39" s="7"/>
      <c r="M39" s="7"/>
      <c r="N39" s="7"/>
      <c r="O39" s="7"/>
      <c r="P39" s="7"/>
      <c r="Q39" s="7"/>
      <c r="R39" s="7"/>
      <c r="S39" s="7"/>
      <c r="T39" s="7"/>
      <c r="U39" s="7"/>
      <c r="V39" s="7"/>
      <c r="W39" s="7"/>
      <c r="X39" s="7"/>
      <c r="Y39" s="7"/>
      <c r="Z39" s="7"/>
      <c r="AA39" s="8"/>
      <c r="AB39" s="8"/>
    </row>
    <row r="40" spans="1:28" x14ac:dyDescent="0.2">
      <c r="A40" s="1"/>
      <c r="B40" s="1"/>
      <c r="C40" s="1"/>
      <c r="D40" s="1"/>
      <c r="F40" s="1"/>
      <c r="G40" s="1"/>
      <c r="H40" s="7"/>
      <c r="I40" s="7"/>
      <c r="J40" s="7"/>
      <c r="K40" s="7"/>
      <c r="L40" s="7"/>
      <c r="M40" s="7"/>
      <c r="N40" s="7"/>
      <c r="O40" s="7"/>
      <c r="P40" s="7"/>
      <c r="Q40" s="7"/>
      <c r="R40" s="7"/>
      <c r="S40" s="7"/>
      <c r="T40" s="7"/>
      <c r="U40" s="7"/>
      <c r="V40" s="7"/>
      <c r="W40" s="7"/>
      <c r="X40" s="7"/>
      <c r="Y40" s="7"/>
      <c r="Z40" s="7"/>
      <c r="AA40" s="8"/>
      <c r="AB40" s="8"/>
    </row>
    <row r="41" spans="1:28" x14ac:dyDescent="0.2">
      <c r="A41" s="1"/>
      <c r="B41" s="1"/>
      <c r="C41" s="1"/>
      <c r="D41" s="1"/>
      <c r="E41" s="1"/>
      <c r="F41" s="1"/>
      <c r="G41" s="1"/>
      <c r="H41" s="7"/>
      <c r="I41" s="7"/>
      <c r="J41" s="7"/>
      <c r="K41" s="7"/>
      <c r="L41" s="7"/>
      <c r="M41" s="7"/>
      <c r="N41" s="7"/>
      <c r="O41" s="7"/>
      <c r="P41" s="7"/>
      <c r="Q41" s="7"/>
      <c r="R41" s="7"/>
      <c r="S41" s="7"/>
      <c r="T41" s="7"/>
      <c r="U41" s="7"/>
      <c r="V41" s="7"/>
      <c r="W41" s="7"/>
      <c r="X41" s="7"/>
      <c r="Y41" s="7"/>
      <c r="Z41" s="7"/>
      <c r="AA41" s="8"/>
      <c r="AB41" s="8"/>
    </row>
    <row r="42" spans="1:28" x14ac:dyDescent="0.2">
      <c r="A42" s="1"/>
      <c r="B42" s="1"/>
      <c r="C42" s="1"/>
      <c r="D42" s="1"/>
      <c r="E42" s="1"/>
      <c r="F42" s="1"/>
      <c r="G42" s="1"/>
      <c r="H42" s="7"/>
      <c r="I42" s="7"/>
      <c r="J42" s="7"/>
      <c r="K42" s="7"/>
      <c r="L42" s="7"/>
      <c r="M42" s="7"/>
      <c r="N42" s="7"/>
      <c r="O42" s="7"/>
      <c r="P42" s="7"/>
      <c r="Q42" s="7"/>
      <c r="R42" s="7"/>
      <c r="S42" s="7"/>
      <c r="T42" s="7"/>
      <c r="U42" s="7"/>
      <c r="V42" s="7"/>
      <c r="W42" s="7"/>
      <c r="X42" s="7"/>
      <c r="Y42" s="7"/>
      <c r="Z42" s="7"/>
      <c r="AA42" s="8"/>
      <c r="AB42" s="8"/>
    </row>
    <row r="43" spans="1:28" x14ac:dyDescent="0.2">
      <c r="A43" s="1"/>
      <c r="B43" s="1"/>
      <c r="C43" s="1"/>
      <c r="D43" s="1"/>
      <c r="E43" s="1"/>
      <c r="F43" s="1"/>
      <c r="G43" s="1"/>
      <c r="H43" s="7"/>
      <c r="I43" s="7"/>
      <c r="J43" s="7"/>
      <c r="K43" s="7"/>
      <c r="L43" s="7"/>
      <c r="M43" s="7"/>
      <c r="N43" s="7"/>
      <c r="O43" s="7"/>
      <c r="P43" s="7"/>
      <c r="Q43" s="7"/>
      <c r="R43" s="7"/>
      <c r="S43" s="7"/>
      <c r="T43" s="7"/>
      <c r="U43" s="7"/>
      <c r="V43" s="7"/>
      <c r="W43" s="7"/>
      <c r="X43" s="7"/>
      <c r="Y43" s="7"/>
      <c r="Z43" s="7"/>
      <c r="AA43" s="8"/>
      <c r="AB43" s="8"/>
    </row>
    <row r="44" spans="1:28" ht="12" x14ac:dyDescent="0.25">
      <c r="A44" s="1"/>
      <c r="B44" s="10" t="s">
        <v>67</v>
      </c>
      <c r="C44" s="1"/>
      <c r="D44" s="1"/>
      <c r="E44" s="1"/>
      <c r="F44" s="1"/>
      <c r="G44" s="1"/>
      <c r="H44" s="7"/>
      <c r="I44" s="7"/>
      <c r="J44" s="7"/>
      <c r="K44" s="7"/>
      <c r="L44" s="7"/>
      <c r="M44" s="7"/>
      <c r="N44" s="7"/>
      <c r="O44" s="7"/>
      <c r="P44" s="7"/>
      <c r="Q44" s="7"/>
      <c r="R44" s="7"/>
      <c r="S44" s="7"/>
      <c r="T44" s="7"/>
      <c r="U44" s="7"/>
      <c r="V44" s="7"/>
      <c r="W44" s="7"/>
      <c r="X44" s="7"/>
      <c r="Y44" s="7"/>
      <c r="Z44" s="7"/>
      <c r="AA44" s="8"/>
      <c r="AB44" s="8"/>
    </row>
    <row r="45" spans="1:28" ht="12" x14ac:dyDescent="0.25">
      <c r="A45" s="1"/>
      <c r="B45" s="10" t="s">
        <v>68</v>
      </c>
      <c r="C45" s="1"/>
      <c r="D45" s="1"/>
      <c r="E45" s="1"/>
      <c r="F45" s="1"/>
      <c r="G45" s="1"/>
      <c r="H45" s="7"/>
      <c r="I45" s="7"/>
      <c r="J45" s="7"/>
      <c r="K45" s="7"/>
      <c r="L45" s="7"/>
      <c r="M45" s="7"/>
      <c r="N45" s="7"/>
      <c r="O45" s="7"/>
      <c r="P45" s="7"/>
      <c r="Q45" s="7"/>
      <c r="R45" s="7"/>
      <c r="S45" s="7"/>
      <c r="T45" s="7"/>
      <c r="U45" s="7"/>
      <c r="V45" s="7"/>
      <c r="W45" s="7"/>
      <c r="X45" s="7"/>
      <c r="Y45" s="7"/>
      <c r="Z45" s="7"/>
      <c r="AA45" s="8"/>
      <c r="AB45" s="8"/>
    </row>
    <row r="46" spans="1:28" x14ac:dyDescent="0.2">
      <c r="A46" s="1"/>
      <c r="B46" s="64" t="s">
        <v>69</v>
      </c>
      <c r="C46" s="45"/>
      <c r="D46" s="45"/>
      <c r="E46" s="45"/>
      <c r="F46" s="45"/>
      <c r="G46" s="45"/>
      <c r="H46" s="45"/>
      <c r="I46" s="7"/>
      <c r="J46" s="7"/>
      <c r="K46" s="7"/>
      <c r="L46" s="1"/>
      <c r="M46" s="7"/>
      <c r="N46" s="7"/>
      <c r="O46" s="7"/>
      <c r="P46" s="7"/>
      <c r="Q46" s="7"/>
      <c r="R46" s="7"/>
      <c r="S46" s="7"/>
      <c r="T46" s="7"/>
      <c r="U46" s="7"/>
      <c r="V46" s="7"/>
      <c r="W46" s="7"/>
      <c r="X46" s="7"/>
      <c r="Y46" s="7"/>
      <c r="Z46" s="7"/>
      <c r="AA46" s="8"/>
      <c r="AB46" s="8"/>
    </row>
    <row r="47" spans="1:28" x14ac:dyDescent="0.2">
      <c r="A47" s="1"/>
      <c r="B47" s="72" t="s">
        <v>70</v>
      </c>
      <c r="C47" s="64" t="s">
        <v>71</v>
      </c>
      <c r="D47" s="64"/>
      <c r="E47" s="64"/>
      <c r="F47" s="64"/>
      <c r="G47" s="64"/>
      <c r="H47" s="45"/>
      <c r="I47" s="7"/>
      <c r="J47" s="7"/>
      <c r="K47" s="7"/>
      <c r="L47" s="1"/>
      <c r="M47" s="7"/>
      <c r="N47" s="7"/>
      <c r="O47" s="7"/>
      <c r="P47" s="7"/>
      <c r="Q47" s="7"/>
      <c r="R47" s="7"/>
      <c r="S47" s="7"/>
      <c r="T47" s="7"/>
      <c r="U47" s="7"/>
      <c r="V47" s="7"/>
      <c r="W47" s="7"/>
      <c r="X47" s="7"/>
      <c r="Y47" s="7"/>
      <c r="Z47" s="7"/>
      <c r="AA47" s="8"/>
      <c r="AB47" s="8"/>
    </row>
    <row r="48" spans="1:28" s="5" customFormat="1" ht="12.6" customHeight="1" x14ac:dyDescent="0.2">
      <c r="A48" s="42"/>
      <c r="B48" s="73" t="s">
        <v>72</v>
      </c>
      <c r="C48" s="382" t="s">
        <v>73</v>
      </c>
      <c r="D48" s="383"/>
      <c r="E48" s="383"/>
      <c r="F48" s="383"/>
      <c r="G48" s="383"/>
      <c r="H48" s="46"/>
      <c r="I48" s="43"/>
      <c r="J48" s="43"/>
      <c r="K48" s="43"/>
      <c r="L48" s="42"/>
      <c r="M48" s="43"/>
      <c r="N48" s="43"/>
      <c r="O48" s="43"/>
      <c r="P48" s="43"/>
      <c r="Q48" s="43"/>
      <c r="R48" s="43"/>
      <c r="S48" s="43"/>
      <c r="T48" s="43"/>
      <c r="U48" s="43"/>
      <c r="V48" s="43"/>
      <c r="W48" s="43"/>
      <c r="X48" s="43"/>
      <c r="Y48" s="43"/>
      <c r="Z48" s="43"/>
      <c r="AA48" s="44"/>
      <c r="AB48" s="44"/>
    </row>
    <row r="49" spans="1:28" x14ac:dyDescent="0.2">
      <c r="A49" s="1"/>
      <c r="B49" s="72" t="s">
        <v>74</v>
      </c>
      <c r="C49" s="382" t="s">
        <v>75</v>
      </c>
      <c r="D49" s="383"/>
      <c r="E49" s="383"/>
      <c r="F49" s="383"/>
      <c r="G49" s="383"/>
      <c r="H49" s="45"/>
      <c r="I49" s="7"/>
      <c r="J49" s="7"/>
      <c r="K49" s="7"/>
      <c r="L49" s="1"/>
      <c r="M49" s="7"/>
      <c r="N49" s="7"/>
      <c r="O49" s="7"/>
      <c r="P49" s="7"/>
      <c r="Q49" s="7"/>
      <c r="R49" s="7"/>
      <c r="S49" s="7"/>
      <c r="T49" s="7"/>
      <c r="U49" s="7"/>
      <c r="V49" s="7"/>
      <c r="W49" s="7"/>
      <c r="X49" s="7"/>
      <c r="Y49" s="7"/>
      <c r="Z49" s="7"/>
      <c r="AA49" s="8"/>
      <c r="AB49" s="8"/>
    </row>
    <row r="50" spans="1:28" ht="12" thickBot="1" x14ac:dyDescent="0.25">
      <c r="A50" s="1"/>
      <c r="B50" s="74" t="s">
        <v>76</v>
      </c>
      <c r="C50" s="45"/>
      <c r="D50" s="45"/>
      <c r="E50" s="45"/>
      <c r="F50" s="45"/>
      <c r="G50" s="45"/>
      <c r="H50" s="45"/>
      <c r="I50" s="7"/>
      <c r="J50" s="7"/>
      <c r="K50" s="7"/>
      <c r="L50" s="1"/>
      <c r="M50" s="7"/>
      <c r="N50" s="7"/>
      <c r="O50" s="7"/>
      <c r="P50" s="7"/>
      <c r="Q50" s="7"/>
      <c r="R50" s="7"/>
      <c r="S50" s="7"/>
      <c r="T50" s="7"/>
      <c r="U50" s="7"/>
      <c r="V50" s="7"/>
      <c r="W50" s="7"/>
      <c r="X50" s="7"/>
      <c r="Y50" s="7"/>
      <c r="Z50" s="7"/>
      <c r="AA50" s="8"/>
      <c r="AB50" s="8"/>
    </row>
    <row r="51" spans="1:28" x14ac:dyDescent="0.2">
      <c r="A51" s="1"/>
      <c r="B51" s="66" t="s">
        <v>60</v>
      </c>
      <c r="C51" s="67"/>
      <c r="D51" s="67"/>
      <c r="E51" s="67"/>
      <c r="F51" s="67"/>
      <c r="G51" s="67"/>
      <c r="H51" s="7"/>
      <c r="I51" s="7"/>
      <c r="J51" s="7"/>
      <c r="K51" s="7"/>
      <c r="L51" s="1"/>
      <c r="M51" s="7"/>
      <c r="N51" s="7"/>
      <c r="O51" s="7"/>
      <c r="P51" s="7"/>
      <c r="Q51" s="7"/>
      <c r="R51" s="7"/>
      <c r="S51" s="7"/>
      <c r="T51" s="7"/>
      <c r="U51" s="7"/>
      <c r="V51" s="7"/>
      <c r="W51" s="7"/>
      <c r="X51" s="7"/>
      <c r="Y51" s="7"/>
      <c r="Z51" s="7"/>
      <c r="AA51" s="8"/>
      <c r="AB51" s="8"/>
    </row>
    <row r="52" spans="1:28" x14ac:dyDescent="0.2">
      <c r="A52" s="1"/>
      <c r="B52" s="69"/>
      <c r="C52" s="69"/>
      <c r="D52" s="69"/>
      <c r="E52" s="69"/>
      <c r="F52" s="69"/>
      <c r="G52" s="69"/>
      <c r="H52" s="7"/>
      <c r="I52" s="7"/>
      <c r="J52" s="7"/>
      <c r="K52" s="7"/>
      <c r="L52" s="1"/>
      <c r="M52" s="7"/>
      <c r="N52" s="7"/>
      <c r="O52" s="7"/>
      <c r="P52" s="7"/>
      <c r="Q52" s="7"/>
      <c r="R52" s="7"/>
      <c r="S52" s="7"/>
      <c r="T52" s="7"/>
      <c r="U52" s="7"/>
      <c r="V52" s="7"/>
      <c r="W52" s="7"/>
      <c r="X52" s="7"/>
      <c r="Y52" s="7"/>
      <c r="Z52" s="7"/>
      <c r="AA52" s="8"/>
      <c r="AB52" s="8"/>
    </row>
    <row r="53" spans="1:28" x14ac:dyDescent="0.2">
      <c r="A53" s="1"/>
      <c r="B53" s="69"/>
      <c r="C53" s="69"/>
      <c r="D53" s="69"/>
      <c r="E53" s="69"/>
      <c r="F53" s="69"/>
      <c r="G53" s="69"/>
      <c r="H53" s="7"/>
      <c r="I53" s="7"/>
      <c r="J53" s="7"/>
      <c r="K53" s="7"/>
      <c r="L53" s="1"/>
      <c r="M53" s="7"/>
      <c r="N53" s="7"/>
      <c r="O53" s="7"/>
      <c r="P53" s="7"/>
      <c r="Q53" s="7"/>
      <c r="R53" s="7"/>
      <c r="S53" s="7"/>
      <c r="T53" s="7"/>
      <c r="U53" s="7"/>
      <c r="V53" s="7"/>
      <c r="W53" s="7"/>
      <c r="X53" s="7"/>
      <c r="Y53" s="7"/>
      <c r="Z53" s="7"/>
      <c r="AA53" s="8"/>
      <c r="AB53" s="8"/>
    </row>
    <row r="54" spans="1:28" x14ac:dyDescent="0.2">
      <c r="A54" s="1"/>
      <c r="B54" s="69"/>
      <c r="C54" s="69"/>
      <c r="D54" s="69"/>
      <c r="E54" s="69"/>
      <c r="F54" s="69"/>
      <c r="G54" s="69"/>
      <c r="H54" s="7"/>
      <c r="I54" s="7"/>
      <c r="J54" s="7"/>
      <c r="K54" s="7"/>
      <c r="L54" s="1"/>
      <c r="M54" s="7"/>
      <c r="N54" s="7"/>
      <c r="O54" s="7"/>
      <c r="P54" s="7"/>
      <c r="Q54" s="7"/>
      <c r="R54" s="7"/>
      <c r="S54" s="7"/>
      <c r="T54" s="7"/>
      <c r="U54" s="7"/>
      <c r="V54" s="7"/>
      <c r="W54" s="7"/>
      <c r="X54" s="7"/>
      <c r="Y54" s="7"/>
      <c r="Z54" s="7"/>
      <c r="AA54" s="8"/>
      <c r="AB54" s="8"/>
    </row>
    <row r="55" spans="1:28" x14ac:dyDescent="0.2">
      <c r="A55" s="1"/>
      <c r="B55" s="69"/>
      <c r="C55" s="69"/>
      <c r="D55" s="69"/>
      <c r="E55" s="69"/>
      <c r="F55" s="69"/>
      <c r="G55" s="69"/>
      <c r="H55" s="7"/>
      <c r="I55" s="7"/>
      <c r="J55" s="7"/>
      <c r="K55" s="7"/>
      <c r="L55" s="1"/>
      <c r="M55" s="7"/>
      <c r="N55" s="7"/>
      <c r="O55" s="7"/>
      <c r="P55" s="7"/>
      <c r="Q55" s="7"/>
      <c r="R55" s="7"/>
      <c r="S55" s="7"/>
      <c r="T55" s="7"/>
      <c r="U55" s="7"/>
      <c r="V55" s="7"/>
      <c r="W55" s="7"/>
      <c r="X55" s="7"/>
      <c r="Y55" s="7"/>
      <c r="Z55" s="7"/>
      <c r="AA55" s="8"/>
      <c r="AB55" s="8"/>
    </row>
    <row r="56" spans="1:28" x14ac:dyDescent="0.2">
      <c r="A56" s="1"/>
      <c r="B56" s="69"/>
      <c r="C56" s="69"/>
      <c r="D56" s="69"/>
      <c r="E56" s="69"/>
      <c r="F56" s="69"/>
      <c r="G56" s="69"/>
      <c r="H56" s="7"/>
      <c r="I56" s="7"/>
      <c r="J56" s="7"/>
      <c r="K56" s="7"/>
      <c r="L56" s="1"/>
      <c r="M56" s="7"/>
      <c r="N56" s="7"/>
      <c r="O56" s="7"/>
      <c r="P56" s="7"/>
      <c r="Q56" s="7"/>
      <c r="R56" s="7"/>
      <c r="S56" s="7"/>
      <c r="T56" s="7"/>
      <c r="U56" s="7"/>
      <c r="V56" s="7"/>
      <c r="W56" s="7"/>
      <c r="X56" s="7"/>
      <c r="Y56" s="7"/>
      <c r="Z56" s="7"/>
      <c r="AA56" s="8"/>
      <c r="AB56" s="8"/>
    </row>
    <row r="57" spans="1:28" ht="12" thickBot="1" x14ac:dyDescent="0.25">
      <c r="A57" s="1"/>
      <c r="B57" s="70"/>
      <c r="C57" s="70"/>
      <c r="D57" s="70"/>
      <c r="E57" s="70"/>
      <c r="F57" s="70"/>
      <c r="G57" s="70"/>
      <c r="H57" s="7"/>
      <c r="I57" s="7"/>
      <c r="J57" s="7"/>
      <c r="K57" s="7"/>
      <c r="L57" s="1"/>
      <c r="M57" s="7"/>
      <c r="N57" s="7"/>
      <c r="O57" s="7"/>
      <c r="P57" s="7"/>
      <c r="Q57" s="7"/>
      <c r="R57" s="7"/>
      <c r="S57" s="7"/>
      <c r="T57" s="7"/>
      <c r="U57" s="7"/>
      <c r="V57" s="7"/>
      <c r="W57" s="7"/>
      <c r="X57" s="7"/>
      <c r="Y57" s="7"/>
      <c r="Z57" s="7"/>
      <c r="AA57" s="8"/>
      <c r="AB57" s="8"/>
    </row>
    <row r="58" spans="1:28" ht="12" x14ac:dyDescent="0.25">
      <c r="A58" s="1"/>
      <c r="B58" s="1"/>
      <c r="C58" s="1"/>
      <c r="D58" s="1"/>
      <c r="E58" s="1"/>
      <c r="F58" s="1"/>
      <c r="G58" s="1"/>
      <c r="H58" s="7"/>
      <c r="I58" s="7"/>
      <c r="J58" s="7"/>
      <c r="K58" s="7"/>
      <c r="L58" s="10"/>
      <c r="M58" s="7"/>
      <c r="N58" s="7"/>
      <c r="O58" s="7"/>
      <c r="P58" s="7"/>
      <c r="Q58" s="7"/>
      <c r="R58" s="7"/>
      <c r="S58" s="7"/>
      <c r="T58" s="7"/>
      <c r="U58" s="7"/>
      <c r="V58" s="7"/>
      <c r="W58" s="7"/>
      <c r="X58" s="7"/>
      <c r="Y58" s="7"/>
      <c r="Z58" s="7"/>
      <c r="AA58" s="8"/>
      <c r="AB58" s="8"/>
    </row>
    <row r="59" spans="1:28" ht="12" x14ac:dyDescent="0.25">
      <c r="A59" s="1"/>
      <c r="B59" s="1"/>
      <c r="C59" s="1"/>
      <c r="D59" s="1"/>
      <c r="E59" s="1"/>
      <c r="F59" s="1"/>
      <c r="G59" s="1"/>
      <c r="H59" s="7"/>
      <c r="I59" s="7"/>
      <c r="J59" s="7"/>
      <c r="K59" s="7"/>
      <c r="L59" s="10"/>
      <c r="M59" s="7"/>
      <c r="N59" s="7"/>
      <c r="O59" s="7"/>
      <c r="P59" s="7"/>
      <c r="Q59" s="7"/>
      <c r="R59" s="7"/>
      <c r="S59" s="7"/>
      <c r="T59" s="7"/>
      <c r="U59" s="7"/>
      <c r="V59" s="7"/>
      <c r="W59" s="7"/>
      <c r="X59" s="7"/>
      <c r="Y59" s="7"/>
      <c r="Z59" s="7"/>
      <c r="AA59" s="8"/>
      <c r="AB59" s="8"/>
    </row>
    <row r="60" spans="1:28" ht="15.6" x14ac:dyDescent="0.3">
      <c r="A60" s="1"/>
      <c r="B60" s="63" t="s">
        <v>77</v>
      </c>
      <c r="C60" s="34"/>
      <c r="D60" s="34"/>
      <c r="E60" s="34"/>
      <c r="F60" s="34"/>
      <c r="G60" s="34"/>
      <c r="H60" s="7"/>
      <c r="I60" s="7"/>
      <c r="J60" s="1"/>
      <c r="K60" s="7"/>
      <c r="L60" s="10"/>
      <c r="M60" s="7"/>
      <c r="N60" s="7"/>
      <c r="O60" s="7"/>
      <c r="P60" s="7"/>
      <c r="Q60" s="7"/>
      <c r="R60" s="7"/>
      <c r="S60" s="7"/>
      <c r="T60" s="7"/>
      <c r="U60" s="7"/>
      <c r="V60" s="7"/>
      <c r="W60" s="7"/>
      <c r="X60" s="7"/>
      <c r="Y60" s="7"/>
      <c r="Z60" s="7"/>
      <c r="AA60" s="8"/>
      <c r="AB60" s="8"/>
    </row>
    <row r="61" spans="1:28" s="10" customFormat="1" ht="12" x14ac:dyDescent="0.25"/>
    <row r="62" spans="1:28" ht="12" x14ac:dyDescent="0.25">
      <c r="A62" s="1"/>
      <c r="B62" s="10" t="s">
        <v>78</v>
      </c>
      <c r="C62" s="1"/>
      <c r="D62" s="1"/>
      <c r="E62" s="1"/>
      <c r="F62" s="1"/>
      <c r="G62" s="1"/>
      <c r="H62" s="7"/>
      <c r="I62" s="7"/>
      <c r="K62" s="7"/>
      <c r="L62" s="10"/>
      <c r="M62" s="7"/>
      <c r="N62" s="7"/>
      <c r="O62" s="7"/>
      <c r="P62" s="7"/>
      <c r="Q62" s="7"/>
      <c r="R62" s="7"/>
      <c r="S62" s="7"/>
      <c r="T62" s="7"/>
      <c r="U62" s="7"/>
      <c r="V62" s="7"/>
      <c r="W62" s="7"/>
      <c r="X62" s="7"/>
      <c r="Y62" s="7"/>
      <c r="Z62" s="7"/>
      <c r="AA62" s="8"/>
      <c r="AB62" s="8"/>
    </row>
    <row r="63" spans="1:28" ht="12" x14ac:dyDescent="0.25">
      <c r="A63" s="1"/>
      <c r="B63" s="10"/>
      <c r="C63" s="1"/>
      <c r="D63" s="1"/>
      <c r="E63" s="1"/>
      <c r="F63" s="1"/>
      <c r="G63" s="1"/>
      <c r="H63" s="7"/>
      <c r="I63" s="7"/>
      <c r="J63" s="1" t="s">
        <v>79</v>
      </c>
      <c r="K63" s="7"/>
      <c r="L63" s="10"/>
      <c r="M63" s="7"/>
      <c r="N63" s="7"/>
      <c r="O63" s="7"/>
      <c r="P63" s="7"/>
      <c r="Q63" s="7"/>
      <c r="R63" s="7"/>
      <c r="S63" s="7"/>
      <c r="T63" s="7"/>
      <c r="U63" s="7"/>
      <c r="V63" s="7"/>
      <c r="W63" s="7"/>
      <c r="X63" s="7"/>
      <c r="Y63" s="7"/>
      <c r="Z63" s="7"/>
      <c r="AA63" s="8"/>
      <c r="AB63" s="8"/>
    </row>
    <row r="64" spans="1:28" ht="12" x14ac:dyDescent="0.25">
      <c r="A64" s="1"/>
      <c r="B64" s="1"/>
      <c r="C64" s="75" t="s">
        <v>80</v>
      </c>
      <c r="D64" s="1"/>
      <c r="E64" s="1"/>
      <c r="F64" s="1"/>
      <c r="G64" s="1"/>
      <c r="H64" s="7"/>
      <c r="I64" s="1"/>
      <c r="J64" s="76" t="s">
        <v>81</v>
      </c>
      <c r="K64" s="7"/>
      <c r="L64" s="10"/>
      <c r="M64" s="7"/>
      <c r="N64" s="7"/>
      <c r="O64" s="7"/>
      <c r="P64" s="7"/>
      <c r="Q64" s="7"/>
      <c r="R64" s="7"/>
      <c r="S64" s="7"/>
      <c r="T64" s="7"/>
      <c r="U64" s="7"/>
      <c r="V64" s="7"/>
      <c r="W64" s="7"/>
      <c r="X64" s="7"/>
      <c r="Y64" s="7"/>
      <c r="Z64" s="7"/>
      <c r="AA64" s="8"/>
      <c r="AB64" s="8"/>
    </row>
    <row r="65" spans="1:28" ht="12" x14ac:dyDescent="0.25">
      <c r="A65" s="1"/>
      <c r="B65" s="1"/>
      <c r="C65" s="1"/>
      <c r="D65" s="1"/>
      <c r="E65" s="1"/>
      <c r="F65" s="1"/>
      <c r="G65" s="1"/>
      <c r="H65" s="7"/>
      <c r="I65" s="1"/>
      <c r="J65" s="77" t="s">
        <v>82</v>
      </c>
      <c r="K65" s="7"/>
      <c r="L65" s="10"/>
      <c r="M65" s="7"/>
      <c r="N65" s="7"/>
      <c r="O65" s="7"/>
      <c r="P65" s="7"/>
      <c r="Q65" s="7"/>
      <c r="R65" s="7"/>
      <c r="S65" s="7"/>
      <c r="T65" s="7"/>
      <c r="U65" s="7"/>
      <c r="V65" s="7"/>
      <c r="W65" s="7"/>
      <c r="X65" s="7"/>
      <c r="Y65" s="7"/>
      <c r="Z65" s="7"/>
      <c r="AA65" s="8"/>
      <c r="AB65" s="8"/>
    </row>
    <row r="66" spans="1:28" ht="12" x14ac:dyDescent="0.25">
      <c r="A66" s="1"/>
      <c r="B66" s="1"/>
      <c r="C66" s="78" t="s">
        <v>82</v>
      </c>
      <c r="D66" s="1" t="s">
        <v>83</v>
      </c>
      <c r="E66" s="1"/>
      <c r="F66" s="1"/>
      <c r="G66" s="1"/>
      <c r="H66" s="7"/>
      <c r="I66" s="1"/>
      <c r="J66" s="79" t="s">
        <v>84</v>
      </c>
      <c r="K66" s="7"/>
      <c r="L66" s="10"/>
      <c r="M66" s="7"/>
      <c r="N66" s="7"/>
      <c r="O66" s="7"/>
      <c r="P66" s="7"/>
      <c r="Q66" s="7"/>
      <c r="R66" s="7"/>
      <c r="S66" s="7"/>
      <c r="T66" s="7"/>
      <c r="U66" s="7"/>
      <c r="V66" s="7"/>
      <c r="W66" s="7"/>
      <c r="X66" s="7"/>
      <c r="Y66" s="7"/>
      <c r="Z66" s="7"/>
      <c r="AA66" s="8"/>
      <c r="AB66" s="8"/>
    </row>
    <row r="67" spans="1:28" ht="12" x14ac:dyDescent="0.25">
      <c r="A67" s="1"/>
      <c r="B67" s="1"/>
      <c r="C67" s="78" t="s">
        <v>82</v>
      </c>
      <c r="D67" s="1" t="s">
        <v>85</v>
      </c>
      <c r="E67" s="1"/>
      <c r="F67" s="1"/>
      <c r="G67" s="1"/>
      <c r="H67" s="7"/>
      <c r="I67" s="1"/>
      <c r="J67" s="1"/>
      <c r="K67" s="7"/>
      <c r="L67" s="10"/>
      <c r="M67" s="7"/>
      <c r="N67" s="7"/>
      <c r="O67" s="7"/>
      <c r="P67" s="7"/>
      <c r="Q67" s="7"/>
      <c r="R67" s="7"/>
      <c r="S67" s="7"/>
      <c r="T67" s="7"/>
      <c r="U67" s="7"/>
      <c r="V67" s="7"/>
      <c r="W67" s="7"/>
      <c r="X67" s="7"/>
      <c r="Y67" s="7"/>
      <c r="Z67" s="7"/>
      <c r="AA67" s="8"/>
      <c r="AB67" s="8"/>
    </row>
    <row r="68" spans="1:28" ht="12" x14ac:dyDescent="0.25">
      <c r="A68" s="1"/>
      <c r="B68" s="1"/>
      <c r="C68" s="1"/>
      <c r="D68" s="1" t="s">
        <v>86</v>
      </c>
      <c r="E68" s="1"/>
      <c r="F68" s="1"/>
      <c r="G68" s="1"/>
      <c r="H68" s="7"/>
      <c r="I68" s="1"/>
      <c r="J68" s="76" t="s">
        <v>87</v>
      </c>
      <c r="K68" s="7"/>
      <c r="L68" s="10"/>
      <c r="M68" s="7"/>
      <c r="N68" s="7"/>
      <c r="O68" s="7"/>
      <c r="P68" s="7"/>
      <c r="Q68" s="7"/>
      <c r="R68" s="7"/>
      <c r="S68" s="7"/>
      <c r="T68" s="7"/>
      <c r="U68" s="7"/>
      <c r="V68" s="7"/>
      <c r="W68" s="7"/>
      <c r="X68" s="7"/>
      <c r="Y68" s="7"/>
      <c r="Z68" s="7"/>
      <c r="AA68" s="8"/>
      <c r="AB68" s="8"/>
    </row>
    <row r="69" spans="1:28" ht="12" x14ac:dyDescent="0.25">
      <c r="A69" s="1"/>
      <c r="B69" s="1"/>
      <c r="C69" s="1"/>
      <c r="D69" s="1" t="s">
        <v>88</v>
      </c>
      <c r="E69" s="1"/>
      <c r="F69" s="1"/>
      <c r="G69" s="1"/>
      <c r="H69" s="7"/>
      <c r="I69" s="1"/>
      <c r="J69" s="77" t="s">
        <v>89</v>
      </c>
      <c r="K69" s="7"/>
      <c r="L69" s="10"/>
      <c r="M69" s="7"/>
      <c r="N69" s="7"/>
      <c r="O69" s="7"/>
      <c r="P69" s="7"/>
      <c r="Q69" s="7"/>
      <c r="R69" s="7"/>
      <c r="S69" s="7"/>
      <c r="T69" s="7"/>
      <c r="U69" s="7"/>
      <c r="V69" s="7"/>
      <c r="W69" s="7"/>
      <c r="X69" s="7"/>
      <c r="Y69" s="7"/>
      <c r="Z69" s="7"/>
      <c r="AA69" s="8"/>
      <c r="AB69" s="8"/>
    </row>
    <row r="70" spans="1:28" ht="12" x14ac:dyDescent="0.25">
      <c r="A70" s="1"/>
      <c r="B70" s="1"/>
      <c r="C70" s="1"/>
      <c r="D70" s="1" t="s">
        <v>90</v>
      </c>
      <c r="E70" s="1"/>
      <c r="F70" s="1"/>
      <c r="G70" s="1"/>
      <c r="H70" s="7"/>
      <c r="I70" s="1"/>
      <c r="J70" s="77" t="s">
        <v>91</v>
      </c>
      <c r="K70" s="7"/>
      <c r="L70" s="10"/>
      <c r="M70" s="7"/>
      <c r="N70" s="7"/>
      <c r="O70" s="7"/>
      <c r="P70" s="7"/>
      <c r="Q70" s="7"/>
      <c r="R70" s="7"/>
      <c r="S70" s="7"/>
      <c r="T70" s="7"/>
      <c r="U70" s="7"/>
      <c r="V70" s="7"/>
      <c r="W70" s="7"/>
      <c r="X70" s="7"/>
      <c r="Y70" s="7"/>
      <c r="Z70" s="7"/>
      <c r="AA70" s="8"/>
      <c r="AB70" s="8"/>
    </row>
    <row r="71" spans="1:28" ht="12" x14ac:dyDescent="0.25">
      <c r="A71" s="1"/>
      <c r="B71" s="1"/>
      <c r="C71" s="78" t="s">
        <v>82</v>
      </c>
      <c r="D71" s="1" t="s">
        <v>92</v>
      </c>
      <c r="E71" s="1"/>
      <c r="F71" s="1"/>
      <c r="G71" s="1"/>
      <c r="H71" s="7"/>
      <c r="I71" s="1"/>
      <c r="J71" s="79" t="s">
        <v>56</v>
      </c>
      <c r="K71" s="7"/>
      <c r="L71" s="10"/>
      <c r="M71" s="7"/>
      <c r="N71" s="7"/>
      <c r="O71" s="7"/>
      <c r="P71" s="7"/>
      <c r="Q71" s="7"/>
      <c r="R71" s="7"/>
      <c r="S71" s="7"/>
      <c r="T71" s="7"/>
      <c r="U71" s="7"/>
      <c r="V71" s="7"/>
      <c r="W71" s="7"/>
      <c r="X71" s="7"/>
      <c r="Y71" s="7"/>
      <c r="Z71" s="7"/>
      <c r="AA71" s="8"/>
      <c r="AB71" s="8"/>
    </row>
    <row r="72" spans="1:28" ht="12" x14ac:dyDescent="0.25">
      <c r="A72" s="1"/>
      <c r="B72" s="1"/>
      <c r="C72" s="78" t="s">
        <v>82</v>
      </c>
      <c r="D72" s="1" t="s">
        <v>93</v>
      </c>
      <c r="E72" s="1"/>
      <c r="F72" s="1"/>
      <c r="G72" s="1"/>
      <c r="H72" s="7"/>
      <c r="I72" s="1"/>
      <c r="J72" s="1"/>
      <c r="K72" s="7"/>
      <c r="L72" s="10"/>
      <c r="M72" s="7"/>
      <c r="N72" s="7"/>
      <c r="O72" s="7"/>
      <c r="P72" s="7"/>
      <c r="Q72" s="7"/>
      <c r="R72" s="7"/>
      <c r="S72" s="7"/>
      <c r="T72" s="7"/>
      <c r="U72" s="7"/>
      <c r="V72" s="7"/>
      <c r="W72" s="7"/>
      <c r="X72" s="7"/>
      <c r="Y72" s="7"/>
      <c r="Z72" s="7"/>
      <c r="AA72" s="8"/>
      <c r="AB72" s="8"/>
    </row>
    <row r="73" spans="1:28" ht="12" x14ac:dyDescent="0.25">
      <c r="A73" s="1"/>
      <c r="B73" s="1"/>
      <c r="C73" s="78" t="s">
        <v>82</v>
      </c>
      <c r="D73" s="1" t="s">
        <v>94</v>
      </c>
      <c r="E73" s="1"/>
      <c r="F73" s="1"/>
      <c r="G73" s="1"/>
      <c r="H73" s="7"/>
      <c r="I73" s="1"/>
      <c r="J73" s="1"/>
      <c r="K73" s="7"/>
      <c r="L73" s="10"/>
      <c r="M73" s="7"/>
      <c r="N73" s="7"/>
      <c r="O73" s="7"/>
      <c r="P73" s="7"/>
      <c r="Q73" s="7"/>
      <c r="R73" s="7"/>
      <c r="S73" s="7"/>
      <c r="T73" s="7"/>
      <c r="U73" s="7"/>
      <c r="V73" s="7"/>
      <c r="W73" s="7"/>
      <c r="X73" s="7"/>
      <c r="Y73" s="7"/>
      <c r="Z73" s="7"/>
      <c r="AA73" s="8"/>
      <c r="AB73" s="8"/>
    </row>
    <row r="74" spans="1:28" ht="12" x14ac:dyDescent="0.25">
      <c r="A74" s="1"/>
      <c r="H74" s="7"/>
      <c r="I74" s="1"/>
      <c r="J74" s="1"/>
      <c r="K74" s="7"/>
      <c r="L74" s="10"/>
      <c r="M74" s="7"/>
      <c r="N74" s="7"/>
      <c r="O74" s="7"/>
      <c r="P74" s="7"/>
      <c r="Q74" s="7"/>
      <c r="R74" s="7"/>
      <c r="S74" s="7"/>
      <c r="T74" s="7"/>
      <c r="U74" s="7"/>
      <c r="V74" s="7"/>
      <c r="W74" s="7"/>
      <c r="X74" s="7"/>
      <c r="Y74" s="7"/>
      <c r="Z74" s="7"/>
      <c r="AA74" s="8"/>
      <c r="AB74" s="8"/>
    </row>
    <row r="75" spans="1:28" ht="12" x14ac:dyDescent="0.25">
      <c r="A75" s="1"/>
      <c r="B75" s="10"/>
      <c r="D75" s="1"/>
      <c r="E75" s="1"/>
      <c r="F75" s="1"/>
      <c r="G75" s="1"/>
      <c r="H75" s="7"/>
      <c r="I75" s="7"/>
      <c r="J75" s="7"/>
      <c r="K75" s="7"/>
      <c r="L75" s="10"/>
      <c r="M75" s="7"/>
      <c r="N75" s="7"/>
      <c r="O75" s="7"/>
      <c r="P75" s="7"/>
      <c r="Q75" s="7"/>
      <c r="R75" s="7"/>
      <c r="S75" s="7"/>
      <c r="T75" s="7"/>
      <c r="U75" s="7"/>
      <c r="V75" s="7"/>
      <c r="W75" s="7"/>
      <c r="X75" s="7"/>
      <c r="Y75" s="7"/>
      <c r="Z75" s="7"/>
      <c r="AA75" s="8"/>
      <c r="AB75" s="8"/>
    </row>
    <row r="76" spans="1:28" ht="12" x14ac:dyDescent="0.25">
      <c r="A76" s="1"/>
      <c r="B76" s="10" t="s">
        <v>95</v>
      </c>
      <c r="C76" s="10"/>
      <c r="D76" s="1"/>
      <c r="E76" s="1"/>
      <c r="F76" s="1"/>
      <c r="G76" s="1"/>
      <c r="H76" s="7"/>
      <c r="I76" s="7"/>
      <c r="J76" s="7"/>
      <c r="K76" s="7"/>
      <c r="L76" s="10"/>
      <c r="M76" s="7"/>
      <c r="N76" s="7"/>
      <c r="O76" s="7"/>
      <c r="P76" s="7"/>
      <c r="Q76" s="7"/>
      <c r="R76" s="7"/>
      <c r="S76" s="7"/>
      <c r="T76" s="7"/>
      <c r="U76" s="7"/>
      <c r="V76" s="7"/>
      <c r="W76" s="7"/>
      <c r="X76" s="7"/>
      <c r="Y76" s="7"/>
      <c r="Z76" s="7"/>
      <c r="AA76" s="8"/>
      <c r="AB76" s="8"/>
    </row>
    <row r="77" spans="1:28" ht="12" x14ac:dyDescent="0.25">
      <c r="A77" s="1"/>
      <c r="C77" s="1"/>
      <c r="D77" s="1"/>
      <c r="E77" s="1"/>
      <c r="F77" s="1"/>
      <c r="G77" s="1"/>
      <c r="H77" s="7"/>
      <c r="I77" s="7"/>
      <c r="J77" s="7"/>
      <c r="K77" s="7"/>
      <c r="L77" s="10"/>
      <c r="M77" s="7"/>
      <c r="N77" s="7"/>
      <c r="O77" s="7"/>
      <c r="P77" s="7"/>
      <c r="Q77" s="7"/>
      <c r="R77" s="7"/>
      <c r="S77" s="7"/>
      <c r="T77" s="7"/>
      <c r="U77" s="7"/>
      <c r="V77" s="7"/>
      <c r="W77" s="7"/>
      <c r="X77" s="7"/>
      <c r="Y77" s="7"/>
      <c r="Z77" s="7"/>
      <c r="AA77" s="8"/>
      <c r="AB77" s="8"/>
    </row>
    <row r="78" spans="1:28" ht="12" x14ac:dyDescent="0.25">
      <c r="A78" s="1"/>
      <c r="C78" s="78" t="s">
        <v>82</v>
      </c>
      <c r="D78" s="1" t="s">
        <v>96</v>
      </c>
      <c r="F78" s="10"/>
      <c r="G78" s="10"/>
      <c r="H78" s="7"/>
      <c r="I78" s="7"/>
      <c r="J78" s="7"/>
      <c r="K78" s="7"/>
      <c r="L78" s="10"/>
      <c r="M78" s="7"/>
      <c r="N78" s="7"/>
      <c r="O78" s="7"/>
      <c r="P78" s="7"/>
      <c r="Q78" s="7"/>
      <c r="R78" s="7"/>
      <c r="S78" s="7"/>
      <c r="T78" s="7"/>
      <c r="U78" s="7"/>
      <c r="V78" s="7"/>
      <c r="W78" s="7"/>
      <c r="X78" s="7"/>
      <c r="Y78" s="7"/>
      <c r="Z78" s="7"/>
      <c r="AA78" s="8"/>
      <c r="AB78" s="8"/>
    </row>
    <row r="79" spans="1:28" ht="12" x14ac:dyDescent="0.25">
      <c r="A79" s="1"/>
      <c r="B79" s="1"/>
      <c r="C79" s="75"/>
      <c r="D79" s="1"/>
      <c r="E79" s="1"/>
      <c r="F79" s="1"/>
      <c r="G79" s="1"/>
      <c r="H79" s="7"/>
      <c r="I79" s="7"/>
      <c r="J79" s="7"/>
      <c r="K79" s="7"/>
      <c r="L79" s="10"/>
      <c r="M79" s="7"/>
      <c r="N79" s="7"/>
      <c r="O79" s="7"/>
      <c r="P79" s="7"/>
      <c r="Q79" s="7"/>
      <c r="R79" s="7"/>
      <c r="S79" s="7"/>
      <c r="T79" s="7"/>
      <c r="U79" s="7"/>
      <c r="V79" s="7"/>
      <c r="W79" s="7"/>
      <c r="X79" s="7"/>
      <c r="Y79" s="7"/>
      <c r="Z79" s="7"/>
      <c r="AA79" s="8"/>
      <c r="AB79" s="8"/>
    </row>
    <row r="80" spans="1:28" ht="14.1" customHeight="1" x14ac:dyDescent="0.25">
      <c r="A80" s="1"/>
      <c r="B80" s="1"/>
      <c r="C80" s="10" t="s">
        <v>97</v>
      </c>
      <c r="D80" s="10" t="s">
        <v>98</v>
      </c>
      <c r="E80" s="1"/>
      <c r="F80" s="1"/>
      <c r="G80" s="1"/>
      <c r="H80" s="7"/>
      <c r="I80" s="7"/>
      <c r="J80" s="7"/>
      <c r="K80" s="7"/>
      <c r="L80" s="10"/>
      <c r="M80" s="7"/>
      <c r="N80" s="7"/>
      <c r="O80" s="7"/>
      <c r="P80" s="7"/>
      <c r="Q80" s="7"/>
      <c r="R80" s="7"/>
      <c r="S80" s="7"/>
      <c r="T80" s="7"/>
      <c r="U80" s="7"/>
      <c r="V80" s="7"/>
      <c r="W80" s="7"/>
      <c r="X80" s="7"/>
      <c r="Y80" s="7"/>
      <c r="Z80" s="7"/>
      <c r="AA80" s="8"/>
      <c r="AB80" s="8"/>
    </row>
    <row r="81" spans="1:28" ht="12" x14ac:dyDescent="0.25">
      <c r="A81" s="1"/>
      <c r="B81" s="1"/>
      <c r="C81" s="78" t="s">
        <v>82</v>
      </c>
      <c r="D81" s="78" t="s">
        <v>82</v>
      </c>
      <c r="E81" s="1" t="s">
        <v>99</v>
      </c>
      <c r="F81" s="1"/>
      <c r="G81" s="1"/>
      <c r="H81" s="7"/>
      <c r="I81" s="7"/>
      <c r="J81" s="7"/>
      <c r="K81" s="7"/>
      <c r="L81" s="10"/>
      <c r="M81" s="7"/>
      <c r="N81" s="7"/>
      <c r="O81" s="7"/>
      <c r="P81" s="7"/>
      <c r="Q81" s="7"/>
      <c r="R81" s="7"/>
      <c r="S81" s="7"/>
      <c r="T81" s="7"/>
      <c r="U81" s="7"/>
      <c r="V81" s="7"/>
      <c r="W81" s="7"/>
      <c r="X81" s="7"/>
      <c r="Y81" s="7"/>
      <c r="Z81" s="7"/>
      <c r="AA81" s="8"/>
      <c r="AB81" s="8"/>
    </row>
    <row r="82" spans="1:28" ht="12" x14ac:dyDescent="0.25">
      <c r="A82" s="1"/>
      <c r="B82" s="1"/>
      <c r="C82" s="78" t="s">
        <v>82</v>
      </c>
      <c r="D82" s="78" t="s">
        <v>82</v>
      </c>
      <c r="E82" s="1" t="s">
        <v>100</v>
      </c>
      <c r="F82" s="1"/>
      <c r="G82" s="1"/>
      <c r="H82" s="7"/>
      <c r="I82" s="7"/>
      <c r="J82" s="7"/>
      <c r="K82" s="7"/>
      <c r="L82" s="10"/>
      <c r="M82" s="7"/>
      <c r="N82" s="7"/>
      <c r="O82" s="7"/>
      <c r="P82" s="7"/>
      <c r="Q82" s="7"/>
      <c r="R82" s="7"/>
      <c r="S82" s="7"/>
      <c r="T82" s="7"/>
      <c r="U82" s="7"/>
      <c r="V82" s="7"/>
      <c r="W82" s="7"/>
      <c r="X82" s="7"/>
      <c r="Y82" s="7"/>
      <c r="Z82" s="7"/>
      <c r="AA82" s="8"/>
      <c r="AB82" s="8"/>
    </row>
    <row r="83" spans="1:28" ht="12" x14ac:dyDescent="0.25">
      <c r="A83" s="1"/>
      <c r="B83" s="1"/>
      <c r="C83" s="78" t="s">
        <v>82</v>
      </c>
      <c r="D83" s="78" t="s">
        <v>82</v>
      </c>
      <c r="E83" s="1" t="s">
        <v>101</v>
      </c>
      <c r="F83" s="1"/>
      <c r="G83" s="1"/>
      <c r="H83" s="7"/>
      <c r="I83" s="7"/>
      <c r="J83" s="7"/>
      <c r="K83" s="7"/>
      <c r="L83" s="10"/>
      <c r="M83" s="7"/>
      <c r="N83" s="7"/>
      <c r="O83" s="7"/>
      <c r="P83" s="7"/>
      <c r="Q83" s="7"/>
      <c r="R83" s="7"/>
      <c r="S83" s="7"/>
      <c r="T83" s="7"/>
      <c r="U83" s="7"/>
      <c r="V83" s="7"/>
      <c r="W83" s="7"/>
      <c r="X83" s="7"/>
      <c r="Y83" s="7"/>
      <c r="Z83" s="7"/>
      <c r="AA83" s="8"/>
      <c r="AB83" s="8"/>
    </row>
    <row r="84" spans="1:28" ht="12" x14ac:dyDescent="0.25">
      <c r="A84" s="1"/>
      <c r="B84" s="1"/>
      <c r="C84" s="78" t="s">
        <v>82</v>
      </c>
      <c r="D84" s="78" t="s">
        <v>82</v>
      </c>
      <c r="E84" s="1" t="s">
        <v>102</v>
      </c>
      <c r="F84" s="1"/>
      <c r="G84" s="1"/>
      <c r="H84" s="7"/>
      <c r="I84" s="7"/>
      <c r="J84" s="7"/>
      <c r="K84" s="7"/>
      <c r="L84" s="10"/>
      <c r="M84" s="7"/>
      <c r="N84" s="7"/>
      <c r="O84" s="7"/>
      <c r="P84" s="7"/>
      <c r="Q84" s="7"/>
      <c r="R84" s="7"/>
      <c r="S84" s="7"/>
      <c r="T84" s="7"/>
      <c r="U84" s="7"/>
      <c r="V84" s="7"/>
      <c r="W84" s="7"/>
      <c r="X84" s="7"/>
      <c r="Y84" s="7"/>
      <c r="Z84" s="7"/>
      <c r="AA84" s="8"/>
      <c r="AB84" s="8"/>
    </row>
    <row r="85" spans="1:28" ht="12" x14ac:dyDescent="0.25">
      <c r="A85" s="1"/>
      <c r="B85" s="1"/>
      <c r="C85" s="78" t="s">
        <v>82</v>
      </c>
      <c r="D85" s="78" t="s">
        <v>82</v>
      </c>
      <c r="E85" s="1" t="s">
        <v>103</v>
      </c>
      <c r="F85" s="1"/>
      <c r="G85" s="1"/>
      <c r="H85" s="7"/>
      <c r="I85" s="7"/>
      <c r="J85" s="7"/>
      <c r="K85" s="7"/>
      <c r="L85" s="10"/>
      <c r="M85" s="7"/>
      <c r="N85" s="7"/>
      <c r="O85" s="7"/>
      <c r="P85" s="7"/>
      <c r="Q85" s="7"/>
      <c r="R85" s="7"/>
      <c r="S85" s="7"/>
      <c r="T85" s="7"/>
      <c r="U85" s="7"/>
      <c r="V85" s="7"/>
      <c r="W85" s="7"/>
      <c r="X85" s="7"/>
      <c r="Y85" s="7"/>
      <c r="Z85" s="7"/>
      <c r="AA85" s="8"/>
      <c r="AB85" s="8"/>
    </row>
    <row r="86" spans="1:28" ht="12" x14ac:dyDescent="0.25">
      <c r="A86" s="1"/>
      <c r="B86" s="1"/>
      <c r="C86" s="78" t="s">
        <v>82</v>
      </c>
      <c r="D86" s="78" t="s">
        <v>82</v>
      </c>
      <c r="E86" s="1" t="s">
        <v>104</v>
      </c>
      <c r="F86" s="1"/>
      <c r="G86" s="1"/>
      <c r="H86" s="7"/>
      <c r="I86" s="7"/>
      <c r="J86" s="7"/>
      <c r="K86" s="7"/>
      <c r="L86" s="10"/>
      <c r="M86" s="7"/>
      <c r="N86" s="7"/>
      <c r="O86" s="7"/>
      <c r="P86" s="7"/>
      <c r="Q86" s="7"/>
      <c r="R86" s="7"/>
      <c r="S86" s="7"/>
      <c r="T86" s="7"/>
      <c r="U86" s="7"/>
      <c r="V86" s="7"/>
      <c r="W86" s="7"/>
      <c r="X86" s="7"/>
      <c r="Y86" s="7"/>
      <c r="Z86" s="7"/>
      <c r="AA86" s="8"/>
      <c r="AB86" s="8"/>
    </row>
    <row r="87" spans="1:28" ht="12" x14ac:dyDescent="0.25">
      <c r="A87" s="1"/>
      <c r="B87" s="1"/>
      <c r="C87" s="78" t="s">
        <v>82</v>
      </c>
      <c r="D87" s="78" t="s">
        <v>82</v>
      </c>
      <c r="E87" s="1" t="s">
        <v>105</v>
      </c>
      <c r="F87" s="1"/>
      <c r="G87" s="1"/>
      <c r="H87" s="7"/>
      <c r="I87" s="7"/>
      <c r="J87" s="7"/>
      <c r="K87" s="7"/>
      <c r="L87" s="10"/>
      <c r="M87" s="7"/>
      <c r="N87" s="7"/>
      <c r="O87" s="7"/>
      <c r="P87" s="7"/>
      <c r="Q87" s="7"/>
      <c r="R87" s="7"/>
      <c r="S87" s="7"/>
      <c r="T87" s="7"/>
      <c r="U87" s="7"/>
      <c r="V87" s="7"/>
      <c r="W87" s="7"/>
      <c r="X87" s="7"/>
      <c r="Y87" s="7"/>
      <c r="Z87" s="7"/>
      <c r="AA87" s="8"/>
      <c r="AB87" s="8"/>
    </row>
    <row r="88" spans="1:28" ht="12" x14ac:dyDescent="0.25">
      <c r="A88" s="1"/>
      <c r="B88" s="1"/>
      <c r="C88" s="78" t="s">
        <v>82</v>
      </c>
      <c r="D88" s="78" t="s">
        <v>82</v>
      </c>
      <c r="E88" s="1" t="s">
        <v>106</v>
      </c>
      <c r="F88" s="1"/>
      <c r="G88" s="1"/>
      <c r="H88" s="7"/>
      <c r="I88" s="7"/>
      <c r="J88" s="7"/>
      <c r="K88" s="7"/>
      <c r="L88" s="10"/>
      <c r="M88" s="7"/>
      <c r="N88" s="7"/>
      <c r="O88" s="7"/>
      <c r="P88" s="7"/>
      <c r="Q88" s="7"/>
      <c r="R88" s="7"/>
      <c r="S88" s="7"/>
      <c r="T88" s="7"/>
      <c r="U88" s="7"/>
      <c r="V88" s="7"/>
      <c r="W88" s="7"/>
      <c r="X88" s="7"/>
      <c r="Y88" s="7"/>
      <c r="Z88" s="7"/>
      <c r="AA88" s="8"/>
      <c r="AB88" s="8"/>
    </row>
    <row r="89" spans="1:28" ht="12" x14ac:dyDescent="0.25">
      <c r="A89" s="1"/>
      <c r="B89" s="1"/>
      <c r="C89" s="78" t="s">
        <v>82</v>
      </c>
      <c r="D89" s="78" t="s">
        <v>82</v>
      </c>
      <c r="E89" s="1" t="s">
        <v>107</v>
      </c>
      <c r="F89" s="1"/>
      <c r="G89" s="1"/>
      <c r="H89" s="7"/>
      <c r="I89" s="7"/>
      <c r="J89" s="7"/>
      <c r="K89" s="7"/>
      <c r="L89" s="10"/>
      <c r="M89" s="7"/>
      <c r="N89" s="7"/>
      <c r="O89" s="7"/>
      <c r="P89" s="7"/>
      <c r="Q89" s="7"/>
      <c r="R89" s="7"/>
      <c r="S89" s="7"/>
      <c r="T89" s="7"/>
      <c r="U89" s="7"/>
      <c r="V89" s="7"/>
      <c r="W89" s="7"/>
      <c r="X89" s="7"/>
      <c r="Y89" s="7"/>
      <c r="Z89" s="7"/>
      <c r="AA89" s="8"/>
      <c r="AB89" s="8"/>
    </row>
    <row r="90" spans="1:28" ht="12" x14ac:dyDescent="0.25">
      <c r="A90" s="1"/>
      <c r="B90" s="1"/>
      <c r="C90" s="76" t="s">
        <v>82</v>
      </c>
      <c r="D90" s="76" t="s">
        <v>82</v>
      </c>
      <c r="E90" s="1" t="s">
        <v>108</v>
      </c>
      <c r="H90" s="7"/>
      <c r="I90" s="7"/>
      <c r="J90" s="7"/>
      <c r="K90" s="7"/>
      <c r="L90" s="10"/>
      <c r="M90" s="7"/>
      <c r="N90" s="7"/>
      <c r="O90" s="7"/>
      <c r="P90" s="7"/>
      <c r="Q90" s="7"/>
      <c r="R90" s="7"/>
      <c r="S90" s="7"/>
      <c r="T90" s="7"/>
      <c r="U90" s="7"/>
      <c r="V90" s="7"/>
      <c r="W90" s="7"/>
      <c r="X90" s="7"/>
      <c r="Y90" s="7"/>
      <c r="Z90" s="7"/>
      <c r="AA90" s="8"/>
      <c r="AB90" s="8"/>
    </row>
    <row r="91" spans="1:28" ht="12" x14ac:dyDescent="0.25">
      <c r="A91" s="1"/>
      <c r="B91" s="1"/>
      <c r="C91" s="80"/>
      <c r="D91" s="80"/>
      <c r="E91" s="1"/>
      <c r="F91" s="1"/>
      <c r="G91" s="1"/>
      <c r="H91" s="7"/>
      <c r="I91" s="7"/>
      <c r="J91" s="7"/>
      <c r="K91" s="7"/>
      <c r="L91" s="10"/>
      <c r="M91" s="7"/>
      <c r="N91" s="7"/>
      <c r="O91" s="7"/>
      <c r="P91" s="7"/>
      <c r="Q91" s="7"/>
      <c r="R91" s="7"/>
      <c r="S91" s="7"/>
      <c r="T91" s="7"/>
      <c r="U91" s="7"/>
      <c r="V91" s="7"/>
      <c r="W91" s="7"/>
      <c r="X91" s="7"/>
      <c r="Y91" s="7"/>
      <c r="Z91" s="7"/>
      <c r="AA91" s="8"/>
      <c r="AB91" s="8"/>
    </row>
    <row r="92" spans="1:28" ht="12" x14ac:dyDescent="0.25">
      <c r="A92" s="1"/>
      <c r="B92" s="1"/>
      <c r="C92" s="1"/>
      <c r="D92" s="1"/>
      <c r="E92" s="1"/>
      <c r="F92" s="1"/>
      <c r="G92" s="1"/>
      <c r="H92" s="7"/>
      <c r="I92" s="7"/>
      <c r="J92" s="7"/>
      <c r="K92" s="7"/>
      <c r="L92" s="10"/>
      <c r="M92" s="7"/>
      <c r="N92" s="7"/>
      <c r="O92" s="7"/>
      <c r="P92" s="7"/>
      <c r="Q92" s="7"/>
      <c r="R92" s="7"/>
      <c r="S92" s="7"/>
      <c r="T92" s="7"/>
      <c r="U92" s="7"/>
      <c r="V92" s="7"/>
      <c r="W92" s="7"/>
      <c r="X92" s="7"/>
      <c r="Y92" s="7"/>
      <c r="Z92" s="7"/>
      <c r="AA92" s="8"/>
      <c r="AB92" s="8"/>
    </row>
    <row r="93" spans="1:28" ht="12" x14ac:dyDescent="0.25">
      <c r="A93" s="1"/>
      <c r="B93" s="10"/>
      <c r="C93" s="1"/>
      <c r="D93" s="1"/>
      <c r="E93" s="1"/>
      <c r="F93" s="1"/>
      <c r="G93" s="1"/>
      <c r="H93" s="7"/>
      <c r="I93" s="7"/>
      <c r="J93" s="7"/>
      <c r="K93" s="7"/>
      <c r="L93" s="7"/>
      <c r="M93" s="7"/>
      <c r="N93" s="7"/>
      <c r="O93" s="7"/>
      <c r="P93" s="7"/>
      <c r="Q93" s="7"/>
      <c r="R93" s="7"/>
      <c r="S93" s="7"/>
      <c r="T93" s="7"/>
      <c r="U93" s="7"/>
      <c r="V93" s="7"/>
      <c r="W93" s="7"/>
      <c r="X93" s="7"/>
      <c r="Y93" s="7"/>
      <c r="Z93" s="7"/>
      <c r="AA93" s="8"/>
      <c r="AB93" s="8"/>
    </row>
    <row r="94" spans="1:28" ht="15.6" x14ac:dyDescent="0.3">
      <c r="A94" s="1"/>
      <c r="B94" s="63" t="s">
        <v>109</v>
      </c>
      <c r="C94" s="34"/>
      <c r="D94" s="34"/>
      <c r="E94" s="34"/>
      <c r="F94" s="34"/>
      <c r="G94" s="34"/>
      <c r="H94" s="1"/>
      <c r="I94" s="1"/>
      <c r="J94" s="1"/>
      <c r="K94" s="1"/>
      <c r="L94" s="1"/>
      <c r="M94" s="1"/>
      <c r="N94" s="1"/>
      <c r="O94" s="1"/>
      <c r="P94" s="1"/>
      <c r="Q94" s="1"/>
      <c r="R94" s="1"/>
      <c r="S94" s="1"/>
      <c r="T94" s="1"/>
      <c r="U94" s="1"/>
      <c r="V94" s="1"/>
      <c r="W94" s="1"/>
      <c r="X94" s="1"/>
      <c r="Y94" s="1"/>
      <c r="Z94" s="1"/>
    </row>
    <row r="95" spans="1:28" ht="12" x14ac:dyDescent="0.25">
      <c r="A95" s="1"/>
      <c r="B95" s="10"/>
      <c r="C95" s="1"/>
      <c r="D95" s="1"/>
      <c r="E95" s="1"/>
      <c r="F95" s="1"/>
      <c r="G95" s="1"/>
      <c r="H95" s="1"/>
      <c r="I95" s="1"/>
      <c r="J95" s="1"/>
      <c r="K95" s="1"/>
      <c r="L95" s="1"/>
      <c r="M95" s="1"/>
      <c r="N95" s="1"/>
      <c r="O95" s="1"/>
      <c r="P95" s="1"/>
      <c r="Q95" s="1"/>
      <c r="R95" s="1"/>
      <c r="S95" s="1"/>
      <c r="T95" s="1"/>
      <c r="U95" s="1"/>
      <c r="V95" s="1"/>
      <c r="W95" s="1"/>
      <c r="X95" s="1"/>
      <c r="Y95" s="1"/>
      <c r="Z95" s="1"/>
    </row>
    <row r="96" spans="1:28" x14ac:dyDescent="0.2">
      <c r="A96" s="1"/>
      <c r="B96" s="1" t="s">
        <v>110</v>
      </c>
      <c r="C96" s="1"/>
      <c r="D96" s="1"/>
      <c r="E96" s="1"/>
      <c r="G96" s="1"/>
      <c r="H96" s="1"/>
      <c r="I96" s="1"/>
      <c r="J96" s="1"/>
      <c r="K96" s="1"/>
      <c r="L96" s="1"/>
      <c r="M96" s="1"/>
      <c r="N96" s="1"/>
      <c r="O96" s="1"/>
      <c r="P96" s="1"/>
      <c r="Q96" s="1"/>
      <c r="R96" s="1"/>
      <c r="S96" s="1"/>
      <c r="T96" s="1"/>
      <c r="U96" s="1"/>
      <c r="V96" s="1"/>
      <c r="W96" s="1"/>
      <c r="X96" s="1"/>
      <c r="Y96" s="1"/>
      <c r="Z96" s="1"/>
    </row>
    <row r="97" spans="1:26" x14ac:dyDescent="0.2">
      <c r="A97" s="1"/>
      <c r="B97" s="1" t="s">
        <v>111</v>
      </c>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sheetData>
  <mergeCells count="2">
    <mergeCell ref="C48:G48"/>
    <mergeCell ref="C49:G49"/>
  </mergeCells>
  <dataValidations count="3">
    <dataValidation type="list" allowBlank="1" showInputMessage="1" showErrorMessage="1" sqref="E10" xr:uid="{BC0F75AA-B096-41DD-935C-C642041F8BFA}">
      <formula1>$J$68:$J$71</formula1>
    </dataValidation>
    <dataValidation type="list" allowBlank="1" showInputMessage="1" showErrorMessage="1" sqref="E11" xr:uid="{DA99DCFF-403A-4E7E-BF6B-6C35B5788CBA}">
      <formula1>$J$68:$J$70</formula1>
    </dataValidation>
    <dataValidation type="list" allowBlank="1" showInputMessage="1" showErrorMessage="1" sqref="C66:C67 C78 C71:C73 C81:D91" xr:uid="{9F372C84-6BE9-45F9-8DB0-861E221C99D1}">
      <formula1>$J$64:$J$66</formula1>
    </dataValidation>
  </dataValidations>
  <pageMargins left="0.7" right="0.7" top="0.75" bottom="0.75" header="0.3" footer="0.3"/>
  <pageSetup scale="78" fitToHeight="3" orientation="portrait" r:id="rId1"/>
  <rowBreaks count="1" manualBreakCount="1">
    <brk id="77" min="1"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xdr:col>
                    <xdr:colOff>198120</xdr:colOff>
                    <xdr:row>38</xdr:row>
                    <xdr:rowOff>68580</xdr:rowOff>
                  </from>
                  <to>
                    <xdr:col>3</xdr:col>
                    <xdr:colOff>952500</xdr:colOff>
                    <xdr:row>40</xdr:row>
                    <xdr:rowOff>68580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1</xdr:col>
                    <xdr:colOff>198120</xdr:colOff>
                    <xdr:row>40</xdr:row>
                    <xdr:rowOff>76200</xdr:rowOff>
                  </from>
                  <to>
                    <xdr:col>3</xdr:col>
                    <xdr:colOff>952500</xdr:colOff>
                    <xdr:row>42</xdr:row>
                    <xdr:rowOff>76200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4</xdr:col>
                    <xdr:colOff>1143000</xdr:colOff>
                    <xdr:row>38</xdr:row>
                    <xdr:rowOff>114300</xdr:rowOff>
                  </from>
                  <to>
                    <xdr:col>5</xdr:col>
                    <xdr:colOff>419100</xdr:colOff>
                    <xdr:row>40</xdr:row>
                    <xdr:rowOff>114300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4</xdr:col>
                    <xdr:colOff>1135380</xdr:colOff>
                    <xdr:row>40</xdr:row>
                    <xdr:rowOff>68580</xdr:rowOff>
                  </from>
                  <to>
                    <xdr:col>5</xdr:col>
                    <xdr:colOff>449580</xdr:colOff>
                    <xdr:row>42</xdr:row>
                    <xdr:rowOff>68580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0</xdr:colOff>
                    <xdr:row>24</xdr:row>
                    <xdr:rowOff>0</xdr:rowOff>
                  </from>
                  <to>
                    <xdr:col>4</xdr:col>
                    <xdr:colOff>297180</xdr:colOff>
                    <xdr:row>26</xdr:row>
                    <xdr:rowOff>38100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2</xdr:col>
                    <xdr:colOff>0</xdr:colOff>
                    <xdr:row>28</xdr:row>
                    <xdr:rowOff>0</xdr:rowOff>
                  </from>
                  <to>
                    <xdr:col>4</xdr:col>
                    <xdr:colOff>228600</xdr:colOff>
                    <xdr:row>30</xdr:row>
                    <xdr:rowOff>0</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2</xdr:col>
                    <xdr:colOff>0</xdr:colOff>
                    <xdr:row>30</xdr:row>
                    <xdr:rowOff>0</xdr:rowOff>
                  </from>
                  <to>
                    <xdr:col>4</xdr:col>
                    <xdr:colOff>228600</xdr:colOff>
                    <xdr:row>32</xdr:row>
                    <xdr:rowOff>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2</xdr:col>
                    <xdr:colOff>0</xdr:colOff>
                    <xdr:row>26</xdr:row>
                    <xdr:rowOff>7620</xdr:rowOff>
                  </from>
                  <to>
                    <xdr:col>4</xdr:col>
                    <xdr:colOff>297180</xdr:colOff>
                    <xdr:row>28</xdr:row>
                    <xdr:rowOff>7620</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2</xdr:col>
                    <xdr:colOff>0</xdr:colOff>
                    <xdr:row>32</xdr:row>
                    <xdr:rowOff>0</xdr:rowOff>
                  </from>
                  <to>
                    <xdr:col>3</xdr:col>
                    <xdr:colOff>533400</xdr:colOff>
                    <xdr:row>34</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5A02-D7DC-498F-BEA1-35D337F200E9}">
  <sheetPr codeName="Sheet10">
    <pageSetUpPr fitToPage="1"/>
  </sheetPr>
  <dimension ref="A1:AB122"/>
  <sheetViews>
    <sheetView showGridLines="0" zoomScale="70" zoomScaleNormal="70" workbookViewId="0">
      <selection activeCell="C48" sqref="C48:G48"/>
    </sheetView>
  </sheetViews>
  <sheetFormatPr defaultColWidth="8.875" defaultRowHeight="11.4" x14ac:dyDescent="0.2"/>
  <cols>
    <col min="1" max="1" width="4.75" customWidth="1"/>
    <col min="2" max="2" width="3.375" customWidth="1"/>
    <col min="3" max="3" width="6.125" customWidth="1"/>
    <col min="4" max="4" width="26.25" customWidth="1"/>
    <col min="5" max="5" width="29.625" customWidth="1"/>
    <col min="6" max="6" width="45.125" customWidth="1"/>
    <col min="7" max="7" width="24.125" customWidth="1"/>
    <col min="8" max="8" width="14.125" customWidth="1"/>
    <col min="9" max="9" width="17" customWidth="1"/>
    <col min="10" max="10" width="27" customWidth="1"/>
    <col min="13" max="13" width="17.125" customWidth="1"/>
    <col min="21" max="26" width="10.875" customWidth="1"/>
  </cols>
  <sheetData>
    <row r="1" spans="1:28" x14ac:dyDescent="0.2">
      <c r="A1" s="1"/>
      <c r="B1" s="1"/>
      <c r="C1" s="1"/>
      <c r="D1" s="1"/>
      <c r="E1" s="1"/>
      <c r="F1" s="1"/>
      <c r="G1" s="1"/>
      <c r="H1" s="1"/>
      <c r="I1" s="1"/>
      <c r="J1" s="1"/>
      <c r="K1" s="1"/>
      <c r="L1" s="1"/>
      <c r="M1" s="1"/>
      <c r="N1" s="1"/>
      <c r="O1" s="1"/>
      <c r="P1" s="1"/>
      <c r="Q1" s="1"/>
      <c r="R1" s="1"/>
      <c r="S1" s="1"/>
      <c r="T1" s="1"/>
      <c r="U1" s="1"/>
      <c r="V1" s="1"/>
      <c r="W1" s="1"/>
      <c r="X1" s="1"/>
      <c r="Y1" s="1"/>
      <c r="Z1" s="1"/>
    </row>
    <row r="2" spans="1:28" ht="15.6" x14ac:dyDescent="0.3">
      <c r="A2" s="1"/>
      <c r="B2" s="3" t="s">
        <v>49</v>
      </c>
      <c r="C2" s="1"/>
      <c r="D2" s="1"/>
      <c r="E2" s="58"/>
      <c r="F2" s="58"/>
      <c r="G2" s="58"/>
      <c r="H2" s="1"/>
      <c r="I2" s="1"/>
      <c r="J2" s="1"/>
      <c r="K2" s="1"/>
      <c r="L2" s="1"/>
      <c r="M2" s="1"/>
      <c r="N2" s="1"/>
      <c r="O2" s="1"/>
      <c r="P2" s="1"/>
      <c r="Q2" s="1"/>
      <c r="R2" s="1"/>
      <c r="S2" s="1"/>
      <c r="T2" s="1"/>
      <c r="U2" s="1"/>
      <c r="V2" s="1"/>
      <c r="W2" s="1"/>
      <c r="X2" s="1"/>
      <c r="Y2" s="1"/>
      <c r="Z2" s="1"/>
    </row>
    <row r="3" spans="1:28" ht="20.25" customHeight="1" x14ac:dyDescent="0.3">
      <c r="A3" s="1"/>
      <c r="B3" s="3" t="s">
        <v>50</v>
      </c>
      <c r="C3" s="1"/>
      <c r="D3" s="1"/>
      <c r="E3" s="58" t="s">
        <v>51</v>
      </c>
      <c r="F3" s="58"/>
      <c r="G3" s="59"/>
      <c r="H3" s="1"/>
      <c r="I3" s="1"/>
      <c r="J3" s="1"/>
      <c r="K3" s="1"/>
      <c r="L3" s="1"/>
      <c r="M3" s="1"/>
      <c r="N3" s="1"/>
      <c r="O3" s="1"/>
      <c r="P3" s="1"/>
      <c r="Q3" s="1"/>
      <c r="R3" s="1"/>
      <c r="S3" s="1"/>
      <c r="T3" s="1"/>
      <c r="U3" s="1"/>
      <c r="V3" s="1"/>
      <c r="W3" s="1"/>
      <c r="X3" s="1"/>
      <c r="Y3" s="1"/>
      <c r="Z3" s="1"/>
    </row>
    <row r="4" spans="1:28" ht="18.75" customHeight="1" x14ac:dyDescent="0.3">
      <c r="A4" s="1"/>
      <c r="B4" s="3" t="s">
        <v>52</v>
      </c>
      <c r="C4" s="1"/>
      <c r="D4" s="1"/>
      <c r="E4" s="58"/>
      <c r="F4" s="58"/>
      <c r="G4" s="59"/>
      <c r="H4" s="1"/>
      <c r="I4" s="1"/>
      <c r="J4" s="1"/>
      <c r="K4" s="1"/>
      <c r="L4" s="1"/>
      <c r="M4" s="1"/>
      <c r="N4" s="1"/>
      <c r="O4" s="1"/>
      <c r="P4" s="1"/>
      <c r="Q4" s="1"/>
      <c r="R4" s="1"/>
      <c r="S4" s="1"/>
      <c r="T4" s="1"/>
      <c r="U4" s="1"/>
      <c r="V4" s="1"/>
      <c r="W4" s="1"/>
      <c r="X4" s="1"/>
      <c r="Y4" s="1"/>
      <c r="Z4" s="1"/>
    </row>
    <row r="5" spans="1:28" ht="15.6" x14ac:dyDescent="0.3">
      <c r="A5" s="1"/>
      <c r="B5" s="3"/>
      <c r="C5" s="1"/>
      <c r="D5" s="1"/>
      <c r="E5" s="58"/>
      <c r="F5" s="58"/>
      <c r="G5" s="59"/>
      <c r="H5" s="2"/>
      <c r="I5" s="2"/>
      <c r="J5" s="1"/>
      <c r="K5" s="1"/>
      <c r="L5" s="1"/>
      <c r="M5" s="1"/>
      <c r="N5" s="1"/>
      <c r="O5" s="1"/>
      <c r="P5" s="1"/>
      <c r="Q5" s="1"/>
      <c r="R5" s="1"/>
      <c r="S5" s="1"/>
      <c r="T5" s="1"/>
      <c r="U5" s="1"/>
      <c r="V5" s="1"/>
      <c r="W5" s="1"/>
      <c r="X5" s="1"/>
      <c r="Y5" s="1"/>
      <c r="Z5" s="1"/>
    </row>
    <row r="6" spans="1:28" ht="18" customHeight="1" x14ac:dyDescent="0.3">
      <c r="A6" s="1"/>
      <c r="B6" s="3"/>
      <c r="C6" s="1"/>
      <c r="D6" s="1"/>
      <c r="E6" s="58"/>
      <c r="F6" s="58"/>
      <c r="G6" s="59"/>
      <c r="H6" s="2"/>
      <c r="I6" s="2"/>
      <c r="J6" s="1"/>
      <c r="K6" s="1"/>
      <c r="L6" s="1"/>
      <c r="M6" s="1"/>
      <c r="N6" s="1"/>
      <c r="O6" s="1"/>
      <c r="P6" s="1"/>
      <c r="Q6" s="1"/>
      <c r="R6" s="1"/>
      <c r="S6" s="1"/>
      <c r="T6" s="1"/>
      <c r="U6" s="1"/>
      <c r="V6" s="1"/>
      <c r="W6" s="1"/>
      <c r="X6" s="1"/>
      <c r="Y6" s="1"/>
      <c r="Z6" s="1"/>
    </row>
    <row r="7" spans="1:28" ht="15.6" x14ac:dyDescent="0.3">
      <c r="A7" s="1"/>
      <c r="B7" s="3"/>
      <c r="C7" s="1"/>
      <c r="D7" s="1"/>
      <c r="E7" s="1"/>
      <c r="F7" s="1"/>
      <c r="G7" s="1"/>
      <c r="H7" s="2"/>
      <c r="I7" s="2"/>
      <c r="J7" s="1"/>
      <c r="K7" s="1"/>
      <c r="L7" s="1"/>
      <c r="M7" s="1"/>
      <c r="N7" s="1"/>
      <c r="O7" s="1"/>
      <c r="P7" s="1"/>
      <c r="Q7" s="1"/>
      <c r="R7" s="1"/>
      <c r="S7" s="1"/>
      <c r="T7" s="1"/>
      <c r="U7" s="1"/>
      <c r="V7" s="1"/>
      <c r="W7" s="1"/>
      <c r="X7" s="1"/>
      <c r="Y7" s="1"/>
      <c r="Z7" s="1"/>
    </row>
    <row r="8" spans="1:28" ht="15.6" x14ac:dyDescent="0.3">
      <c r="A8" s="1"/>
      <c r="B8" s="3" t="s">
        <v>53</v>
      </c>
      <c r="C8" s="1"/>
      <c r="D8" s="1"/>
      <c r="E8" s="58"/>
      <c r="F8" s="58"/>
      <c r="G8" s="58"/>
      <c r="H8" s="1"/>
      <c r="I8" s="2"/>
      <c r="J8" s="1"/>
      <c r="K8" s="1"/>
      <c r="L8" s="1"/>
      <c r="M8" s="1"/>
      <c r="N8" s="1"/>
      <c r="O8" s="1"/>
      <c r="P8" s="1"/>
      <c r="Q8" s="1"/>
      <c r="R8" s="1"/>
      <c r="S8" s="1"/>
      <c r="T8" s="1"/>
      <c r="U8" s="1"/>
      <c r="V8" s="1"/>
      <c r="W8" s="1"/>
      <c r="X8" s="1"/>
      <c r="Y8" s="1"/>
      <c r="Z8" s="1"/>
    </row>
    <row r="9" spans="1:28" ht="31.5" customHeight="1" x14ac:dyDescent="0.3">
      <c r="A9" s="1"/>
      <c r="B9" s="3" t="s">
        <v>54</v>
      </c>
      <c r="C9" s="1"/>
      <c r="D9" s="1"/>
      <c r="E9" s="60"/>
      <c r="F9" s="59"/>
      <c r="G9" s="59"/>
      <c r="H9" s="1"/>
      <c r="I9" s="1"/>
      <c r="J9" s="7"/>
      <c r="K9" s="7"/>
      <c r="L9" s="7"/>
      <c r="M9" s="7"/>
      <c r="N9" s="7"/>
      <c r="O9" s="7"/>
      <c r="P9" s="7"/>
      <c r="Q9" s="7"/>
      <c r="R9" s="7"/>
      <c r="S9" s="7"/>
      <c r="T9" s="7"/>
      <c r="U9" s="7"/>
      <c r="V9" s="7"/>
      <c r="W9" s="7"/>
      <c r="X9" s="7"/>
      <c r="Y9" s="7"/>
      <c r="Z9" s="7"/>
      <c r="AA9" s="8"/>
      <c r="AB9" s="8"/>
    </row>
    <row r="10" spans="1:28" ht="27" customHeight="1" x14ac:dyDescent="0.3">
      <c r="A10" s="1"/>
      <c r="B10" s="3" t="s">
        <v>55</v>
      </c>
      <c r="C10" s="1"/>
      <c r="D10" s="1"/>
      <c r="E10" s="60" t="s">
        <v>56</v>
      </c>
      <c r="F10" s="1"/>
      <c r="G10" s="1"/>
      <c r="H10" s="7"/>
      <c r="I10" s="7"/>
      <c r="J10" s="7"/>
      <c r="K10" s="7"/>
      <c r="L10" s="7"/>
      <c r="M10" s="7"/>
      <c r="N10" s="7"/>
      <c r="O10" s="7"/>
      <c r="P10" s="7"/>
      <c r="Q10" s="7"/>
      <c r="R10" s="7"/>
      <c r="S10" s="7"/>
      <c r="T10" s="7"/>
      <c r="U10" s="7"/>
      <c r="V10" s="7"/>
      <c r="W10" s="7"/>
      <c r="X10" s="7"/>
      <c r="Y10" s="7"/>
      <c r="Z10" s="7"/>
      <c r="AA10" s="8"/>
      <c r="AB10" s="8"/>
    </row>
    <row r="11" spans="1:28" ht="27" customHeight="1" x14ac:dyDescent="0.25">
      <c r="A11" s="1"/>
      <c r="B11" s="61" t="s">
        <v>57</v>
      </c>
      <c r="C11" s="1"/>
      <c r="D11" s="1"/>
      <c r="E11" s="62"/>
      <c r="F11" s="1"/>
      <c r="G11" s="1"/>
      <c r="H11" s="7"/>
      <c r="I11" s="7"/>
      <c r="J11" s="7"/>
      <c r="K11" s="7"/>
      <c r="L11" s="7"/>
      <c r="M11" s="7"/>
      <c r="N11" s="7"/>
      <c r="O11" s="7"/>
      <c r="P11" s="7"/>
      <c r="Q11" s="7"/>
      <c r="R11" s="7"/>
      <c r="S11" s="7"/>
      <c r="T11" s="7"/>
      <c r="U11" s="7"/>
      <c r="V11" s="7"/>
      <c r="W11" s="7"/>
      <c r="X11" s="7"/>
      <c r="Y11" s="7"/>
      <c r="Z11" s="7"/>
      <c r="AA11" s="8"/>
      <c r="AB11" s="8"/>
    </row>
    <row r="12" spans="1:28" ht="18" customHeight="1" x14ac:dyDescent="0.25">
      <c r="A12" s="1"/>
      <c r="B12" s="10"/>
      <c r="C12" s="1"/>
      <c r="D12" s="1"/>
      <c r="E12" s="1"/>
      <c r="F12" s="1"/>
      <c r="G12" s="1"/>
      <c r="H12" s="7"/>
      <c r="I12" s="7"/>
      <c r="J12" s="7"/>
      <c r="K12" s="7"/>
      <c r="L12" s="7"/>
      <c r="M12" s="7"/>
      <c r="N12" s="7"/>
      <c r="O12" s="7"/>
      <c r="P12" s="7"/>
      <c r="Q12" s="7"/>
      <c r="R12" s="7"/>
      <c r="S12" s="7"/>
      <c r="T12" s="7"/>
      <c r="U12" s="7"/>
      <c r="V12" s="7"/>
      <c r="W12" s="7"/>
      <c r="X12" s="7"/>
      <c r="Y12" s="7"/>
      <c r="Z12" s="7"/>
      <c r="AA12" s="8"/>
      <c r="AB12" s="8"/>
    </row>
    <row r="13" spans="1:28" ht="15.6" x14ac:dyDescent="0.3">
      <c r="A13" s="1"/>
      <c r="B13" s="63" t="s">
        <v>58</v>
      </c>
      <c r="C13" s="34"/>
      <c r="D13" s="34"/>
      <c r="E13" s="34"/>
      <c r="F13" s="34"/>
      <c r="G13" s="34"/>
      <c r="H13" s="7"/>
      <c r="I13" s="7"/>
      <c r="J13" s="7"/>
      <c r="K13" s="7"/>
      <c r="L13" s="7"/>
      <c r="M13" s="7"/>
      <c r="N13" s="7"/>
      <c r="O13" s="7"/>
      <c r="P13" s="7"/>
      <c r="Q13" s="7"/>
      <c r="R13" s="7"/>
      <c r="S13" s="7"/>
      <c r="T13" s="7"/>
      <c r="U13" s="7"/>
      <c r="V13" s="7"/>
      <c r="W13" s="7"/>
      <c r="X13" s="7"/>
      <c r="Y13" s="7"/>
      <c r="Z13" s="7"/>
      <c r="AA13" s="8"/>
      <c r="AB13" s="8"/>
    </row>
    <row r="14" spans="1:28" s="65" customFormat="1" ht="12" thickBot="1" x14ac:dyDescent="0.25">
      <c r="A14" s="9"/>
      <c r="B14" s="64" t="s">
        <v>59</v>
      </c>
      <c r="C14" s="1"/>
      <c r="D14" s="1"/>
      <c r="E14" s="1"/>
      <c r="F14" s="1"/>
      <c r="G14" s="1"/>
      <c r="H14" s="7"/>
      <c r="I14" s="7"/>
      <c r="J14" s="7"/>
      <c r="K14" s="7"/>
      <c r="L14" s="9"/>
      <c r="M14" s="7"/>
      <c r="N14" s="7"/>
      <c r="O14" s="7"/>
      <c r="P14" s="7"/>
      <c r="Q14" s="7"/>
      <c r="R14" s="9"/>
      <c r="S14" s="9"/>
      <c r="T14" s="9"/>
      <c r="U14" s="9"/>
      <c r="V14" s="9"/>
      <c r="W14" s="9"/>
      <c r="X14" s="9"/>
      <c r="Y14" s="9"/>
      <c r="Z14" s="9"/>
    </row>
    <row r="15" spans="1:28" x14ac:dyDescent="0.2">
      <c r="A15" s="1"/>
      <c r="B15" s="66" t="s">
        <v>60</v>
      </c>
      <c r="C15" s="67"/>
      <c r="D15" s="67"/>
      <c r="E15" s="67"/>
      <c r="F15" s="67"/>
      <c r="G15" s="67"/>
      <c r="H15" s="7"/>
      <c r="I15" s="7"/>
      <c r="J15" s="7"/>
      <c r="K15" s="7"/>
      <c r="L15" s="7"/>
      <c r="M15" s="7"/>
      <c r="N15" s="7"/>
      <c r="O15" s="7"/>
      <c r="P15" s="7"/>
      <c r="Q15" s="7"/>
      <c r="R15" s="7"/>
      <c r="S15" s="7"/>
      <c r="T15" s="7"/>
      <c r="U15" s="7"/>
      <c r="V15" s="7"/>
      <c r="W15" s="7"/>
      <c r="X15" s="7"/>
      <c r="Y15" s="7"/>
      <c r="Z15" s="7"/>
      <c r="AA15" s="8"/>
      <c r="AB15" s="8"/>
    </row>
    <row r="16" spans="1:28" x14ac:dyDescent="0.2">
      <c r="A16" s="1"/>
      <c r="B16" s="68"/>
      <c r="C16" s="69"/>
      <c r="D16" s="69"/>
      <c r="E16" s="69"/>
      <c r="F16" s="69"/>
      <c r="G16" s="69"/>
      <c r="H16" s="7"/>
      <c r="I16" s="7"/>
      <c r="J16" s="7"/>
      <c r="K16" s="7"/>
      <c r="L16" s="7"/>
      <c r="M16" s="7"/>
      <c r="N16" s="7"/>
      <c r="O16" s="7"/>
      <c r="P16" s="7"/>
      <c r="Q16" s="7"/>
      <c r="R16" s="7"/>
      <c r="S16" s="7"/>
      <c r="T16" s="7"/>
      <c r="U16" s="7"/>
      <c r="V16" s="7"/>
      <c r="W16" s="7"/>
      <c r="X16" s="7"/>
      <c r="Y16" s="7"/>
      <c r="Z16" s="7"/>
      <c r="AA16" s="8"/>
      <c r="AB16" s="8"/>
    </row>
    <row r="17" spans="1:28" x14ac:dyDescent="0.2">
      <c r="A17" s="1"/>
      <c r="B17" s="68"/>
      <c r="C17" s="69"/>
      <c r="D17" s="69"/>
      <c r="E17" s="69"/>
      <c r="F17" s="69"/>
      <c r="G17" s="69"/>
      <c r="H17" s="7"/>
      <c r="I17" s="7"/>
      <c r="J17" s="7"/>
      <c r="K17" s="7"/>
      <c r="L17" s="7"/>
      <c r="M17" s="7"/>
      <c r="N17" s="7"/>
      <c r="O17" s="7"/>
      <c r="P17" s="7"/>
      <c r="Q17" s="7"/>
      <c r="R17" s="7"/>
      <c r="S17" s="7"/>
      <c r="T17" s="7"/>
      <c r="U17" s="7"/>
      <c r="V17" s="7"/>
      <c r="W17" s="7"/>
      <c r="X17" s="7"/>
      <c r="Y17" s="7"/>
      <c r="Z17" s="7"/>
      <c r="AA17" s="8"/>
      <c r="AB17" s="8"/>
    </row>
    <row r="18" spans="1:28" ht="12" thickBot="1" x14ac:dyDescent="0.25">
      <c r="A18" s="1"/>
      <c r="B18" s="70"/>
      <c r="C18" s="70"/>
      <c r="D18" s="70"/>
      <c r="E18" s="70"/>
      <c r="F18" s="70"/>
      <c r="G18" s="70"/>
      <c r="H18" s="7"/>
      <c r="I18" s="7"/>
      <c r="J18" s="7"/>
      <c r="K18" s="7"/>
      <c r="L18" s="7"/>
      <c r="M18" s="7"/>
      <c r="N18" s="7"/>
      <c r="O18" s="7"/>
      <c r="P18" s="7"/>
      <c r="Q18" s="7"/>
      <c r="R18" s="7"/>
      <c r="S18" s="7"/>
      <c r="T18" s="7"/>
      <c r="U18" s="7"/>
      <c r="V18" s="7"/>
      <c r="W18" s="7"/>
      <c r="X18" s="7"/>
      <c r="Y18" s="7"/>
      <c r="Z18" s="7"/>
      <c r="AA18" s="8"/>
      <c r="AB18" s="8"/>
    </row>
    <row r="19" spans="1:28" x14ac:dyDescent="0.2">
      <c r="A19" s="1"/>
      <c r="B19" s="1"/>
      <c r="C19" s="1"/>
      <c r="D19" s="1"/>
      <c r="E19" s="1"/>
      <c r="F19" s="1"/>
      <c r="G19" s="1"/>
      <c r="H19" s="7"/>
      <c r="I19" s="7"/>
      <c r="J19" s="7"/>
      <c r="K19" s="7"/>
      <c r="L19" s="7"/>
      <c r="M19" s="7"/>
      <c r="N19" s="7"/>
      <c r="O19" s="7"/>
      <c r="P19" s="7"/>
      <c r="Q19" s="7"/>
      <c r="R19" s="7"/>
      <c r="S19" s="7"/>
      <c r="T19" s="7"/>
      <c r="U19" s="7"/>
      <c r="V19" s="7"/>
      <c r="W19" s="7"/>
      <c r="X19" s="7"/>
      <c r="Y19" s="7"/>
      <c r="Z19" s="7"/>
      <c r="AA19" s="8"/>
      <c r="AB19" s="8"/>
    </row>
    <row r="20" spans="1:28" x14ac:dyDescent="0.2">
      <c r="A20" s="1"/>
      <c r="B20" s="1"/>
      <c r="C20" s="1"/>
      <c r="D20" s="1"/>
      <c r="E20" s="1"/>
      <c r="F20" s="1"/>
      <c r="G20" s="1"/>
      <c r="H20" s="7"/>
      <c r="I20" s="7"/>
      <c r="J20" s="7"/>
      <c r="K20" s="7"/>
      <c r="L20" s="7"/>
      <c r="M20" s="7"/>
      <c r="N20" s="7"/>
      <c r="O20" s="7"/>
      <c r="P20" s="7"/>
      <c r="Q20" s="7"/>
      <c r="R20" s="7"/>
      <c r="S20" s="7"/>
      <c r="T20" s="7"/>
      <c r="U20" s="7"/>
      <c r="V20" s="7"/>
      <c r="W20" s="7"/>
      <c r="X20" s="7"/>
      <c r="Y20" s="7"/>
      <c r="Z20" s="7"/>
      <c r="AA20" s="8"/>
      <c r="AB20" s="8"/>
    </row>
    <row r="21" spans="1:28" ht="15.6" x14ac:dyDescent="0.3">
      <c r="A21" s="1"/>
      <c r="B21" s="63" t="s">
        <v>61</v>
      </c>
      <c r="C21" s="34"/>
      <c r="D21" s="34"/>
      <c r="E21" s="34"/>
      <c r="F21" s="34"/>
      <c r="G21" s="34"/>
      <c r="H21" s="7"/>
      <c r="I21" s="7"/>
      <c r="J21" s="7"/>
      <c r="K21" s="7"/>
      <c r="L21" s="7"/>
      <c r="M21" s="7"/>
      <c r="N21" s="7"/>
      <c r="O21" s="7"/>
      <c r="P21" s="7"/>
      <c r="Q21" s="7"/>
      <c r="R21" s="7"/>
      <c r="S21" s="7"/>
      <c r="T21" s="7"/>
      <c r="U21" s="7"/>
      <c r="V21" s="7"/>
      <c r="W21" s="7"/>
      <c r="X21" s="7"/>
      <c r="Y21" s="7"/>
      <c r="Z21" s="7"/>
      <c r="AA21" s="8"/>
      <c r="AB21" s="8"/>
    </row>
    <row r="22" spans="1:28" x14ac:dyDescent="0.2">
      <c r="A22" s="1"/>
      <c r="B22" s="64" t="s">
        <v>62</v>
      </c>
      <c r="C22" s="1"/>
      <c r="D22" s="1"/>
      <c r="E22" s="1"/>
      <c r="F22" s="1"/>
      <c r="G22" s="1"/>
      <c r="H22" s="7"/>
      <c r="I22" s="7"/>
      <c r="J22" s="7"/>
      <c r="K22" s="7"/>
      <c r="L22" s="7"/>
      <c r="M22" s="7"/>
      <c r="N22" s="7"/>
      <c r="O22" s="7"/>
      <c r="P22" s="7"/>
      <c r="Q22" s="7"/>
      <c r="R22" s="7"/>
      <c r="S22" s="7"/>
      <c r="T22" s="7"/>
      <c r="U22" s="7"/>
      <c r="V22" s="7"/>
      <c r="W22" s="7"/>
      <c r="X22" s="7"/>
      <c r="Y22" s="7"/>
      <c r="Z22" s="7"/>
      <c r="AA22" s="8"/>
      <c r="AB22" s="8"/>
    </row>
    <row r="23" spans="1:28" x14ac:dyDescent="0.2">
      <c r="A23" s="1"/>
      <c r="B23" s="1"/>
      <c r="C23" s="1"/>
      <c r="D23" s="1"/>
      <c r="E23" s="1"/>
      <c r="F23" s="1"/>
      <c r="G23" s="1"/>
      <c r="H23" s="7"/>
      <c r="I23" s="7"/>
      <c r="J23" s="7"/>
      <c r="K23" s="7"/>
      <c r="L23" s="7"/>
      <c r="M23" s="7"/>
      <c r="N23" s="7"/>
      <c r="O23" s="7"/>
      <c r="P23" s="7"/>
      <c r="Q23" s="7"/>
      <c r="R23" s="7"/>
      <c r="S23" s="7"/>
      <c r="T23" s="7"/>
      <c r="U23" s="7"/>
      <c r="V23" s="7"/>
      <c r="W23" s="7"/>
      <c r="X23" s="7"/>
      <c r="Y23" s="7"/>
      <c r="Z23" s="7"/>
      <c r="AA23" s="8"/>
      <c r="AB23" s="8"/>
    </row>
    <row r="24" spans="1:28" ht="12" x14ac:dyDescent="0.25">
      <c r="A24" s="1"/>
      <c r="B24" s="10" t="s">
        <v>63</v>
      </c>
      <c r="C24" s="1"/>
      <c r="D24" s="1"/>
      <c r="F24" s="71"/>
      <c r="G24" s="1"/>
      <c r="H24" s="7"/>
      <c r="I24" s="7"/>
      <c r="J24" s="7"/>
      <c r="K24" s="7"/>
      <c r="L24" s="7"/>
      <c r="M24" s="7"/>
      <c r="N24" s="7"/>
      <c r="O24" s="7"/>
      <c r="P24" s="7"/>
      <c r="Q24" s="7"/>
      <c r="R24" s="7"/>
      <c r="S24" s="7"/>
      <c r="T24" s="7"/>
      <c r="U24" s="7"/>
      <c r="V24" s="7"/>
      <c r="W24" s="7"/>
      <c r="X24" s="7"/>
      <c r="Y24" s="7"/>
      <c r="Z24" s="7"/>
      <c r="AA24" s="8"/>
      <c r="AB24" s="8"/>
    </row>
    <row r="25" spans="1:28" x14ac:dyDescent="0.2">
      <c r="A25" s="1"/>
      <c r="B25" s="1"/>
      <c r="C25" s="1"/>
      <c r="D25" s="1"/>
      <c r="E25" s="1"/>
      <c r="F25" s="1"/>
      <c r="G25" s="1"/>
      <c r="H25" s="7"/>
      <c r="I25" s="7"/>
      <c r="J25" s="7"/>
      <c r="K25" s="7"/>
      <c r="L25" s="7"/>
      <c r="M25" s="7"/>
      <c r="N25" s="7"/>
      <c r="O25" s="7"/>
      <c r="P25" s="7"/>
      <c r="Q25" s="7"/>
      <c r="R25" s="7"/>
      <c r="S25" s="7"/>
      <c r="T25" s="7"/>
      <c r="U25" s="7"/>
      <c r="V25" s="7"/>
      <c r="W25" s="7"/>
      <c r="X25" s="7"/>
      <c r="Y25" s="7"/>
      <c r="Z25" s="7"/>
      <c r="AA25" s="8"/>
      <c r="AB25" s="8"/>
    </row>
    <row r="26" spans="1:28" ht="10.5" customHeight="1" x14ac:dyDescent="0.2">
      <c r="A26" s="1"/>
      <c r="B26" s="1"/>
      <c r="C26" s="1"/>
      <c r="D26" s="1"/>
      <c r="E26" s="1"/>
      <c r="F26" s="1"/>
      <c r="G26" s="1"/>
      <c r="H26" s="7"/>
      <c r="I26" s="7"/>
      <c r="J26" s="7"/>
      <c r="K26" s="7"/>
      <c r="L26" s="7"/>
      <c r="M26" s="7"/>
      <c r="N26" s="7"/>
      <c r="O26" s="7"/>
      <c r="P26" s="7"/>
      <c r="Q26" s="7"/>
      <c r="R26" s="7"/>
      <c r="S26" s="7"/>
      <c r="T26" s="7"/>
      <c r="U26" s="7"/>
      <c r="V26" s="7"/>
      <c r="W26" s="7"/>
      <c r="X26" s="7"/>
      <c r="Y26" s="7"/>
      <c r="Z26" s="7"/>
      <c r="AA26" s="8"/>
      <c r="AB26" s="8"/>
    </row>
    <row r="27" spans="1:28" x14ac:dyDescent="0.2">
      <c r="A27" s="1"/>
      <c r="B27" s="1"/>
      <c r="C27" s="1"/>
      <c r="D27" s="1"/>
      <c r="E27" s="1"/>
      <c r="F27" s="1"/>
      <c r="G27" s="1"/>
      <c r="H27" s="7"/>
      <c r="I27" s="7"/>
      <c r="J27" s="7"/>
      <c r="K27" s="7"/>
      <c r="L27" s="7"/>
      <c r="M27" s="7"/>
      <c r="N27" s="7"/>
      <c r="O27" s="7"/>
      <c r="P27" s="7"/>
      <c r="Q27" s="7"/>
      <c r="R27" s="7"/>
      <c r="S27" s="7"/>
      <c r="T27" s="7"/>
      <c r="U27" s="7"/>
      <c r="V27" s="7"/>
      <c r="W27" s="7"/>
      <c r="X27" s="7"/>
      <c r="Y27" s="7"/>
      <c r="Z27" s="7"/>
      <c r="AA27" s="8"/>
      <c r="AB27" s="8"/>
    </row>
    <row r="28" spans="1:28" x14ac:dyDescent="0.2">
      <c r="A28" s="1"/>
      <c r="B28" s="1"/>
      <c r="C28" s="1"/>
      <c r="D28" s="1"/>
      <c r="E28" s="1"/>
      <c r="F28" s="1"/>
      <c r="G28" s="1"/>
      <c r="H28" s="7"/>
      <c r="I28" s="7"/>
      <c r="J28" s="7"/>
      <c r="K28" s="7"/>
      <c r="L28" s="7"/>
      <c r="M28" s="7"/>
      <c r="N28" s="7"/>
      <c r="O28" s="7"/>
      <c r="P28" s="7"/>
      <c r="Q28" s="7"/>
      <c r="R28" s="7"/>
      <c r="S28" s="7"/>
      <c r="T28" s="7"/>
      <c r="U28" s="7"/>
      <c r="V28" s="7"/>
      <c r="W28" s="7"/>
      <c r="X28" s="7"/>
      <c r="Y28" s="7"/>
      <c r="Z28" s="7"/>
      <c r="AA28" s="8"/>
      <c r="AB28" s="8"/>
    </row>
    <row r="29" spans="1:28" x14ac:dyDescent="0.2">
      <c r="A29" s="1"/>
      <c r="B29" s="1"/>
      <c r="C29" s="1"/>
      <c r="D29" s="1"/>
      <c r="E29" s="1"/>
      <c r="F29" s="1"/>
      <c r="G29" s="1"/>
      <c r="H29" s="7"/>
      <c r="I29" s="7"/>
      <c r="J29" s="7"/>
      <c r="K29" s="7"/>
      <c r="L29" s="7"/>
      <c r="M29" s="7"/>
      <c r="N29" s="7"/>
      <c r="O29" s="7"/>
      <c r="P29" s="7"/>
      <c r="Q29" s="7"/>
      <c r="R29" s="7"/>
      <c r="S29" s="7"/>
      <c r="T29" s="7"/>
      <c r="U29" s="7"/>
      <c r="V29" s="7"/>
      <c r="W29" s="7"/>
      <c r="X29" s="7"/>
      <c r="Y29" s="7"/>
      <c r="Z29" s="7"/>
      <c r="AA29" s="8"/>
      <c r="AB29" s="8"/>
    </row>
    <row r="30" spans="1:28" x14ac:dyDescent="0.2">
      <c r="A30" s="1"/>
      <c r="B30" s="1"/>
      <c r="C30" s="1"/>
      <c r="D30" s="1"/>
      <c r="E30" s="1"/>
      <c r="F30" s="1"/>
      <c r="G30" s="1"/>
      <c r="H30" s="7"/>
      <c r="I30" s="7"/>
      <c r="J30" s="7"/>
      <c r="K30" s="7"/>
      <c r="L30" s="7"/>
      <c r="M30" s="7"/>
      <c r="N30" s="7"/>
      <c r="O30" s="7"/>
      <c r="P30" s="7"/>
      <c r="Q30" s="7"/>
      <c r="R30" s="7"/>
      <c r="S30" s="7"/>
      <c r="T30" s="7"/>
      <c r="U30" s="7"/>
      <c r="V30" s="7"/>
      <c r="W30" s="7"/>
      <c r="X30" s="7"/>
      <c r="Y30" s="7"/>
      <c r="Z30" s="7"/>
      <c r="AA30" s="8"/>
      <c r="AB30" s="8"/>
    </row>
    <row r="31" spans="1:28" x14ac:dyDescent="0.2">
      <c r="A31" s="1"/>
      <c r="B31" s="1"/>
      <c r="C31" s="1"/>
      <c r="D31" s="1"/>
      <c r="E31" s="1"/>
      <c r="F31" s="1"/>
      <c r="G31" s="1"/>
      <c r="H31" s="7"/>
      <c r="I31" s="7"/>
      <c r="J31" s="7"/>
      <c r="K31" s="7"/>
      <c r="L31" s="7"/>
      <c r="M31" s="7"/>
      <c r="N31" s="7"/>
      <c r="O31" s="7"/>
      <c r="P31" s="7"/>
      <c r="Q31" s="7"/>
      <c r="R31" s="7"/>
      <c r="S31" s="7"/>
      <c r="T31" s="7"/>
      <c r="U31" s="7"/>
      <c r="V31" s="7"/>
      <c r="W31" s="7"/>
      <c r="X31" s="7"/>
      <c r="Y31" s="7"/>
      <c r="Z31" s="7"/>
      <c r="AA31" s="8"/>
      <c r="AB31" s="8"/>
    </row>
    <row r="32" spans="1:28" x14ac:dyDescent="0.2">
      <c r="A32" s="1"/>
      <c r="B32" s="1"/>
      <c r="C32" s="1"/>
      <c r="D32" s="1"/>
      <c r="E32" s="1"/>
      <c r="F32" s="1"/>
      <c r="G32" s="1"/>
      <c r="H32" s="7"/>
      <c r="I32" s="7"/>
      <c r="J32" s="7"/>
      <c r="K32" s="7"/>
      <c r="L32" s="7"/>
      <c r="M32" s="7"/>
      <c r="N32" s="7"/>
      <c r="O32" s="7"/>
      <c r="P32" s="7"/>
      <c r="Q32" s="7"/>
      <c r="R32" s="7"/>
      <c r="S32" s="7"/>
      <c r="T32" s="7"/>
      <c r="U32" s="7"/>
      <c r="V32" s="7"/>
      <c r="W32" s="7"/>
      <c r="X32" s="7"/>
      <c r="Y32" s="7"/>
      <c r="Z32" s="7"/>
      <c r="AA32" s="8"/>
      <c r="AB32" s="8"/>
    </row>
    <row r="33" spans="1:28" x14ac:dyDescent="0.2">
      <c r="A33" s="1"/>
      <c r="B33" s="1"/>
      <c r="C33" s="1"/>
      <c r="D33" s="1"/>
      <c r="E33" s="58"/>
      <c r="F33" s="58"/>
      <c r="G33" s="58"/>
      <c r="H33" s="7"/>
      <c r="I33" s="7"/>
      <c r="J33" s="7"/>
      <c r="K33" s="7"/>
      <c r="L33" s="7"/>
      <c r="M33" s="7"/>
      <c r="N33" s="7"/>
      <c r="O33" s="7"/>
      <c r="P33" s="7"/>
      <c r="Q33" s="7"/>
      <c r="R33" s="7"/>
      <c r="S33" s="7"/>
      <c r="T33" s="7"/>
      <c r="U33" s="7"/>
      <c r="V33" s="7"/>
      <c r="W33" s="7"/>
      <c r="X33" s="7"/>
      <c r="Y33" s="7"/>
      <c r="Z33" s="7"/>
      <c r="AA33" s="8"/>
      <c r="AB33" s="8"/>
    </row>
    <row r="34" spans="1:28" x14ac:dyDescent="0.2">
      <c r="A34" s="1"/>
      <c r="B34" s="1"/>
      <c r="C34" s="1"/>
      <c r="D34" s="1"/>
      <c r="E34" s="1"/>
      <c r="F34" s="1"/>
      <c r="G34" s="1"/>
      <c r="H34" s="7"/>
      <c r="I34" s="7"/>
      <c r="J34" s="7"/>
      <c r="K34" s="7"/>
      <c r="L34" s="7"/>
      <c r="M34" s="7"/>
      <c r="N34" s="7"/>
      <c r="O34" s="7"/>
      <c r="P34" s="7"/>
      <c r="Q34" s="7"/>
      <c r="R34" s="7"/>
      <c r="S34" s="7"/>
      <c r="T34" s="7"/>
      <c r="U34" s="7"/>
      <c r="V34" s="7"/>
      <c r="W34" s="7"/>
      <c r="X34" s="7"/>
      <c r="Y34" s="7"/>
      <c r="Z34" s="7"/>
      <c r="AA34" s="8"/>
      <c r="AB34" s="8"/>
    </row>
    <row r="35" spans="1:28" x14ac:dyDescent="0.2">
      <c r="A35" s="1"/>
      <c r="B35" s="1"/>
      <c r="C35" s="1"/>
      <c r="D35" s="1"/>
      <c r="E35" s="1"/>
      <c r="F35" s="1"/>
      <c r="G35" s="1"/>
      <c r="H35" s="7"/>
      <c r="I35" s="7"/>
      <c r="J35" s="7"/>
      <c r="K35" s="7"/>
      <c r="L35" s="7"/>
      <c r="M35" s="7"/>
      <c r="N35" s="7"/>
      <c r="O35" s="7"/>
      <c r="P35" s="7"/>
      <c r="Q35" s="7"/>
      <c r="R35" s="7"/>
      <c r="S35" s="7"/>
      <c r="T35" s="7"/>
      <c r="U35" s="7"/>
      <c r="V35" s="7"/>
      <c r="W35" s="7"/>
      <c r="X35" s="7"/>
      <c r="Y35" s="7"/>
      <c r="Z35" s="7"/>
      <c r="AA35" s="8"/>
      <c r="AB35" s="8"/>
    </row>
    <row r="36" spans="1:28" ht="12" x14ac:dyDescent="0.25">
      <c r="A36" s="1"/>
      <c r="B36" s="10" t="s">
        <v>64</v>
      </c>
      <c r="C36" s="1"/>
      <c r="D36" s="1"/>
      <c r="E36" s="1"/>
      <c r="F36" s="1"/>
      <c r="G36" s="1"/>
      <c r="H36" s="7"/>
      <c r="I36" s="7"/>
      <c r="J36" s="7"/>
      <c r="K36" s="7"/>
      <c r="L36" s="7"/>
      <c r="M36" s="7"/>
      <c r="N36" s="7"/>
      <c r="O36" s="7"/>
      <c r="P36" s="7"/>
      <c r="Q36" s="7"/>
      <c r="R36" s="7"/>
      <c r="S36" s="7"/>
      <c r="T36" s="7"/>
      <c r="U36" s="7"/>
      <c r="V36" s="7"/>
      <c r="W36" s="7"/>
      <c r="X36" s="7"/>
      <c r="Y36" s="7"/>
      <c r="Z36" s="7"/>
      <c r="AA36" s="8"/>
      <c r="AB36" s="8"/>
    </row>
    <row r="37" spans="1:28" ht="5.25" customHeight="1" x14ac:dyDescent="0.25">
      <c r="A37" s="1"/>
      <c r="B37" s="10"/>
      <c r="C37" s="1"/>
      <c r="D37" s="1"/>
      <c r="E37" s="1"/>
      <c r="F37" s="1"/>
      <c r="G37" s="1"/>
      <c r="H37" s="7"/>
      <c r="I37" s="7"/>
      <c r="J37" s="7"/>
      <c r="K37" s="7"/>
      <c r="L37" s="7"/>
      <c r="M37" s="7"/>
      <c r="N37" s="7"/>
      <c r="O37" s="7"/>
      <c r="P37" s="7"/>
      <c r="Q37" s="7"/>
      <c r="R37" s="7"/>
      <c r="S37" s="7"/>
      <c r="T37" s="7"/>
      <c r="U37" s="7"/>
      <c r="V37" s="7"/>
      <c r="W37" s="7"/>
      <c r="X37" s="7"/>
      <c r="Y37" s="7"/>
      <c r="Z37" s="7"/>
      <c r="AA37" s="8"/>
      <c r="AB37" s="8"/>
    </row>
    <row r="38" spans="1:28" ht="12" x14ac:dyDescent="0.25">
      <c r="A38" s="1"/>
      <c r="B38" s="10"/>
      <c r="C38" s="10" t="s">
        <v>65</v>
      </c>
      <c r="D38" s="10"/>
      <c r="F38" s="81" t="s">
        <v>66</v>
      </c>
      <c r="G38" s="1"/>
      <c r="H38" s="7"/>
      <c r="I38" s="7"/>
      <c r="J38" s="7"/>
      <c r="K38" s="7"/>
      <c r="L38" s="7"/>
      <c r="M38" s="7"/>
      <c r="N38" s="7"/>
      <c r="O38" s="7"/>
      <c r="P38" s="7"/>
      <c r="Q38" s="7"/>
      <c r="R38" s="7"/>
      <c r="S38" s="7"/>
      <c r="T38" s="7"/>
      <c r="U38" s="7"/>
      <c r="V38" s="7"/>
      <c r="W38" s="7"/>
      <c r="X38" s="7"/>
      <c r="Y38" s="7"/>
      <c r="Z38" s="7"/>
      <c r="AA38" s="8"/>
      <c r="AB38" s="8"/>
    </row>
    <row r="39" spans="1:28" x14ac:dyDescent="0.2">
      <c r="A39" s="1"/>
      <c r="B39" s="1"/>
      <c r="C39" s="1"/>
      <c r="D39" s="1"/>
      <c r="E39" s="1"/>
      <c r="F39" s="1"/>
      <c r="G39" s="1"/>
      <c r="H39" s="7"/>
      <c r="I39" s="7"/>
      <c r="J39" s="7"/>
      <c r="K39" s="7"/>
      <c r="L39" s="7"/>
      <c r="M39" s="7"/>
      <c r="N39" s="7"/>
      <c r="O39" s="7"/>
      <c r="P39" s="7"/>
      <c r="Q39" s="7"/>
      <c r="R39" s="7"/>
      <c r="S39" s="7"/>
      <c r="T39" s="7"/>
      <c r="U39" s="7"/>
      <c r="V39" s="7"/>
      <c r="W39" s="7"/>
      <c r="X39" s="7"/>
      <c r="Y39" s="7"/>
      <c r="Z39" s="7"/>
      <c r="AA39" s="8"/>
      <c r="AB39" s="8"/>
    </row>
    <row r="40" spans="1:28" x14ac:dyDescent="0.2">
      <c r="A40" s="1"/>
      <c r="B40" s="1"/>
      <c r="C40" s="1"/>
      <c r="D40" s="1"/>
      <c r="F40" s="1"/>
      <c r="G40" s="1"/>
      <c r="H40" s="7"/>
      <c r="I40" s="7"/>
      <c r="J40" s="7"/>
      <c r="K40" s="7"/>
      <c r="L40" s="7"/>
      <c r="M40" s="7"/>
      <c r="N40" s="7"/>
      <c r="O40" s="7"/>
      <c r="P40" s="7"/>
      <c r="Q40" s="7"/>
      <c r="R40" s="7"/>
      <c r="S40" s="7"/>
      <c r="T40" s="7"/>
      <c r="U40" s="7"/>
      <c r="V40" s="7"/>
      <c r="W40" s="7"/>
      <c r="X40" s="7"/>
      <c r="Y40" s="7"/>
      <c r="Z40" s="7"/>
      <c r="AA40" s="8"/>
      <c r="AB40" s="8"/>
    </row>
    <row r="41" spans="1:28" x14ac:dyDescent="0.2">
      <c r="A41" s="1"/>
      <c r="B41" s="1"/>
      <c r="C41" s="1"/>
      <c r="D41" s="1"/>
      <c r="F41" s="1"/>
      <c r="G41" s="1"/>
      <c r="H41" s="7"/>
      <c r="I41" s="7"/>
      <c r="J41" s="7"/>
      <c r="K41" s="7"/>
      <c r="L41" s="7"/>
      <c r="M41" s="7"/>
      <c r="N41" s="7"/>
      <c r="O41" s="7"/>
      <c r="P41" s="7"/>
      <c r="Q41" s="7"/>
      <c r="R41" s="7"/>
      <c r="S41" s="7"/>
      <c r="T41" s="7"/>
      <c r="U41" s="7"/>
      <c r="V41" s="7"/>
      <c r="W41" s="7"/>
      <c r="X41" s="7"/>
      <c r="Y41" s="7"/>
      <c r="Z41" s="7"/>
      <c r="AA41" s="8"/>
      <c r="AB41" s="8"/>
    </row>
    <row r="42" spans="1:28" x14ac:dyDescent="0.2">
      <c r="A42" s="1"/>
      <c r="B42" s="1"/>
      <c r="C42" s="1"/>
      <c r="D42" s="1"/>
      <c r="F42" s="1"/>
      <c r="G42" s="1"/>
      <c r="H42" s="7"/>
      <c r="I42" s="7"/>
      <c r="J42" s="7"/>
      <c r="K42" s="7"/>
      <c r="L42" s="7"/>
      <c r="M42" s="7"/>
      <c r="N42" s="7"/>
      <c r="O42" s="7"/>
      <c r="P42" s="7"/>
      <c r="Q42" s="7"/>
      <c r="R42" s="7"/>
      <c r="S42" s="7"/>
      <c r="T42" s="7"/>
      <c r="U42" s="7"/>
      <c r="V42" s="7"/>
      <c r="W42" s="7"/>
      <c r="X42" s="7"/>
      <c r="Y42" s="7"/>
      <c r="Z42" s="7"/>
      <c r="AA42" s="8"/>
      <c r="AB42" s="8"/>
    </row>
    <row r="43" spans="1:28" x14ac:dyDescent="0.2">
      <c r="A43" s="1"/>
      <c r="B43" s="1"/>
      <c r="C43" s="1"/>
      <c r="D43" s="1"/>
      <c r="F43" s="1"/>
      <c r="G43" s="1"/>
      <c r="H43" s="7"/>
      <c r="I43" s="7"/>
      <c r="J43" s="7"/>
      <c r="K43" s="7"/>
      <c r="L43" s="7"/>
      <c r="M43" s="7"/>
      <c r="N43" s="7"/>
      <c r="O43" s="7"/>
      <c r="P43" s="7"/>
      <c r="Q43" s="7"/>
      <c r="R43" s="7"/>
      <c r="S43" s="7"/>
      <c r="T43" s="7"/>
      <c r="U43" s="7"/>
      <c r="V43" s="7"/>
      <c r="W43" s="7"/>
      <c r="X43" s="7"/>
      <c r="Y43" s="7"/>
      <c r="Z43" s="7"/>
      <c r="AA43" s="8"/>
      <c r="AB43" s="8"/>
    </row>
    <row r="44" spans="1:28" x14ac:dyDescent="0.2">
      <c r="A44" s="1"/>
      <c r="B44" s="1"/>
      <c r="C44" s="1"/>
      <c r="D44" s="1"/>
      <c r="F44" s="1"/>
      <c r="G44" s="1"/>
      <c r="H44" s="7"/>
      <c r="I44" s="7"/>
      <c r="J44" s="7"/>
      <c r="K44" s="7"/>
      <c r="L44" s="7"/>
      <c r="M44" s="7"/>
      <c r="N44" s="7"/>
      <c r="O44" s="7"/>
      <c r="P44" s="7"/>
      <c r="Q44" s="7"/>
      <c r="R44" s="7"/>
      <c r="S44" s="7"/>
      <c r="T44" s="7"/>
      <c r="U44" s="7"/>
      <c r="V44" s="7"/>
      <c r="W44" s="7"/>
      <c r="X44" s="7"/>
      <c r="Y44" s="7"/>
      <c r="Z44" s="7"/>
      <c r="AA44" s="8"/>
      <c r="AB44" s="8"/>
    </row>
    <row r="45" spans="1:28" x14ac:dyDescent="0.2">
      <c r="A45" s="1"/>
      <c r="B45" s="1"/>
      <c r="C45" s="1"/>
      <c r="D45" s="1"/>
      <c r="F45" s="1"/>
      <c r="G45" s="1"/>
      <c r="H45" s="7"/>
      <c r="I45" s="7"/>
      <c r="J45" s="7"/>
      <c r="K45" s="7"/>
      <c r="L45" s="7"/>
      <c r="M45" s="7"/>
      <c r="N45" s="7"/>
      <c r="O45" s="7"/>
      <c r="P45" s="7"/>
      <c r="Q45" s="7"/>
      <c r="R45" s="7"/>
      <c r="S45" s="7"/>
      <c r="T45" s="7"/>
      <c r="U45" s="7"/>
      <c r="V45" s="7"/>
      <c r="W45" s="7"/>
      <c r="X45" s="7"/>
      <c r="Y45" s="7"/>
      <c r="Z45" s="7"/>
      <c r="AA45" s="8"/>
      <c r="AB45" s="8"/>
    </row>
    <row r="46" spans="1:28" x14ac:dyDescent="0.2">
      <c r="A46" s="1"/>
      <c r="B46" s="1"/>
      <c r="C46" s="1"/>
      <c r="D46" s="1"/>
      <c r="E46" s="1"/>
      <c r="F46" s="1"/>
      <c r="G46" s="1"/>
      <c r="H46" s="7"/>
      <c r="I46" s="7"/>
      <c r="J46" s="7"/>
      <c r="K46" s="7"/>
      <c r="L46" s="7"/>
      <c r="M46" s="7"/>
      <c r="N46" s="7"/>
      <c r="O46" s="7"/>
      <c r="P46" s="7"/>
      <c r="Q46" s="7"/>
      <c r="R46" s="7"/>
      <c r="S46" s="7"/>
      <c r="T46" s="7"/>
      <c r="U46" s="7"/>
      <c r="V46" s="7"/>
      <c r="W46" s="7"/>
      <c r="X46" s="7"/>
      <c r="Y46" s="7"/>
      <c r="Z46" s="7"/>
      <c r="AA46" s="8"/>
      <c r="AB46" s="8"/>
    </row>
    <row r="47" spans="1:28" x14ac:dyDescent="0.2">
      <c r="A47" s="1"/>
      <c r="B47" s="1"/>
      <c r="C47" s="1"/>
      <c r="D47" s="1"/>
      <c r="E47" s="1"/>
      <c r="F47" s="1"/>
      <c r="G47" s="1"/>
      <c r="H47" s="7"/>
      <c r="I47" s="7"/>
      <c r="J47" s="7"/>
      <c r="K47" s="7"/>
      <c r="L47" s="7"/>
      <c r="M47" s="7"/>
      <c r="N47" s="7"/>
      <c r="O47" s="7"/>
      <c r="P47" s="7"/>
      <c r="Q47" s="7"/>
      <c r="R47" s="7"/>
      <c r="S47" s="7"/>
      <c r="T47" s="7"/>
      <c r="U47" s="7"/>
      <c r="V47" s="7"/>
      <c r="W47" s="7"/>
      <c r="X47" s="7"/>
      <c r="Y47" s="7"/>
      <c r="Z47" s="7"/>
      <c r="AA47" s="8"/>
      <c r="AB47" s="8"/>
    </row>
    <row r="48" spans="1:28" x14ac:dyDescent="0.2">
      <c r="A48" s="1"/>
      <c r="B48" s="1"/>
      <c r="C48" s="1"/>
      <c r="D48" s="1"/>
      <c r="E48" s="1"/>
      <c r="F48" s="1"/>
      <c r="G48" s="1"/>
      <c r="H48" s="7"/>
      <c r="I48" s="7"/>
      <c r="J48" s="7"/>
      <c r="K48" s="7"/>
      <c r="L48" s="7"/>
      <c r="M48" s="7"/>
      <c r="N48" s="7"/>
      <c r="O48" s="7"/>
      <c r="P48" s="7"/>
      <c r="Q48" s="7"/>
      <c r="R48" s="7"/>
      <c r="S48" s="7"/>
      <c r="T48" s="7"/>
      <c r="U48" s="7"/>
      <c r="V48" s="7"/>
      <c r="W48" s="7"/>
      <c r="X48" s="7"/>
      <c r="Y48" s="7"/>
      <c r="Z48" s="7"/>
      <c r="AA48" s="8"/>
      <c r="AB48" s="8"/>
    </row>
    <row r="49" spans="1:28" x14ac:dyDescent="0.2">
      <c r="A49" s="1"/>
      <c r="B49" s="1"/>
      <c r="C49" s="1"/>
      <c r="D49" s="1"/>
      <c r="E49" s="1"/>
      <c r="F49" s="1"/>
      <c r="G49" s="1"/>
      <c r="H49" s="7"/>
      <c r="I49" s="7"/>
      <c r="J49" s="7"/>
      <c r="K49" s="7"/>
      <c r="L49" s="7"/>
      <c r="M49" s="7"/>
      <c r="N49" s="7"/>
      <c r="O49" s="7"/>
      <c r="P49" s="7"/>
      <c r="Q49" s="7"/>
      <c r="R49" s="7"/>
      <c r="S49" s="7"/>
      <c r="T49" s="7"/>
      <c r="U49" s="7"/>
      <c r="V49" s="7"/>
      <c r="W49" s="7"/>
      <c r="X49" s="7"/>
      <c r="Y49" s="7"/>
      <c r="Z49" s="7"/>
      <c r="AA49" s="8"/>
      <c r="AB49" s="8"/>
    </row>
    <row r="50" spans="1:28" x14ac:dyDescent="0.2">
      <c r="A50" s="1"/>
      <c r="B50" s="1"/>
      <c r="C50" s="1"/>
      <c r="D50" s="1"/>
      <c r="E50" s="1"/>
      <c r="F50" s="1"/>
      <c r="G50" s="1"/>
      <c r="H50" s="7"/>
      <c r="I50" s="7"/>
      <c r="J50" s="7"/>
      <c r="K50" s="7"/>
      <c r="L50" s="7"/>
      <c r="M50" s="7"/>
      <c r="N50" s="7"/>
      <c r="O50" s="7"/>
      <c r="P50" s="7"/>
      <c r="Q50" s="7"/>
      <c r="R50" s="7"/>
      <c r="S50" s="7"/>
      <c r="T50" s="7"/>
      <c r="U50" s="7"/>
      <c r="V50" s="7"/>
      <c r="W50" s="7"/>
      <c r="X50" s="7"/>
      <c r="Y50" s="7"/>
      <c r="Z50" s="7"/>
      <c r="AA50" s="8"/>
      <c r="AB50" s="8"/>
    </row>
    <row r="51" spans="1:28" x14ac:dyDescent="0.2">
      <c r="A51" s="1"/>
      <c r="B51" s="1"/>
      <c r="C51" s="1"/>
      <c r="D51" s="1"/>
      <c r="E51" s="1"/>
      <c r="F51" s="1"/>
      <c r="G51" s="1"/>
      <c r="H51" s="7"/>
      <c r="I51" s="7"/>
      <c r="J51" s="7"/>
      <c r="K51" s="7"/>
      <c r="L51" s="7"/>
      <c r="M51" s="7"/>
      <c r="N51" s="7"/>
      <c r="O51" s="7"/>
      <c r="P51" s="7"/>
      <c r="Q51" s="7"/>
      <c r="R51" s="7"/>
      <c r="S51" s="7"/>
      <c r="T51" s="7"/>
      <c r="U51" s="7"/>
      <c r="V51" s="7"/>
      <c r="W51" s="7"/>
      <c r="X51" s="7"/>
      <c r="Y51" s="7"/>
      <c r="Z51" s="7"/>
      <c r="AA51" s="8"/>
      <c r="AB51" s="8"/>
    </row>
    <row r="52" spans="1:28" x14ac:dyDescent="0.2">
      <c r="A52" s="1"/>
      <c r="B52" s="1" t="s">
        <v>112</v>
      </c>
      <c r="C52" s="1"/>
      <c r="D52" s="1"/>
      <c r="E52" s="1"/>
      <c r="F52" s="1"/>
      <c r="G52" s="1"/>
      <c r="H52" s="7"/>
      <c r="I52" s="7"/>
      <c r="J52" s="7"/>
      <c r="K52" s="7"/>
      <c r="L52" s="7"/>
      <c r="M52" s="7"/>
      <c r="N52" s="7"/>
      <c r="O52" s="7"/>
      <c r="P52" s="7"/>
      <c r="Q52" s="7"/>
      <c r="R52" s="7"/>
      <c r="S52" s="7"/>
      <c r="T52" s="7"/>
      <c r="U52" s="7"/>
      <c r="V52" s="7"/>
      <c r="W52" s="7"/>
      <c r="X52" s="7"/>
      <c r="Y52" s="7"/>
      <c r="Z52" s="7"/>
      <c r="AA52" s="8"/>
      <c r="AB52" s="8"/>
    </row>
    <row r="53" spans="1:28" x14ac:dyDescent="0.2">
      <c r="A53" s="1"/>
      <c r="B53" s="1"/>
      <c r="C53" s="1"/>
      <c r="D53" s="1"/>
      <c r="E53" s="1"/>
      <c r="F53" s="1"/>
      <c r="G53" s="1"/>
      <c r="H53" s="7"/>
      <c r="I53" s="7"/>
      <c r="J53" s="7"/>
      <c r="K53" s="7"/>
      <c r="L53" s="7"/>
      <c r="M53" s="7"/>
      <c r="N53" s="7"/>
      <c r="O53" s="7"/>
      <c r="P53" s="7"/>
      <c r="Q53" s="7"/>
      <c r="R53" s="7"/>
      <c r="S53" s="7"/>
      <c r="T53" s="7"/>
      <c r="U53" s="7"/>
      <c r="V53" s="7"/>
      <c r="W53" s="7"/>
      <c r="X53" s="7"/>
      <c r="Y53" s="7"/>
      <c r="Z53" s="7"/>
      <c r="AA53" s="8"/>
      <c r="AB53" s="8"/>
    </row>
    <row r="54" spans="1:28" x14ac:dyDescent="0.2">
      <c r="A54" s="1"/>
      <c r="B54" s="1"/>
      <c r="C54" s="1"/>
      <c r="D54" s="1"/>
      <c r="E54" s="1"/>
      <c r="F54" s="1"/>
      <c r="G54" s="1"/>
      <c r="H54" s="7"/>
      <c r="I54" s="7"/>
      <c r="J54" s="7"/>
      <c r="K54" s="7"/>
      <c r="L54" s="7"/>
      <c r="M54" s="7"/>
      <c r="N54" s="7"/>
      <c r="O54" s="7"/>
      <c r="P54" s="7"/>
      <c r="Q54" s="7"/>
      <c r="R54" s="7"/>
      <c r="S54" s="7"/>
      <c r="T54" s="7"/>
      <c r="U54" s="7"/>
      <c r="V54" s="7"/>
      <c r="W54" s="7"/>
      <c r="X54" s="7"/>
      <c r="Y54" s="7"/>
      <c r="Z54" s="7"/>
      <c r="AA54" s="8"/>
      <c r="AB54" s="8"/>
    </row>
    <row r="55" spans="1:28" ht="12" x14ac:dyDescent="0.25">
      <c r="A55" s="1"/>
      <c r="B55" s="10" t="s">
        <v>113</v>
      </c>
      <c r="C55" s="1"/>
      <c r="D55" s="1"/>
      <c r="E55" s="1"/>
      <c r="F55" s="1"/>
      <c r="G55" s="1"/>
      <c r="H55" s="7"/>
      <c r="I55" s="7"/>
      <c r="J55" s="7"/>
      <c r="K55" s="7"/>
      <c r="L55" s="7"/>
      <c r="M55" s="7"/>
      <c r="N55" s="7"/>
      <c r="O55" s="7"/>
      <c r="P55" s="7"/>
      <c r="Q55" s="7"/>
      <c r="R55" s="7"/>
      <c r="S55" s="7"/>
      <c r="T55" s="7"/>
      <c r="U55" s="7"/>
      <c r="V55" s="7"/>
      <c r="W55" s="7"/>
      <c r="X55" s="7"/>
      <c r="Y55" s="7"/>
      <c r="Z55" s="7"/>
      <c r="AA55" s="8"/>
      <c r="AB55" s="8"/>
    </row>
    <row r="56" spans="1:28" x14ac:dyDescent="0.2">
      <c r="A56" s="1"/>
      <c r="B56" s="64" t="s">
        <v>114</v>
      </c>
      <c r="C56" s="45"/>
      <c r="D56" s="45"/>
      <c r="E56" s="45"/>
      <c r="F56" s="45"/>
      <c r="G56" s="45"/>
      <c r="H56" s="45"/>
      <c r="I56" s="7"/>
      <c r="J56" s="7"/>
      <c r="K56" s="7"/>
      <c r="L56" s="1"/>
      <c r="M56" s="7"/>
      <c r="N56" s="7"/>
      <c r="O56" s="7"/>
      <c r="P56" s="7"/>
      <c r="Q56" s="7"/>
      <c r="R56" s="7"/>
      <c r="S56" s="7"/>
      <c r="T56" s="7"/>
      <c r="U56" s="7"/>
      <c r="V56" s="7"/>
      <c r="W56" s="7"/>
      <c r="X56" s="7"/>
      <c r="Y56" s="7"/>
      <c r="Z56" s="7"/>
      <c r="AA56" s="8"/>
      <c r="AB56" s="8"/>
    </row>
    <row r="57" spans="1:28" x14ac:dyDescent="0.2">
      <c r="A57" s="1"/>
      <c r="B57" s="82" t="s">
        <v>115</v>
      </c>
      <c r="C57" s="45"/>
      <c r="D57" s="45"/>
      <c r="E57" s="45"/>
      <c r="F57" s="45"/>
      <c r="G57" s="45"/>
      <c r="H57" s="45"/>
      <c r="I57" s="7"/>
      <c r="J57" s="7"/>
      <c r="K57" s="7"/>
      <c r="L57" s="1"/>
      <c r="M57" s="7"/>
      <c r="N57" s="7"/>
      <c r="O57" s="7"/>
      <c r="P57" s="7"/>
      <c r="Q57" s="7"/>
      <c r="R57" s="7"/>
      <c r="S57" s="7"/>
      <c r="T57" s="7"/>
      <c r="U57" s="7"/>
      <c r="V57" s="7"/>
      <c r="W57" s="7"/>
      <c r="X57" s="7"/>
      <c r="Y57" s="7"/>
      <c r="Z57" s="7"/>
      <c r="AA57" s="8"/>
      <c r="AB57" s="8"/>
    </row>
    <row r="58" spans="1:28" ht="12" thickBot="1" x14ac:dyDescent="0.25">
      <c r="A58" s="1"/>
      <c r="B58" s="82" t="s">
        <v>116</v>
      </c>
      <c r="C58" s="45"/>
      <c r="D58" s="45"/>
      <c r="E58" s="45"/>
      <c r="F58" s="45"/>
      <c r="G58" s="45"/>
      <c r="H58" s="45"/>
      <c r="I58" s="7"/>
      <c r="J58" s="7"/>
      <c r="K58" s="7"/>
      <c r="L58" s="1"/>
      <c r="M58" s="7"/>
      <c r="N58" s="7"/>
      <c r="O58" s="7"/>
      <c r="P58" s="7"/>
      <c r="Q58" s="7"/>
      <c r="R58" s="7"/>
      <c r="S58" s="7"/>
      <c r="T58" s="7"/>
      <c r="U58" s="7"/>
      <c r="V58" s="7"/>
      <c r="W58" s="7"/>
      <c r="X58" s="7"/>
      <c r="Y58" s="7"/>
      <c r="Z58" s="7"/>
      <c r="AA58" s="8"/>
      <c r="AB58" s="8"/>
    </row>
    <row r="59" spans="1:28" x14ac:dyDescent="0.2">
      <c r="A59" s="1"/>
      <c r="B59" s="66" t="s">
        <v>60</v>
      </c>
      <c r="C59" s="67"/>
      <c r="D59" s="67"/>
      <c r="E59" s="67"/>
      <c r="F59" s="67"/>
      <c r="G59" s="67"/>
      <c r="H59" s="7"/>
      <c r="I59" s="7"/>
      <c r="J59" s="7"/>
      <c r="K59" s="7"/>
      <c r="L59" s="1"/>
      <c r="M59" s="7"/>
      <c r="N59" s="7"/>
      <c r="O59" s="7"/>
      <c r="P59" s="7"/>
      <c r="Q59" s="7"/>
      <c r="R59" s="7"/>
      <c r="S59" s="7"/>
      <c r="T59" s="7"/>
      <c r="U59" s="7"/>
      <c r="V59" s="7"/>
      <c r="W59" s="7"/>
      <c r="X59" s="7"/>
      <c r="Y59" s="7"/>
      <c r="Z59" s="7"/>
      <c r="AA59" s="8"/>
      <c r="AB59" s="8"/>
    </row>
    <row r="60" spans="1:28" ht="12" x14ac:dyDescent="0.25">
      <c r="A60" s="1"/>
      <c r="B60" s="1"/>
      <c r="C60" s="1"/>
      <c r="D60" s="1"/>
      <c r="E60" s="1"/>
      <c r="F60" s="1"/>
      <c r="G60" s="1"/>
      <c r="H60" s="7"/>
      <c r="I60" s="7"/>
      <c r="J60" s="1"/>
      <c r="K60" s="7"/>
      <c r="L60" s="10"/>
      <c r="M60" s="7"/>
      <c r="N60" s="7"/>
      <c r="O60" s="7"/>
      <c r="P60" s="7"/>
      <c r="Q60" s="7"/>
      <c r="R60" s="7"/>
      <c r="S60" s="7"/>
      <c r="T60" s="7"/>
      <c r="U60" s="7"/>
      <c r="V60" s="7"/>
      <c r="W60" s="7"/>
      <c r="X60" s="7"/>
      <c r="Y60" s="7"/>
      <c r="Z60" s="7"/>
      <c r="AA60" s="8"/>
      <c r="AB60" s="8"/>
    </row>
    <row r="61" spans="1:28" ht="12" x14ac:dyDescent="0.25">
      <c r="A61" s="1"/>
      <c r="B61" s="1"/>
      <c r="C61" s="1"/>
      <c r="D61" s="1"/>
      <c r="E61" s="1"/>
      <c r="F61" s="1"/>
      <c r="G61" s="1"/>
      <c r="H61" s="7"/>
      <c r="I61" s="1"/>
      <c r="J61" s="1"/>
      <c r="K61" s="7"/>
      <c r="L61" s="10"/>
      <c r="M61" s="7"/>
      <c r="N61" s="7"/>
      <c r="O61" s="7"/>
      <c r="P61" s="7"/>
      <c r="Q61" s="7"/>
      <c r="R61" s="7"/>
      <c r="S61" s="7"/>
      <c r="T61" s="7"/>
      <c r="U61" s="7"/>
      <c r="V61" s="7"/>
      <c r="W61" s="7"/>
      <c r="X61" s="7"/>
      <c r="Y61" s="7"/>
      <c r="Z61" s="7"/>
      <c r="AA61" s="8"/>
      <c r="AB61" s="8"/>
    </row>
    <row r="62" spans="1:28" ht="12" x14ac:dyDescent="0.25">
      <c r="A62" s="1"/>
      <c r="B62" s="1"/>
      <c r="C62" s="1"/>
      <c r="D62" s="1"/>
      <c r="E62" s="1"/>
      <c r="F62" s="1"/>
      <c r="G62" s="1"/>
      <c r="H62" s="7"/>
      <c r="I62" s="1"/>
      <c r="J62" s="1"/>
      <c r="K62" s="7"/>
      <c r="L62" s="10"/>
      <c r="M62" s="7"/>
      <c r="N62" s="7"/>
      <c r="O62" s="7"/>
      <c r="P62" s="7"/>
      <c r="Q62" s="7"/>
      <c r="R62" s="7"/>
      <c r="S62" s="7"/>
      <c r="T62" s="7"/>
      <c r="U62" s="7"/>
      <c r="V62" s="7"/>
      <c r="W62" s="7"/>
      <c r="X62" s="7"/>
      <c r="Y62" s="7"/>
      <c r="Z62" s="7"/>
      <c r="AA62" s="8"/>
      <c r="AB62" s="8"/>
    </row>
    <row r="63" spans="1:28" ht="12" x14ac:dyDescent="0.25">
      <c r="A63" s="1"/>
      <c r="B63" s="1"/>
      <c r="C63" s="1"/>
      <c r="D63" s="1"/>
      <c r="E63" s="1"/>
      <c r="F63" s="1"/>
      <c r="G63" s="1"/>
      <c r="H63" s="7"/>
      <c r="I63" s="1"/>
      <c r="J63" s="1"/>
      <c r="K63" s="7"/>
      <c r="L63" s="10"/>
      <c r="M63" s="7"/>
      <c r="N63" s="7"/>
      <c r="O63" s="7"/>
      <c r="P63" s="7"/>
      <c r="Q63" s="7"/>
      <c r="R63" s="7"/>
      <c r="S63" s="7"/>
      <c r="T63" s="7"/>
      <c r="U63" s="7"/>
      <c r="V63" s="7"/>
      <c r="W63" s="7"/>
      <c r="X63" s="7"/>
      <c r="Y63" s="7"/>
      <c r="Z63" s="7"/>
      <c r="AA63" s="8"/>
      <c r="AB63" s="8"/>
    </row>
    <row r="64" spans="1:28" ht="12" x14ac:dyDescent="0.25">
      <c r="A64" s="1"/>
      <c r="B64" s="1"/>
      <c r="C64" s="1"/>
      <c r="D64" s="1"/>
      <c r="E64" s="1"/>
      <c r="F64" s="1"/>
      <c r="G64" s="1"/>
      <c r="H64" s="7"/>
      <c r="I64" s="1"/>
      <c r="J64" s="1"/>
      <c r="K64" s="7"/>
      <c r="L64" s="10"/>
      <c r="M64" s="7"/>
      <c r="N64" s="7"/>
      <c r="O64" s="7"/>
      <c r="P64" s="7"/>
      <c r="Q64" s="7"/>
      <c r="R64" s="7"/>
      <c r="S64" s="7"/>
      <c r="T64" s="7"/>
      <c r="U64" s="7"/>
      <c r="V64" s="7"/>
      <c r="W64" s="7"/>
      <c r="X64" s="7"/>
      <c r="Y64" s="7"/>
      <c r="Z64" s="7"/>
      <c r="AA64" s="8"/>
      <c r="AB64" s="8"/>
    </row>
    <row r="65" spans="1:28" ht="12.6" thickBot="1" x14ac:dyDescent="0.3">
      <c r="A65" s="1"/>
      <c r="B65" s="70"/>
      <c r="C65" s="70"/>
      <c r="D65" s="70"/>
      <c r="E65" s="70"/>
      <c r="F65" s="70"/>
      <c r="G65" s="70"/>
      <c r="H65" s="7"/>
      <c r="I65" s="1"/>
      <c r="J65" s="1"/>
      <c r="K65" s="7"/>
      <c r="L65" s="10"/>
      <c r="M65" s="7"/>
      <c r="N65" s="7"/>
      <c r="O65" s="7"/>
      <c r="P65" s="7"/>
      <c r="Q65" s="7"/>
      <c r="R65" s="7"/>
      <c r="S65" s="7"/>
      <c r="T65" s="7"/>
      <c r="U65" s="7"/>
      <c r="V65" s="7"/>
      <c r="W65" s="7"/>
      <c r="X65" s="7"/>
      <c r="Y65" s="7"/>
      <c r="Z65" s="7"/>
      <c r="AA65" s="8"/>
      <c r="AB65" s="8"/>
    </row>
    <row r="66" spans="1:28" ht="12" x14ac:dyDescent="0.25">
      <c r="A66" s="1"/>
      <c r="B66" s="1"/>
      <c r="C66" s="1"/>
      <c r="D66" s="1"/>
      <c r="E66" s="1"/>
      <c r="F66" s="1"/>
      <c r="G66" s="1"/>
      <c r="H66" s="7"/>
      <c r="I66" s="1"/>
      <c r="J66" s="1"/>
      <c r="K66" s="7"/>
      <c r="L66" s="10"/>
      <c r="M66" s="7"/>
      <c r="N66" s="7"/>
      <c r="O66" s="7"/>
      <c r="P66" s="7"/>
      <c r="Q66" s="7"/>
      <c r="R66" s="7"/>
      <c r="S66" s="7"/>
      <c r="T66" s="7"/>
      <c r="U66" s="7"/>
      <c r="V66" s="7"/>
      <c r="W66" s="7"/>
      <c r="X66" s="7"/>
      <c r="Y66" s="7"/>
      <c r="Z66" s="7"/>
      <c r="AA66" s="8"/>
      <c r="AB66" s="8"/>
    </row>
    <row r="67" spans="1:28" ht="15.6" x14ac:dyDescent="0.3">
      <c r="A67" s="1"/>
      <c r="B67" s="63" t="s">
        <v>77</v>
      </c>
      <c r="C67" s="34"/>
      <c r="D67" s="34"/>
      <c r="E67" s="34"/>
      <c r="F67" s="34"/>
      <c r="G67" s="34"/>
      <c r="H67" s="7"/>
      <c r="I67" s="1"/>
      <c r="J67" s="1"/>
      <c r="K67" s="7"/>
      <c r="L67" s="10"/>
      <c r="M67" s="7"/>
      <c r="N67" s="7"/>
      <c r="O67" s="7"/>
      <c r="P67" s="7"/>
      <c r="Q67" s="7"/>
      <c r="R67" s="7"/>
      <c r="S67" s="7"/>
      <c r="T67" s="7"/>
      <c r="U67" s="7"/>
      <c r="V67" s="7"/>
      <c r="W67" s="7"/>
      <c r="X67" s="7"/>
      <c r="Y67" s="7"/>
      <c r="Z67" s="7"/>
      <c r="AA67" s="8"/>
      <c r="AB67" s="8"/>
    </row>
    <row r="68" spans="1:28" ht="12" x14ac:dyDescent="0.25">
      <c r="A68" s="1"/>
      <c r="B68" s="10"/>
      <c r="C68" s="10"/>
      <c r="D68" s="10"/>
      <c r="E68" s="10"/>
      <c r="F68" s="10"/>
      <c r="G68" s="10"/>
      <c r="H68" s="7"/>
      <c r="I68" s="1"/>
      <c r="J68" s="1"/>
      <c r="K68" s="7"/>
      <c r="L68" s="10"/>
      <c r="M68" s="7"/>
      <c r="N68" s="7"/>
      <c r="O68" s="7"/>
      <c r="P68" s="7"/>
      <c r="Q68" s="7"/>
      <c r="R68" s="7"/>
      <c r="S68" s="7"/>
      <c r="T68" s="7"/>
      <c r="U68" s="7"/>
      <c r="V68" s="7"/>
      <c r="W68" s="7"/>
      <c r="X68" s="7"/>
      <c r="Y68" s="7"/>
      <c r="Z68" s="7"/>
      <c r="AA68" s="8"/>
      <c r="AB68" s="8"/>
    </row>
    <row r="69" spans="1:28" ht="12" x14ac:dyDescent="0.25">
      <c r="A69" s="1"/>
      <c r="B69" s="10" t="s">
        <v>78</v>
      </c>
      <c r="C69" s="1"/>
      <c r="D69" s="1"/>
      <c r="E69" s="1"/>
      <c r="F69" s="1"/>
      <c r="G69" s="1"/>
      <c r="H69" s="7"/>
      <c r="I69" s="1"/>
      <c r="J69" s="1"/>
      <c r="K69" s="7"/>
      <c r="L69" s="10"/>
      <c r="M69" s="7"/>
      <c r="N69" s="7"/>
      <c r="O69" s="7"/>
      <c r="P69" s="7"/>
      <c r="Q69" s="7"/>
      <c r="R69" s="7"/>
      <c r="S69" s="7"/>
      <c r="T69" s="7"/>
      <c r="U69" s="7"/>
      <c r="V69" s="7"/>
      <c r="W69" s="7"/>
      <c r="X69" s="7"/>
      <c r="Y69" s="7"/>
      <c r="Z69" s="7"/>
      <c r="AA69" s="8"/>
      <c r="AB69" s="8"/>
    </row>
    <row r="70" spans="1:28" ht="12" x14ac:dyDescent="0.25">
      <c r="A70" s="1"/>
      <c r="B70" s="10"/>
      <c r="C70" s="1"/>
      <c r="D70" s="1"/>
      <c r="E70" s="1"/>
      <c r="F70" s="1"/>
      <c r="G70" s="1"/>
      <c r="H70" s="7"/>
      <c r="I70" s="1"/>
      <c r="J70" s="1"/>
      <c r="K70" s="7"/>
      <c r="L70" s="10"/>
      <c r="M70" s="7"/>
      <c r="N70" s="7"/>
      <c r="O70" s="7"/>
      <c r="P70" s="7"/>
      <c r="Q70" s="7"/>
      <c r="R70" s="7"/>
      <c r="S70" s="7"/>
      <c r="T70" s="7"/>
      <c r="U70" s="7"/>
      <c r="V70" s="7"/>
      <c r="W70" s="7"/>
      <c r="X70" s="7"/>
      <c r="Y70" s="7"/>
      <c r="Z70" s="7"/>
      <c r="AA70" s="8"/>
      <c r="AB70" s="8"/>
    </row>
    <row r="71" spans="1:28" ht="12" x14ac:dyDescent="0.25">
      <c r="A71" s="1"/>
      <c r="B71" s="1"/>
      <c r="C71" s="75" t="s">
        <v>80</v>
      </c>
      <c r="D71" s="1"/>
      <c r="E71" s="1"/>
      <c r="F71" s="1"/>
      <c r="G71" s="1"/>
      <c r="H71" s="7"/>
      <c r="I71" s="1"/>
      <c r="J71" s="1"/>
      <c r="K71" s="7"/>
      <c r="L71" s="10"/>
      <c r="M71" s="7"/>
      <c r="N71" s="7"/>
      <c r="O71" s="7"/>
      <c r="P71" s="7"/>
      <c r="Q71" s="7"/>
      <c r="R71" s="7"/>
      <c r="S71" s="7"/>
      <c r="T71" s="7"/>
      <c r="U71" s="7"/>
      <c r="V71" s="7"/>
      <c r="W71" s="7"/>
      <c r="X71" s="7"/>
      <c r="Y71" s="7"/>
      <c r="Z71" s="7"/>
      <c r="AA71" s="8"/>
      <c r="AB71" s="8"/>
    </row>
    <row r="72" spans="1:28" ht="12" x14ac:dyDescent="0.25">
      <c r="A72" s="1"/>
      <c r="B72" s="1"/>
      <c r="C72" s="1"/>
      <c r="D72" s="1"/>
      <c r="E72" s="1"/>
      <c r="F72" s="1"/>
      <c r="G72" s="1"/>
      <c r="H72" s="7"/>
      <c r="I72" s="1"/>
      <c r="J72" s="1"/>
      <c r="K72" s="7"/>
      <c r="L72" s="10"/>
      <c r="M72" s="7"/>
      <c r="N72" s="7"/>
      <c r="O72" s="7"/>
      <c r="P72" s="7"/>
      <c r="Q72" s="7"/>
      <c r="R72" s="7"/>
      <c r="S72" s="7"/>
      <c r="T72" s="7"/>
      <c r="U72" s="7"/>
      <c r="V72" s="7"/>
      <c r="W72" s="7"/>
      <c r="X72" s="7"/>
      <c r="Y72" s="7"/>
      <c r="Z72" s="7"/>
      <c r="AA72" s="8"/>
      <c r="AB72" s="8"/>
    </row>
    <row r="73" spans="1:28" ht="12" x14ac:dyDescent="0.25">
      <c r="A73" s="1"/>
      <c r="B73" s="1"/>
      <c r="C73" s="78" t="s">
        <v>82</v>
      </c>
      <c r="D73" s="1" t="s">
        <v>117</v>
      </c>
      <c r="E73" s="1"/>
      <c r="F73" s="1"/>
      <c r="G73" s="1"/>
      <c r="H73" s="7"/>
      <c r="I73" s="1"/>
      <c r="J73" s="1" t="s">
        <v>79</v>
      </c>
      <c r="K73" s="7"/>
      <c r="L73" s="10"/>
      <c r="M73" s="7"/>
      <c r="N73" s="7"/>
      <c r="O73" s="7"/>
      <c r="P73" s="7"/>
      <c r="Q73" s="7"/>
      <c r="R73" s="7"/>
      <c r="S73" s="7"/>
      <c r="T73" s="7"/>
      <c r="U73" s="7"/>
      <c r="V73" s="7"/>
      <c r="W73" s="7"/>
      <c r="X73" s="7"/>
      <c r="Y73" s="7"/>
      <c r="Z73" s="7"/>
      <c r="AA73" s="8"/>
      <c r="AB73" s="8"/>
    </row>
    <row r="74" spans="1:28" ht="12" x14ac:dyDescent="0.25">
      <c r="A74" s="1"/>
      <c r="B74" s="1"/>
      <c r="C74" s="78" t="s">
        <v>82</v>
      </c>
      <c r="D74" s="1" t="s">
        <v>118</v>
      </c>
      <c r="E74" s="1"/>
      <c r="F74" s="1"/>
      <c r="G74" s="1"/>
      <c r="H74" s="7"/>
      <c r="I74" s="1"/>
      <c r="J74" s="76" t="s">
        <v>81</v>
      </c>
      <c r="K74" s="7"/>
      <c r="L74" s="10"/>
      <c r="M74" s="7"/>
      <c r="N74" s="7"/>
      <c r="O74" s="7"/>
      <c r="P74" s="7"/>
      <c r="Q74" s="7"/>
      <c r="R74" s="7"/>
      <c r="S74" s="7"/>
      <c r="T74" s="7"/>
      <c r="U74" s="7"/>
      <c r="V74" s="7"/>
      <c r="W74" s="7"/>
      <c r="X74" s="7"/>
      <c r="Y74" s="7"/>
      <c r="Z74" s="7"/>
      <c r="AA74" s="8"/>
      <c r="AB74" s="8"/>
    </row>
    <row r="75" spans="1:28" ht="12" x14ac:dyDescent="0.25">
      <c r="A75" s="1"/>
      <c r="B75" s="1"/>
      <c r="C75" s="1"/>
      <c r="D75" s="1" t="s">
        <v>86</v>
      </c>
      <c r="E75" s="1"/>
      <c r="F75" s="1"/>
      <c r="G75" s="1"/>
      <c r="H75" s="7"/>
      <c r="I75" s="1"/>
      <c r="J75" s="77" t="s">
        <v>82</v>
      </c>
      <c r="K75" s="7"/>
      <c r="L75" s="10"/>
      <c r="M75" s="7"/>
      <c r="N75" s="7"/>
      <c r="O75" s="7"/>
      <c r="P75" s="7"/>
      <c r="Q75" s="7"/>
      <c r="R75" s="7"/>
      <c r="S75" s="7"/>
      <c r="T75" s="7"/>
      <c r="U75" s="7"/>
      <c r="V75" s="7"/>
      <c r="W75" s="7"/>
      <c r="X75" s="7"/>
      <c r="Y75" s="7"/>
      <c r="Z75" s="7"/>
      <c r="AA75" s="8"/>
      <c r="AB75" s="8"/>
    </row>
    <row r="76" spans="1:28" ht="12" x14ac:dyDescent="0.25">
      <c r="A76" s="1"/>
      <c r="B76" s="1"/>
      <c r="C76" s="1"/>
      <c r="D76" s="1" t="s">
        <v>88</v>
      </c>
      <c r="E76" s="1"/>
      <c r="F76" s="1"/>
      <c r="G76" s="1"/>
      <c r="H76" s="7"/>
      <c r="I76" s="1"/>
      <c r="J76" s="79" t="s">
        <v>84</v>
      </c>
      <c r="K76" s="7"/>
      <c r="L76" s="10"/>
      <c r="M76" s="7"/>
      <c r="N76" s="7"/>
      <c r="O76" s="7"/>
      <c r="P76" s="7"/>
      <c r="Q76" s="7"/>
      <c r="R76" s="7"/>
      <c r="S76" s="7"/>
      <c r="T76" s="7"/>
      <c r="U76" s="7"/>
      <c r="V76" s="7"/>
      <c r="W76" s="7"/>
      <c r="X76" s="7"/>
      <c r="Y76" s="7"/>
      <c r="Z76" s="7"/>
      <c r="AA76" s="8"/>
      <c r="AB76" s="8"/>
    </row>
    <row r="77" spans="1:28" ht="12" x14ac:dyDescent="0.25">
      <c r="A77" s="1"/>
      <c r="B77" s="1"/>
      <c r="C77" s="1"/>
      <c r="D77" s="1" t="s">
        <v>90</v>
      </c>
      <c r="E77" s="1"/>
      <c r="F77" s="1"/>
      <c r="G77" s="1"/>
      <c r="H77" s="7"/>
      <c r="I77" s="1"/>
      <c r="J77" s="1"/>
      <c r="K77" s="7"/>
      <c r="L77" s="10"/>
      <c r="M77" s="7"/>
      <c r="N77" s="7"/>
      <c r="O77" s="7"/>
      <c r="P77" s="7"/>
      <c r="Q77" s="7"/>
      <c r="R77" s="7"/>
      <c r="S77" s="7"/>
      <c r="T77" s="7"/>
      <c r="U77" s="7"/>
      <c r="V77" s="7"/>
      <c r="W77" s="7"/>
      <c r="X77" s="7"/>
      <c r="Y77" s="7"/>
      <c r="Z77" s="7"/>
      <c r="AA77" s="8"/>
      <c r="AB77" s="8"/>
    </row>
    <row r="78" spans="1:28" ht="12" x14ac:dyDescent="0.25">
      <c r="A78" s="1"/>
      <c r="B78" s="1"/>
      <c r="C78" s="78" t="s">
        <v>82</v>
      </c>
      <c r="D78" s="1" t="s">
        <v>92</v>
      </c>
      <c r="E78" s="1"/>
      <c r="F78" s="1"/>
      <c r="G78" s="1"/>
      <c r="H78" s="7"/>
      <c r="I78" s="1"/>
      <c r="J78" s="76" t="s">
        <v>87</v>
      </c>
      <c r="K78" s="7"/>
      <c r="L78" s="10"/>
      <c r="M78" s="7"/>
      <c r="N78" s="7"/>
      <c r="O78" s="7"/>
      <c r="P78" s="7"/>
      <c r="Q78" s="7"/>
      <c r="R78" s="7"/>
      <c r="S78" s="7"/>
      <c r="T78" s="7"/>
      <c r="U78" s="7"/>
      <c r="V78" s="7"/>
      <c r="W78" s="7"/>
      <c r="X78" s="7"/>
      <c r="Y78" s="7"/>
      <c r="Z78" s="7"/>
      <c r="AA78" s="8"/>
      <c r="AB78" s="8"/>
    </row>
    <row r="79" spans="1:28" ht="12" x14ac:dyDescent="0.25">
      <c r="A79" s="1"/>
      <c r="B79" s="1"/>
      <c r="C79" s="78" t="s">
        <v>82</v>
      </c>
      <c r="D79" s="1" t="s">
        <v>119</v>
      </c>
      <c r="E79" s="1"/>
      <c r="F79" s="1"/>
      <c r="G79" s="1"/>
      <c r="H79" s="7"/>
      <c r="I79" s="1"/>
      <c r="J79" s="77" t="s">
        <v>89</v>
      </c>
      <c r="K79" s="7"/>
      <c r="L79" s="10"/>
      <c r="M79" s="7"/>
      <c r="N79" s="7"/>
      <c r="O79" s="7"/>
      <c r="P79" s="7"/>
      <c r="Q79" s="7"/>
      <c r="R79" s="7"/>
      <c r="S79" s="7"/>
      <c r="T79" s="7"/>
      <c r="U79" s="7"/>
      <c r="V79" s="7"/>
      <c r="W79" s="7"/>
      <c r="X79" s="7"/>
      <c r="Y79" s="7"/>
      <c r="Z79" s="7"/>
      <c r="AA79" s="8"/>
      <c r="AB79" s="8"/>
    </row>
    <row r="80" spans="1:28" x14ac:dyDescent="0.2">
      <c r="A80" s="1"/>
      <c r="B80" s="1"/>
      <c r="C80" s="78" t="s">
        <v>82</v>
      </c>
      <c r="D80" s="1" t="s">
        <v>94</v>
      </c>
      <c r="E80" s="1"/>
      <c r="F80" s="1"/>
      <c r="G80" s="1"/>
      <c r="H80" s="7"/>
      <c r="I80" s="7"/>
      <c r="J80" s="77" t="s">
        <v>91</v>
      </c>
      <c r="K80" s="7"/>
      <c r="L80" s="7"/>
      <c r="M80" s="7"/>
      <c r="N80" s="7"/>
      <c r="O80" s="7"/>
      <c r="P80" s="7"/>
      <c r="Q80" s="7"/>
      <c r="R80" s="7"/>
      <c r="S80" s="7"/>
      <c r="T80" s="7"/>
      <c r="U80" s="7"/>
      <c r="V80" s="7"/>
      <c r="W80" s="7"/>
      <c r="X80" s="7"/>
      <c r="Y80" s="7"/>
      <c r="Z80" s="7"/>
      <c r="AA80" s="8"/>
      <c r="AB80" s="8"/>
    </row>
    <row r="81" spans="1:28" x14ac:dyDescent="0.2">
      <c r="A81" s="1"/>
      <c r="B81" s="1"/>
      <c r="C81" s="1"/>
      <c r="D81" s="1"/>
      <c r="E81" s="1"/>
      <c r="F81" s="1"/>
      <c r="G81" s="1"/>
      <c r="H81" s="7"/>
      <c r="I81" s="7"/>
      <c r="J81" s="79" t="s">
        <v>56</v>
      </c>
      <c r="K81" s="7"/>
      <c r="L81" s="7"/>
      <c r="M81" s="7"/>
      <c r="N81" s="7"/>
      <c r="O81" s="7"/>
      <c r="P81" s="7"/>
      <c r="Q81" s="7"/>
      <c r="R81" s="7"/>
      <c r="S81" s="7"/>
      <c r="T81" s="7"/>
      <c r="U81" s="7"/>
      <c r="V81" s="7"/>
      <c r="W81" s="7"/>
      <c r="X81" s="7"/>
      <c r="Y81" s="7"/>
      <c r="Z81" s="7"/>
      <c r="AA81" s="8"/>
      <c r="AB81" s="8"/>
    </row>
    <row r="82" spans="1:28" x14ac:dyDescent="0.2">
      <c r="A82" s="1"/>
      <c r="B82" s="1"/>
      <c r="C82" s="78" t="s">
        <v>82</v>
      </c>
      <c r="D82" s="1" t="s">
        <v>96</v>
      </c>
      <c r="F82" s="1"/>
      <c r="G82" s="1"/>
      <c r="H82" s="7"/>
      <c r="I82" s="7"/>
      <c r="J82" s="7"/>
      <c r="K82" s="7"/>
      <c r="L82" s="7"/>
      <c r="M82" s="7"/>
      <c r="N82" s="7"/>
      <c r="O82" s="7"/>
      <c r="P82" s="7"/>
      <c r="Q82" s="7"/>
      <c r="R82" s="7"/>
      <c r="S82" s="7"/>
      <c r="T82" s="7"/>
      <c r="U82" s="7"/>
      <c r="V82" s="7"/>
      <c r="W82" s="7"/>
      <c r="X82" s="7"/>
      <c r="Y82" s="7"/>
      <c r="Z82" s="7"/>
      <c r="AA82" s="8"/>
      <c r="AB82" s="8"/>
    </row>
    <row r="83" spans="1:28" x14ac:dyDescent="0.2">
      <c r="A83" s="1"/>
      <c r="B83" s="1"/>
      <c r="C83" s="1"/>
      <c r="D83" s="1"/>
      <c r="E83" s="1"/>
      <c r="F83" s="1"/>
      <c r="G83" s="1"/>
      <c r="H83" s="7"/>
      <c r="I83" s="7"/>
      <c r="J83" s="7"/>
      <c r="K83" s="7"/>
      <c r="L83" s="7"/>
      <c r="M83" s="7"/>
      <c r="N83" s="7"/>
      <c r="O83" s="7"/>
      <c r="P83" s="7"/>
      <c r="Q83" s="7"/>
      <c r="R83" s="7"/>
      <c r="S83" s="7"/>
      <c r="T83" s="7"/>
      <c r="U83" s="7"/>
      <c r="V83" s="7"/>
      <c r="W83" s="7"/>
      <c r="X83" s="7"/>
      <c r="Y83" s="7"/>
      <c r="Z83" s="7"/>
      <c r="AA83" s="8"/>
      <c r="AB83" s="8"/>
    </row>
    <row r="84" spans="1:28" x14ac:dyDescent="0.2">
      <c r="A84" s="1"/>
      <c r="B84" s="1"/>
      <c r="C84" s="1"/>
      <c r="D84" s="1"/>
      <c r="E84" s="1"/>
      <c r="F84" s="1"/>
      <c r="G84" s="1"/>
      <c r="H84" s="7"/>
      <c r="I84" s="7"/>
      <c r="J84" s="7"/>
      <c r="K84" s="7"/>
      <c r="L84" s="7"/>
      <c r="M84" s="7"/>
      <c r="N84" s="7"/>
      <c r="O84" s="7"/>
      <c r="P84" s="7"/>
      <c r="Q84" s="7"/>
      <c r="R84" s="7"/>
      <c r="S84" s="7"/>
      <c r="T84" s="7"/>
      <c r="U84" s="7"/>
      <c r="V84" s="7"/>
      <c r="W84" s="7"/>
      <c r="X84" s="7"/>
      <c r="Y84" s="7"/>
      <c r="Z84" s="7"/>
      <c r="AA84" s="8"/>
      <c r="AB84" s="8"/>
    </row>
    <row r="85" spans="1:28" ht="12" x14ac:dyDescent="0.25">
      <c r="A85" s="1"/>
      <c r="B85" s="10" t="s">
        <v>120</v>
      </c>
      <c r="C85" s="1"/>
      <c r="D85" s="1"/>
      <c r="E85" s="1"/>
      <c r="F85" s="1"/>
      <c r="G85" s="1"/>
      <c r="H85" s="7"/>
      <c r="I85" s="7"/>
      <c r="J85" s="7"/>
      <c r="K85" s="7"/>
      <c r="L85" s="7"/>
      <c r="M85" s="7"/>
      <c r="N85" s="7"/>
      <c r="O85" s="7"/>
      <c r="P85" s="7"/>
      <c r="Q85" s="7"/>
      <c r="R85" s="7"/>
      <c r="S85" s="7"/>
      <c r="T85" s="7"/>
      <c r="U85" s="7"/>
      <c r="V85" s="7"/>
      <c r="W85" s="7"/>
      <c r="X85" s="7"/>
      <c r="Y85" s="7"/>
      <c r="Z85" s="7"/>
      <c r="AA85" s="8"/>
      <c r="AB85" s="8"/>
    </row>
    <row r="86" spans="1:28" x14ac:dyDescent="0.2">
      <c r="A86" s="1"/>
      <c r="B86" s="1"/>
      <c r="C86" s="1"/>
      <c r="D86" s="1"/>
      <c r="E86" s="1"/>
      <c r="F86" s="1"/>
      <c r="G86" s="1"/>
      <c r="H86" s="7"/>
      <c r="I86" s="7"/>
      <c r="J86" s="7"/>
      <c r="K86" s="7"/>
      <c r="L86" s="7"/>
      <c r="M86" s="7"/>
      <c r="N86" s="7"/>
      <c r="O86" s="7"/>
      <c r="P86" s="7"/>
      <c r="Q86" s="7"/>
      <c r="R86" s="7"/>
      <c r="S86" s="7"/>
      <c r="T86" s="7"/>
      <c r="U86" s="7"/>
      <c r="V86" s="7"/>
      <c r="W86" s="7"/>
      <c r="X86" s="7"/>
      <c r="Y86" s="7"/>
      <c r="Z86" s="7"/>
      <c r="AA86" s="8"/>
      <c r="AB86" s="8"/>
    </row>
    <row r="87" spans="1:28" x14ac:dyDescent="0.2">
      <c r="A87" s="1"/>
      <c r="B87" s="1"/>
      <c r="C87" s="78" t="s">
        <v>82</v>
      </c>
      <c r="D87" s="1" t="s">
        <v>121</v>
      </c>
      <c r="E87" s="1"/>
      <c r="F87" s="1"/>
      <c r="G87" s="1"/>
      <c r="H87" s="7"/>
      <c r="I87" s="7"/>
      <c r="J87" s="7"/>
      <c r="K87" s="7"/>
      <c r="L87" s="7"/>
      <c r="M87" s="7"/>
      <c r="N87" s="7"/>
      <c r="O87" s="7"/>
      <c r="P87" s="7"/>
      <c r="Q87" s="7"/>
      <c r="R87" s="7"/>
      <c r="S87" s="7"/>
      <c r="T87" s="7"/>
      <c r="U87" s="7"/>
      <c r="V87" s="7"/>
      <c r="W87" s="7"/>
      <c r="X87" s="7"/>
      <c r="Y87" s="7"/>
      <c r="Z87" s="7"/>
      <c r="AA87" s="8"/>
      <c r="AB87" s="8"/>
    </row>
    <row r="88" spans="1:28" x14ac:dyDescent="0.2">
      <c r="A88" s="1"/>
      <c r="B88" s="1"/>
      <c r="C88" s="78" t="s">
        <v>82</v>
      </c>
      <c r="D88" s="1" t="s">
        <v>122</v>
      </c>
      <c r="E88" s="1"/>
      <c r="F88" s="1"/>
      <c r="G88" s="1"/>
      <c r="H88" s="7"/>
      <c r="I88" s="7"/>
      <c r="J88" s="7"/>
      <c r="K88" s="7"/>
      <c r="L88" s="7"/>
      <c r="M88" s="7"/>
      <c r="N88" s="7"/>
      <c r="O88" s="7"/>
      <c r="P88" s="7"/>
      <c r="Q88" s="7"/>
      <c r="R88" s="7"/>
      <c r="S88" s="7"/>
      <c r="T88" s="7"/>
      <c r="U88" s="7"/>
      <c r="V88" s="7"/>
      <c r="W88" s="7"/>
      <c r="X88" s="7"/>
      <c r="Y88" s="7"/>
      <c r="Z88" s="7"/>
      <c r="AA88" s="8"/>
      <c r="AB88" s="8"/>
    </row>
    <row r="89" spans="1:28" x14ac:dyDescent="0.2">
      <c r="A89" s="1"/>
      <c r="B89" s="1"/>
      <c r="C89" s="78" t="s">
        <v>82</v>
      </c>
      <c r="D89" s="1" t="s">
        <v>123</v>
      </c>
      <c r="E89" s="1"/>
      <c r="F89" s="1"/>
      <c r="G89" s="1"/>
      <c r="H89" s="7"/>
      <c r="I89" s="7"/>
      <c r="J89" s="7"/>
      <c r="K89" s="7"/>
      <c r="L89" s="7"/>
      <c r="M89" s="7"/>
      <c r="N89" s="7"/>
      <c r="O89" s="7"/>
      <c r="P89" s="7"/>
      <c r="Q89" s="7"/>
      <c r="R89" s="7"/>
      <c r="S89" s="7"/>
      <c r="T89" s="7"/>
      <c r="U89" s="7"/>
      <c r="V89" s="7"/>
      <c r="W89" s="7"/>
      <c r="X89" s="7"/>
      <c r="Y89" s="7"/>
      <c r="Z89" s="7"/>
      <c r="AA89" s="8"/>
      <c r="AB89" s="8"/>
    </row>
    <row r="90" spans="1:28" x14ac:dyDescent="0.2">
      <c r="A90" s="1"/>
      <c r="B90" s="1"/>
      <c r="C90" s="78" t="s">
        <v>82</v>
      </c>
      <c r="D90" s="1" t="s">
        <v>124</v>
      </c>
      <c r="E90" s="1"/>
      <c r="F90" s="1"/>
      <c r="G90" s="1"/>
      <c r="H90" s="7"/>
      <c r="I90" s="7"/>
      <c r="J90" s="7"/>
      <c r="K90" s="7"/>
      <c r="L90" s="7"/>
      <c r="M90" s="7"/>
      <c r="N90" s="7"/>
      <c r="O90" s="7"/>
      <c r="P90" s="7"/>
      <c r="Q90" s="7"/>
      <c r="R90" s="7"/>
      <c r="S90" s="7"/>
      <c r="T90" s="7"/>
      <c r="U90" s="7"/>
      <c r="V90" s="7"/>
      <c r="W90" s="7"/>
      <c r="X90" s="7"/>
      <c r="Y90" s="7"/>
      <c r="Z90" s="7"/>
      <c r="AA90" s="8"/>
      <c r="AB90" s="8"/>
    </row>
    <row r="91" spans="1:28" x14ac:dyDescent="0.2">
      <c r="A91" s="1"/>
      <c r="B91" s="1"/>
      <c r="C91" s="78" t="s">
        <v>82</v>
      </c>
      <c r="D91" s="1" t="s">
        <v>125</v>
      </c>
      <c r="E91" s="1"/>
      <c r="F91" s="1"/>
      <c r="G91" s="1"/>
      <c r="H91" s="7"/>
      <c r="I91" s="7"/>
      <c r="J91" s="7"/>
      <c r="K91" s="7"/>
      <c r="L91" s="7"/>
      <c r="M91" s="7"/>
      <c r="N91" s="7"/>
      <c r="O91" s="7"/>
      <c r="P91" s="7"/>
      <c r="Q91" s="7"/>
      <c r="R91" s="7"/>
      <c r="S91" s="7"/>
      <c r="T91" s="7"/>
      <c r="U91" s="7"/>
      <c r="V91" s="7"/>
      <c r="W91" s="7"/>
      <c r="X91" s="7"/>
      <c r="Y91" s="7"/>
      <c r="Z91" s="7"/>
      <c r="AA91" s="8"/>
      <c r="AB91" s="8"/>
    </row>
    <row r="92" spans="1:28" x14ac:dyDescent="0.2">
      <c r="A92" s="1"/>
      <c r="B92" s="1"/>
      <c r="C92" s="1"/>
      <c r="D92" s="1"/>
      <c r="E92" s="1"/>
      <c r="F92" s="1"/>
      <c r="G92" s="1"/>
      <c r="H92" s="7"/>
      <c r="I92" s="7"/>
      <c r="J92" s="7"/>
      <c r="K92" s="7"/>
      <c r="L92" s="7"/>
      <c r="M92" s="7"/>
      <c r="N92" s="7"/>
      <c r="O92" s="7"/>
      <c r="P92" s="7"/>
      <c r="Q92" s="7"/>
      <c r="R92" s="7"/>
      <c r="S92" s="7"/>
      <c r="T92" s="7"/>
      <c r="U92" s="7"/>
      <c r="V92" s="7"/>
      <c r="W92" s="7"/>
      <c r="X92" s="7"/>
      <c r="Y92" s="7"/>
      <c r="Z92" s="7"/>
      <c r="AA92" s="8"/>
      <c r="AB92" s="8"/>
    </row>
    <row r="93" spans="1:28" x14ac:dyDescent="0.2">
      <c r="A93" s="1"/>
      <c r="H93" s="7"/>
      <c r="I93" s="7"/>
      <c r="J93" s="7"/>
      <c r="K93" s="7"/>
      <c r="L93" s="7"/>
      <c r="M93" s="7"/>
      <c r="N93" s="7"/>
      <c r="O93" s="7"/>
      <c r="P93" s="7"/>
      <c r="Q93" s="7"/>
      <c r="R93" s="7"/>
      <c r="S93" s="7"/>
      <c r="T93" s="7"/>
      <c r="U93" s="7"/>
      <c r="V93" s="7"/>
      <c r="W93" s="7"/>
      <c r="X93" s="7"/>
      <c r="Y93" s="7"/>
      <c r="Z93" s="7"/>
      <c r="AA93" s="8"/>
      <c r="AB93" s="8"/>
    </row>
    <row r="94" spans="1:28" ht="15.6" x14ac:dyDescent="0.3">
      <c r="A94" s="1"/>
      <c r="B94" s="63" t="s">
        <v>109</v>
      </c>
      <c r="C94" s="34"/>
      <c r="D94" s="34"/>
      <c r="E94" s="34"/>
      <c r="F94" s="34"/>
      <c r="G94" s="34"/>
      <c r="H94" s="1"/>
      <c r="I94" s="1"/>
      <c r="J94" s="1"/>
      <c r="K94" s="1"/>
      <c r="L94" s="1"/>
      <c r="M94" s="1"/>
      <c r="N94" s="1"/>
      <c r="O94" s="1"/>
      <c r="P94" s="1"/>
      <c r="Q94" s="1"/>
      <c r="R94" s="1"/>
      <c r="S94" s="1"/>
      <c r="T94" s="1"/>
      <c r="U94" s="1"/>
      <c r="V94" s="1"/>
      <c r="W94" s="1"/>
      <c r="X94" s="1"/>
      <c r="Y94" s="1"/>
      <c r="Z94" s="1"/>
    </row>
    <row r="95" spans="1:28" ht="12" x14ac:dyDescent="0.25">
      <c r="A95" s="1"/>
      <c r="B95" s="10"/>
      <c r="C95" s="1"/>
      <c r="D95" s="1"/>
      <c r="E95" s="1"/>
      <c r="F95" s="1"/>
      <c r="G95" s="1"/>
      <c r="H95" s="1"/>
      <c r="I95" s="1"/>
      <c r="J95" s="1"/>
      <c r="K95" s="1"/>
      <c r="L95" s="1"/>
      <c r="M95" s="1"/>
      <c r="N95" s="1"/>
      <c r="O95" s="1"/>
      <c r="P95" s="1"/>
      <c r="Q95" s="1"/>
      <c r="R95" s="1"/>
      <c r="S95" s="1"/>
      <c r="T95" s="1"/>
      <c r="U95" s="1"/>
      <c r="V95" s="1"/>
      <c r="W95" s="1"/>
      <c r="X95" s="1"/>
      <c r="Y95" s="1"/>
      <c r="Z95" s="1"/>
    </row>
    <row r="96" spans="1:28" x14ac:dyDescent="0.2">
      <c r="A96" s="1"/>
      <c r="B96" s="1" t="s">
        <v>110</v>
      </c>
      <c r="C96" s="1"/>
      <c r="D96" s="1"/>
      <c r="E96" s="1"/>
      <c r="G96" s="1"/>
      <c r="H96" s="1"/>
      <c r="I96" s="1"/>
      <c r="J96" s="1"/>
      <c r="K96" s="1"/>
      <c r="L96" s="1"/>
      <c r="M96" s="1"/>
      <c r="N96" s="1"/>
      <c r="O96" s="1"/>
      <c r="P96" s="1"/>
      <c r="Q96" s="1"/>
      <c r="R96" s="1"/>
      <c r="S96" s="1"/>
      <c r="T96" s="1"/>
      <c r="U96" s="1"/>
      <c r="V96" s="1"/>
      <c r="W96" s="1"/>
      <c r="X96" s="1"/>
      <c r="Y96" s="1"/>
      <c r="Z96" s="1"/>
    </row>
    <row r="97" spans="1:26" x14ac:dyDescent="0.2">
      <c r="A97" s="1"/>
      <c r="B97" s="1" t="s">
        <v>111</v>
      </c>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6" x14ac:dyDescent="0.3">
      <c r="A100" s="1"/>
      <c r="B100" s="3"/>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600000000000001"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600000000000001" customHeight="1" x14ac:dyDescent="0.25">
      <c r="A102" s="1"/>
      <c r="B102" s="1"/>
      <c r="C102" s="1"/>
      <c r="D102" s="1"/>
      <c r="E102" s="83"/>
      <c r="F102" s="10"/>
      <c r="G102" s="1"/>
      <c r="H102" s="1"/>
      <c r="I102" s="1"/>
      <c r="J102" s="1"/>
      <c r="K102" s="1"/>
      <c r="L102" s="1"/>
      <c r="M102" s="1"/>
      <c r="N102" s="1"/>
      <c r="O102" s="1"/>
      <c r="P102" s="1"/>
      <c r="Q102" s="1"/>
      <c r="R102" s="1"/>
      <c r="S102" s="1"/>
      <c r="T102" s="1"/>
      <c r="U102" s="1"/>
      <c r="V102" s="1"/>
      <c r="W102" s="1"/>
      <c r="X102" s="1"/>
      <c r="Y102" s="1"/>
      <c r="Z102" s="1"/>
    </row>
    <row r="103" spans="1:26" ht="18.600000000000001"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sheetData>
  <dataValidations count="5">
    <dataValidation type="list" allowBlank="1" showInputMessage="1" showErrorMessage="1" sqref="C83:C84 C92 C86 C81" xr:uid="{8E0E95B9-2E47-47FA-B0A1-BC428B9D3F96}">
      <formula1>$J$64:$J$66</formula1>
    </dataValidation>
    <dataValidation type="list" allowBlank="1" showInputMessage="1" showErrorMessage="1" sqref="E103" xr:uid="{961C31A5-4DF5-42EB-93F4-7A8F9A090BE9}">
      <formula1>$J$61:$J$79</formula1>
    </dataValidation>
    <dataValidation type="list" allowBlank="1" showInputMessage="1" showErrorMessage="1" sqref="C78:C80 C82 C74" xr:uid="{59B61887-7934-4334-B272-3ABBDEC22870}">
      <formula1>No</formula1>
    </dataValidation>
    <dataValidation type="list" allowBlank="1" showInputMessage="1" showErrorMessage="1" sqref="C73 C87:C91" xr:uid="{4AED11B8-0E41-46FB-A04F-256A85763B6A}">
      <formula1>$J$74:$J$76</formula1>
    </dataValidation>
    <dataValidation type="list" allowBlank="1" showInputMessage="1" showErrorMessage="1" sqref="E10" xr:uid="{C17FED90-D0C3-40FE-BAC1-B4D56A0960BF}">
      <formula1>$J$78:$J$81</formula1>
    </dataValidation>
  </dataValidations>
  <pageMargins left="0.7" right="0.7" top="0.75" bottom="0.75" header="0.3" footer="0.3"/>
  <pageSetup scale="75"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1</xdr:col>
                    <xdr:colOff>198120</xdr:colOff>
                    <xdr:row>38</xdr:row>
                    <xdr:rowOff>68580</xdr:rowOff>
                  </from>
                  <to>
                    <xdr:col>3</xdr:col>
                    <xdr:colOff>1394460</xdr:colOff>
                    <xdr:row>40</xdr:row>
                    <xdr:rowOff>68580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1</xdr:col>
                    <xdr:colOff>198120</xdr:colOff>
                    <xdr:row>44</xdr:row>
                    <xdr:rowOff>137160</xdr:rowOff>
                  </from>
                  <to>
                    <xdr:col>3</xdr:col>
                    <xdr:colOff>1394460</xdr:colOff>
                    <xdr:row>46</xdr:row>
                    <xdr:rowOff>137160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1851660</xdr:colOff>
                    <xdr:row>38</xdr:row>
                    <xdr:rowOff>114300</xdr:rowOff>
                  </from>
                  <to>
                    <xdr:col>5</xdr:col>
                    <xdr:colOff>1127760</xdr:colOff>
                    <xdr:row>40</xdr:row>
                    <xdr:rowOff>114300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4</xdr:col>
                    <xdr:colOff>1874520</xdr:colOff>
                    <xdr:row>44</xdr:row>
                    <xdr:rowOff>137160</xdr:rowOff>
                  </from>
                  <to>
                    <xdr:col>5</xdr:col>
                    <xdr:colOff>1188720</xdr:colOff>
                    <xdr:row>46</xdr:row>
                    <xdr:rowOff>137160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2</xdr:col>
                    <xdr:colOff>0</xdr:colOff>
                    <xdr:row>24</xdr:row>
                    <xdr:rowOff>0</xdr:rowOff>
                  </from>
                  <to>
                    <xdr:col>4</xdr:col>
                    <xdr:colOff>121920</xdr:colOff>
                    <xdr:row>26</xdr:row>
                    <xdr:rowOff>22860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2</xdr:col>
                    <xdr:colOff>0</xdr:colOff>
                    <xdr:row>28</xdr:row>
                    <xdr:rowOff>0</xdr:rowOff>
                  </from>
                  <to>
                    <xdr:col>4</xdr:col>
                    <xdr:colOff>68580</xdr:colOff>
                    <xdr:row>30</xdr:row>
                    <xdr:rowOff>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0</xdr:colOff>
                    <xdr:row>30</xdr:row>
                    <xdr:rowOff>0</xdr:rowOff>
                  </from>
                  <to>
                    <xdr:col>4</xdr:col>
                    <xdr:colOff>68580</xdr:colOff>
                    <xdr:row>32</xdr:row>
                    <xdr:rowOff>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2</xdr:col>
                    <xdr:colOff>0</xdr:colOff>
                    <xdr:row>26</xdr:row>
                    <xdr:rowOff>7620</xdr:rowOff>
                  </from>
                  <to>
                    <xdr:col>4</xdr:col>
                    <xdr:colOff>137160</xdr:colOff>
                    <xdr:row>28</xdr:row>
                    <xdr:rowOff>7620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2</xdr:col>
                    <xdr:colOff>0</xdr:colOff>
                    <xdr:row>32</xdr:row>
                    <xdr:rowOff>0</xdr:rowOff>
                  </from>
                  <to>
                    <xdr:col>3</xdr:col>
                    <xdr:colOff>1021080</xdr:colOff>
                    <xdr:row>34</xdr:row>
                    <xdr:rowOff>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304800</xdr:colOff>
                    <xdr:row>40</xdr:row>
                    <xdr:rowOff>45720</xdr:rowOff>
                  </from>
                  <to>
                    <xdr:col>4</xdr:col>
                    <xdr:colOff>861060</xdr:colOff>
                    <xdr:row>42</xdr:row>
                    <xdr:rowOff>22860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2</xdr:col>
                    <xdr:colOff>297180</xdr:colOff>
                    <xdr:row>42</xdr:row>
                    <xdr:rowOff>22860</xdr:rowOff>
                  </from>
                  <to>
                    <xdr:col>4</xdr:col>
                    <xdr:colOff>723900</xdr:colOff>
                    <xdr:row>44</xdr:row>
                    <xdr:rowOff>45720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5</xdr:col>
                    <xdr:colOff>297180</xdr:colOff>
                    <xdr:row>42</xdr:row>
                    <xdr:rowOff>22860</xdr:rowOff>
                  </from>
                  <to>
                    <xdr:col>6</xdr:col>
                    <xdr:colOff>632460</xdr:colOff>
                    <xdr:row>43</xdr:row>
                    <xdr:rowOff>137160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5</xdr:col>
                    <xdr:colOff>297180</xdr:colOff>
                    <xdr:row>40</xdr:row>
                    <xdr:rowOff>45720</xdr:rowOff>
                  </from>
                  <to>
                    <xdr:col>5</xdr:col>
                    <xdr:colOff>2506980</xdr:colOff>
                    <xdr:row>41</xdr:row>
                    <xdr:rowOff>121920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2</xdr:col>
                    <xdr:colOff>304800</xdr:colOff>
                    <xdr:row>46</xdr:row>
                    <xdr:rowOff>68580</xdr:rowOff>
                  </from>
                  <to>
                    <xdr:col>4</xdr:col>
                    <xdr:colOff>716280</xdr:colOff>
                    <xdr:row>48</xdr:row>
                    <xdr:rowOff>68580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2</xdr:col>
                    <xdr:colOff>304800</xdr:colOff>
                    <xdr:row>48</xdr:row>
                    <xdr:rowOff>30480</xdr:rowOff>
                  </from>
                  <to>
                    <xdr:col>4</xdr:col>
                    <xdr:colOff>1089660</xdr:colOff>
                    <xdr:row>51</xdr:row>
                    <xdr:rowOff>68580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5</xdr:col>
                    <xdr:colOff>297180</xdr:colOff>
                    <xdr:row>46</xdr:row>
                    <xdr:rowOff>38100</xdr:rowOff>
                  </from>
                  <to>
                    <xdr:col>5</xdr:col>
                    <xdr:colOff>2788920</xdr:colOff>
                    <xdr:row>48</xdr:row>
                    <xdr:rowOff>76200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5</xdr:col>
                    <xdr:colOff>289560</xdr:colOff>
                    <xdr:row>48</xdr:row>
                    <xdr:rowOff>30480</xdr:rowOff>
                  </from>
                  <to>
                    <xdr:col>6</xdr:col>
                    <xdr:colOff>830580</xdr:colOff>
                    <xdr:row>50</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4CB6571C-4675-49E1-A726-6DD817A4344F}">
          <x14:formula1>
            <xm:f>'Building block QA scope'!$J$68:$J$70</xm:f>
          </x14:formula1>
          <xm:sqref>E11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G31"/>
  <sheetViews>
    <sheetView showGridLines="0" zoomScaleNormal="100" workbookViewId="0">
      <selection activeCell="C10" sqref="C10"/>
    </sheetView>
  </sheetViews>
  <sheetFormatPr defaultColWidth="9.125" defaultRowHeight="11.4" x14ac:dyDescent="0.2"/>
  <cols>
    <col min="1" max="1" width="4.125" customWidth="1"/>
    <col min="2" max="2" width="57" customWidth="1"/>
    <col min="3" max="3" width="15.25" customWidth="1"/>
    <col min="4" max="5" width="13" customWidth="1"/>
    <col min="6" max="6" width="40.625" customWidth="1"/>
  </cols>
  <sheetData>
    <row r="2" spans="2:7" ht="21" x14ac:dyDescent="0.4">
      <c r="B2" s="11" t="s">
        <v>126</v>
      </c>
    </row>
    <row r="4" spans="2:7" ht="13.8" x14ac:dyDescent="0.25">
      <c r="B4" s="12" t="s">
        <v>127</v>
      </c>
      <c r="C4" s="13"/>
      <c r="D4" s="13"/>
      <c r="E4" s="13"/>
      <c r="F4" s="13"/>
    </row>
    <row r="5" spans="2:7" ht="13.8" x14ac:dyDescent="0.25">
      <c r="B5" s="12" t="s">
        <v>128</v>
      </c>
      <c r="C5" s="13"/>
      <c r="D5" s="13"/>
      <c r="E5" s="13"/>
      <c r="F5" s="13"/>
    </row>
    <row r="6" spans="2:7" ht="13.8" x14ac:dyDescent="0.25">
      <c r="B6" s="12"/>
      <c r="C6" s="13"/>
      <c r="D6" s="13"/>
      <c r="E6" s="13"/>
      <c r="F6" s="13"/>
    </row>
    <row r="7" spans="2:7" ht="14.25" customHeight="1" x14ac:dyDescent="0.2">
      <c r="B7" s="14" t="s">
        <v>129</v>
      </c>
      <c r="C7" s="14"/>
      <c r="D7" s="14"/>
      <c r="E7" s="14"/>
      <c r="F7" s="14"/>
    </row>
    <row r="9" spans="2:7" ht="13.2" x14ac:dyDescent="0.25">
      <c r="B9" s="15" t="s">
        <v>130</v>
      </c>
      <c r="C9" s="16" t="s">
        <v>131</v>
      </c>
      <c r="D9" s="15" t="s">
        <v>132</v>
      </c>
      <c r="E9" s="16" t="s">
        <v>133</v>
      </c>
      <c r="F9" s="15" t="s">
        <v>134</v>
      </c>
      <c r="G9" s="17"/>
    </row>
    <row r="10" spans="2:7" ht="24" x14ac:dyDescent="0.25">
      <c r="B10" s="18" t="s">
        <v>135</v>
      </c>
      <c r="C10" s="19"/>
      <c r="D10" s="18"/>
      <c r="E10" s="19"/>
      <c r="F10" s="18"/>
      <c r="G10" s="17"/>
    </row>
    <row r="11" spans="2:7" ht="13.2" x14ac:dyDescent="0.25">
      <c r="B11" s="20"/>
      <c r="C11" s="5"/>
      <c r="D11" s="20"/>
      <c r="E11" s="5"/>
      <c r="F11" s="20"/>
      <c r="G11" s="21"/>
    </row>
    <row r="12" spans="2:7" ht="13.2" x14ac:dyDescent="0.25">
      <c r="B12" s="20"/>
      <c r="C12" s="5"/>
      <c r="D12" s="20"/>
      <c r="E12" s="5"/>
      <c r="F12" s="20"/>
      <c r="G12" s="21"/>
    </row>
    <row r="13" spans="2:7" ht="13.2" x14ac:dyDescent="0.25">
      <c r="B13" s="20"/>
      <c r="C13" s="5"/>
      <c r="D13" s="20"/>
      <c r="E13" s="5"/>
      <c r="F13" s="20"/>
      <c r="G13" s="21"/>
    </row>
    <row r="14" spans="2:7" ht="13.2" x14ac:dyDescent="0.25">
      <c r="B14" s="20"/>
      <c r="C14" s="5"/>
      <c r="D14" s="20"/>
      <c r="E14" s="5"/>
      <c r="F14" s="20"/>
      <c r="G14" s="21"/>
    </row>
    <row r="15" spans="2:7" ht="13.2" x14ac:dyDescent="0.25">
      <c r="B15" s="22" t="s">
        <v>136</v>
      </c>
      <c r="C15" s="23"/>
      <c r="D15" s="24"/>
      <c r="E15" s="23"/>
      <c r="F15" s="24"/>
      <c r="G15" s="21"/>
    </row>
    <row r="16" spans="2:7" ht="13.2" x14ac:dyDescent="0.25">
      <c r="B16" s="20"/>
      <c r="C16" s="5"/>
      <c r="D16" s="20"/>
      <c r="E16" s="5"/>
      <c r="F16" s="20"/>
      <c r="G16" s="21"/>
    </row>
    <row r="17" spans="2:7" ht="13.2" x14ac:dyDescent="0.25">
      <c r="B17" s="20"/>
      <c r="C17" s="5"/>
      <c r="D17" s="20"/>
      <c r="E17" s="5"/>
      <c r="F17" s="20"/>
      <c r="G17" s="21"/>
    </row>
    <row r="18" spans="2:7" ht="13.2" x14ac:dyDescent="0.25">
      <c r="B18" s="20"/>
      <c r="C18" s="5"/>
      <c r="D18" s="20"/>
      <c r="E18" s="5"/>
      <c r="F18" s="20"/>
      <c r="G18" s="21"/>
    </row>
    <row r="19" spans="2:7" ht="13.2" x14ac:dyDescent="0.25">
      <c r="B19" s="25"/>
      <c r="C19" s="26"/>
      <c r="D19" s="25"/>
      <c r="E19" s="26"/>
      <c r="F19" s="25"/>
      <c r="G19" s="21"/>
    </row>
    <row r="20" spans="2:7" ht="13.2" x14ac:dyDescent="0.25">
      <c r="B20" s="18" t="s">
        <v>137</v>
      </c>
      <c r="C20" s="5"/>
      <c r="D20" s="20"/>
      <c r="E20" s="5"/>
      <c r="F20" s="20"/>
      <c r="G20" s="21"/>
    </row>
    <row r="21" spans="2:7" ht="13.2" x14ac:dyDescent="0.25">
      <c r="B21" s="20"/>
      <c r="C21" s="5"/>
      <c r="D21" s="20"/>
      <c r="E21" s="5"/>
      <c r="F21" s="20"/>
      <c r="G21" s="21"/>
    </row>
    <row r="22" spans="2:7" ht="13.2" x14ac:dyDescent="0.25">
      <c r="B22" s="20"/>
      <c r="C22" s="5"/>
      <c r="D22" s="20"/>
      <c r="E22" s="5"/>
      <c r="F22" s="20"/>
      <c r="G22" s="21"/>
    </row>
    <row r="23" spans="2:7" ht="13.2" x14ac:dyDescent="0.25">
      <c r="B23" s="20"/>
      <c r="C23" s="5"/>
      <c r="D23" s="20"/>
      <c r="E23" s="5"/>
      <c r="F23" s="20"/>
      <c r="G23" s="21"/>
    </row>
    <row r="24" spans="2:7" ht="13.2" x14ac:dyDescent="0.25">
      <c r="B24" s="20"/>
      <c r="C24" s="5"/>
      <c r="D24" s="20"/>
      <c r="E24" s="5"/>
      <c r="F24" s="20"/>
      <c r="G24" s="21"/>
    </row>
    <row r="25" spans="2:7" ht="13.2" x14ac:dyDescent="0.25">
      <c r="B25" s="22" t="s">
        <v>138</v>
      </c>
      <c r="C25" s="23"/>
      <c r="D25" s="24"/>
      <c r="E25" s="23"/>
      <c r="F25" s="24"/>
      <c r="G25" s="21"/>
    </row>
    <row r="26" spans="2:7" ht="13.2" x14ac:dyDescent="0.25">
      <c r="B26" s="20"/>
      <c r="C26" s="5"/>
      <c r="D26" s="20"/>
      <c r="E26" s="5"/>
      <c r="F26" s="20"/>
      <c r="G26" s="21"/>
    </row>
    <row r="27" spans="2:7" ht="13.2" x14ac:dyDescent="0.25">
      <c r="B27" s="20"/>
      <c r="C27" s="5"/>
      <c r="D27" s="20"/>
      <c r="E27" s="5"/>
      <c r="F27" s="20"/>
      <c r="G27" s="21"/>
    </row>
    <row r="28" spans="2:7" ht="13.2" x14ac:dyDescent="0.25">
      <c r="B28" s="20"/>
      <c r="C28" s="5"/>
      <c r="D28" s="20"/>
      <c r="E28" s="5"/>
      <c r="F28" s="20"/>
      <c r="G28" s="21"/>
    </row>
    <row r="29" spans="2:7" ht="13.2" x14ac:dyDescent="0.25">
      <c r="B29" s="25"/>
      <c r="C29" s="26"/>
      <c r="D29" s="25"/>
      <c r="E29" s="26"/>
      <c r="F29" s="25"/>
      <c r="G29" s="21"/>
    </row>
    <row r="30" spans="2:7" ht="13.2" x14ac:dyDescent="0.25">
      <c r="G30" s="21"/>
    </row>
    <row r="31" spans="2:7" ht="12" x14ac:dyDescent="0.25">
      <c r="B31" s="27"/>
      <c r="C31" s="27"/>
      <c r="D31" s="27"/>
      <c r="E31" s="27"/>
    </row>
  </sheetData>
  <pageMargins left="0.7" right="0.7" top="0.75" bottom="0.75" header="0.3" footer="0.3"/>
  <pageSetup paperSize="9" orientation="landscape" horizontalDpi="200"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H99"/>
  <sheetViews>
    <sheetView showGridLines="0" tabSelected="1" zoomScaleNormal="100" workbookViewId="0"/>
  </sheetViews>
  <sheetFormatPr defaultColWidth="9.125" defaultRowHeight="11.4" x14ac:dyDescent="0.2"/>
  <cols>
    <col min="1" max="1" width="2.875" customWidth="1"/>
    <col min="2" max="2" width="5" customWidth="1"/>
    <col min="3" max="3" width="7.25" customWidth="1"/>
    <col min="4" max="4" width="139.75" customWidth="1"/>
  </cols>
  <sheetData>
    <row r="1" spans="2:8" x14ac:dyDescent="0.2">
      <c r="B1" t="s">
        <v>772</v>
      </c>
    </row>
    <row r="3" spans="2:8" ht="15.6" x14ac:dyDescent="0.3">
      <c r="B3" s="28" t="s">
        <v>771</v>
      </c>
      <c r="C3" s="28"/>
      <c r="D3" s="29"/>
    </row>
    <row r="4" spans="2:8" ht="6" customHeight="1" x14ac:dyDescent="0.2">
      <c r="B4" s="30"/>
      <c r="C4" s="30"/>
      <c r="D4" s="30"/>
      <c r="E4" s="31"/>
      <c r="F4" s="31"/>
      <c r="G4" s="31"/>
      <c r="H4" s="31"/>
    </row>
    <row r="5" spans="2:8" ht="15.75" customHeight="1" x14ac:dyDescent="0.2">
      <c r="B5" s="153" t="s">
        <v>850</v>
      </c>
      <c r="C5" s="30"/>
      <c r="D5" s="30"/>
      <c r="E5" s="31"/>
      <c r="F5" s="31"/>
      <c r="G5" s="31"/>
      <c r="H5" s="31"/>
    </row>
    <row r="6" spans="2:8" ht="10.95" customHeight="1" x14ac:dyDescent="0.2">
      <c r="B6" s="153"/>
      <c r="C6" s="30"/>
      <c r="D6" s="30"/>
      <c r="E6" s="31"/>
      <c r="F6" s="31"/>
      <c r="G6" s="31"/>
      <c r="H6" s="31"/>
    </row>
    <row r="7" spans="2:8" ht="12" x14ac:dyDescent="0.25">
      <c r="B7" s="27" t="s">
        <v>773</v>
      </c>
      <c r="C7" s="27"/>
      <c r="D7" s="32" t="s">
        <v>139</v>
      </c>
      <c r="E7" s="31"/>
      <c r="F7" s="31"/>
      <c r="G7" s="31"/>
      <c r="H7" s="31"/>
    </row>
    <row r="8" spans="2:8" x14ac:dyDescent="0.2">
      <c r="B8" t="s">
        <v>774</v>
      </c>
      <c r="D8" s="151" t="s">
        <v>140</v>
      </c>
      <c r="E8" s="31"/>
      <c r="F8" s="31"/>
      <c r="G8" s="31"/>
      <c r="H8" s="31"/>
    </row>
    <row r="10" spans="2:8" ht="13.8" x14ac:dyDescent="0.25">
      <c r="B10" s="33" t="s">
        <v>775</v>
      </c>
      <c r="C10" s="33"/>
      <c r="D10" s="34"/>
    </row>
    <row r="11" spans="2:8" ht="9.6" customHeight="1" x14ac:dyDescent="0.2"/>
    <row r="12" spans="2:8" ht="13.95" customHeight="1" x14ac:dyDescent="0.25">
      <c r="B12" s="6" t="s">
        <v>798</v>
      </c>
      <c r="C12" s="31"/>
      <c r="D12" s="31"/>
      <c r="E12" s="31"/>
      <c r="F12" s="31"/>
      <c r="G12" s="31"/>
      <c r="H12" s="31"/>
    </row>
    <row r="13" spans="2:8" ht="13.95" customHeight="1" x14ac:dyDescent="0.2">
      <c r="B13" s="267" t="s">
        <v>797</v>
      </c>
      <c r="C13" s="35"/>
      <c r="D13" s="31"/>
      <c r="E13" s="31"/>
      <c r="F13" s="31"/>
      <c r="G13" s="31"/>
      <c r="H13" s="31"/>
    </row>
    <row r="14" spans="2:8" ht="13.95" customHeight="1" x14ac:dyDescent="0.2">
      <c r="B14" s="268"/>
      <c r="C14" s="35"/>
      <c r="D14" s="31"/>
      <c r="E14" s="31"/>
      <c r="F14" s="31"/>
      <c r="G14" s="31"/>
      <c r="H14" s="31"/>
    </row>
    <row r="15" spans="2:8" ht="13.95" customHeight="1" x14ac:dyDescent="0.2">
      <c r="B15" s="6" t="s">
        <v>827</v>
      </c>
      <c r="C15" s="35"/>
      <c r="D15" s="31"/>
      <c r="E15" s="31"/>
      <c r="F15" s="31"/>
      <c r="G15" s="31"/>
      <c r="H15" s="31"/>
    </row>
    <row r="16" spans="2:8" ht="13.95" customHeight="1" x14ac:dyDescent="0.2">
      <c r="B16" s="6" t="s">
        <v>828</v>
      </c>
      <c r="C16" s="35"/>
      <c r="D16" s="31"/>
      <c r="E16" s="31"/>
      <c r="F16" s="31"/>
      <c r="G16" s="31"/>
      <c r="H16" s="31"/>
    </row>
    <row r="17" spans="2:8" ht="13.95" customHeight="1" x14ac:dyDescent="0.2">
      <c r="B17" s="6" t="s">
        <v>829</v>
      </c>
      <c r="C17" s="35"/>
      <c r="D17" s="31"/>
      <c r="E17" s="31"/>
      <c r="F17" s="31"/>
      <c r="G17" s="31"/>
      <c r="H17" s="31"/>
    </row>
    <row r="18" spans="2:8" ht="13.95" customHeight="1" x14ac:dyDescent="0.2">
      <c r="B18" s="270" t="s">
        <v>795</v>
      </c>
      <c r="C18" s="35"/>
      <c r="D18" s="31"/>
      <c r="E18" s="31"/>
      <c r="F18" s="31"/>
      <c r="G18" s="31"/>
      <c r="H18" s="31"/>
    </row>
    <row r="19" spans="2:8" ht="13.95" customHeight="1" x14ac:dyDescent="0.2">
      <c r="B19" s="270" t="s">
        <v>796</v>
      </c>
      <c r="C19" s="35"/>
      <c r="D19" s="31"/>
      <c r="E19" s="31"/>
      <c r="F19" s="31"/>
      <c r="G19" s="31"/>
      <c r="H19" s="31"/>
    </row>
    <row r="20" spans="2:8" ht="9.6" customHeight="1" x14ac:dyDescent="0.2">
      <c r="B20" s="35"/>
      <c r="C20" s="35"/>
      <c r="D20" s="31"/>
      <c r="E20" s="31"/>
      <c r="F20" s="31"/>
      <c r="G20" s="31"/>
      <c r="H20" s="31"/>
    </row>
    <row r="21" spans="2:8" ht="15" customHeight="1" x14ac:dyDescent="0.25">
      <c r="B21" s="33" t="s">
        <v>778</v>
      </c>
      <c r="C21" s="33"/>
      <c r="D21" s="36"/>
      <c r="E21" s="31"/>
      <c r="F21" s="31"/>
      <c r="G21" s="31"/>
      <c r="H21" s="31"/>
    </row>
    <row r="22" spans="2:8" ht="9.6" customHeight="1" x14ac:dyDescent="0.2">
      <c r="B22" s="35"/>
      <c r="C22" s="35"/>
      <c r="D22" s="31"/>
      <c r="E22" s="31"/>
      <c r="F22" s="31"/>
      <c r="G22" s="31"/>
      <c r="H22" s="31"/>
    </row>
    <row r="23" spans="2:8" ht="13.95" customHeight="1" x14ac:dyDescent="0.25">
      <c r="B23" s="269" t="s">
        <v>783</v>
      </c>
      <c r="C23" s="6" t="s">
        <v>791</v>
      </c>
      <c r="D23" s="6"/>
      <c r="E23" s="31"/>
      <c r="F23" s="31"/>
      <c r="G23" s="31"/>
      <c r="H23" s="31"/>
    </row>
    <row r="24" spans="2:8" ht="13.95" customHeight="1" x14ac:dyDescent="0.2">
      <c r="B24" s="269"/>
      <c r="C24" s="6" t="s">
        <v>792</v>
      </c>
      <c r="D24" s="6"/>
      <c r="E24" s="31"/>
      <c r="F24" s="31"/>
      <c r="G24" s="31"/>
      <c r="H24" s="31"/>
    </row>
    <row r="25" spans="2:8" ht="13.95" customHeight="1" x14ac:dyDescent="0.3">
      <c r="B25" s="268"/>
      <c r="C25" s="266" t="s">
        <v>784</v>
      </c>
      <c r="D25" s="6" t="s">
        <v>785</v>
      </c>
      <c r="E25" s="31"/>
      <c r="F25" s="31"/>
      <c r="G25" s="31"/>
      <c r="H25" s="31"/>
    </row>
    <row r="26" spans="2:8" ht="13.95" customHeight="1" x14ac:dyDescent="0.3">
      <c r="B26" s="269"/>
      <c r="C26" s="266" t="s">
        <v>784</v>
      </c>
      <c r="D26" s="6" t="s">
        <v>788</v>
      </c>
      <c r="E26" s="31"/>
      <c r="F26" s="31"/>
      <c r="G26" s="31"/>
      <c r="H26" s="31"/>
    </row>
    <row r="27" spans="2:8" ht="13.95" customHeight="1" x14ac:dyDescent="0.3">
      <c r="B27" s="268"/>
      <c r="C27" s="266" t="s">
        <v>784</v>
      </c>
      <c r="D27" s="6" t="s">
        <v>786</v>
      </c>
      <c r="E27" s="31"/>
      <c r="F27" s="31"/>
      <c r="G27" s="31"/>
      <c r="H27" s="31"/>
    </row>
    <row r="28" spans="2:8" ht="13.95" customHeight="1" x14ac:dyDescent="0.25">
      <c r="B28" s="268"/>
      <c r="C28" s="6" t="s">
        <v>793</v>
      </c>
      <c r="D28" s="6"/>
      <c r="E28" s="31"/>
      <c r="F28" s="31"/>
      <c r="G28" s="31"/>
      <c r="H28" s="31"/>
    </row>
    <row r="29" spans="2:8" ht="13.95" customHeight="1" x14ac:dyDescent="0.2">
      <c r="B29" s="268"/>
      <c r="C29" s="6" t="s">
        <v>794</v>
      </c>
      <c r="D29" s="6"/>
      <c r="E29" s="31"/>
      <c r="F29" s="31"/>
      <c r="G29" s="31"/>
      <c r="H29" s="31"/>
    </row>
    <row r="30" spans="2:8" ht="13.95" customHeight="1" x14ac:dyDescent="0.2">
      <c r="B30" s="268"/>
      <c r="C30" s="6"/>
      <c r="D30" s="6"/>
      <c r="E30" s="31"/>
      <c r="F30" s="31"/>
      <c r="G30" s="31"/>
      <c r="H30" s="31"/>
    </row>
    <row r="31" spans="2:8" ht="13.95" customHeight="1" x14ac:dyDescent="0.25">
      <c r="B31" s="269" t="s">
        <v>787</v>
      </c>
      <c r="C31" s="6" t="s">
        <v>860</v>
      </c>
      <c r="D31" s="6"/>
      <c r="E31" s="31"/>
      <c r="F31" s="31"/>
      <c r="G31" s="31"/>
      <c r="H31" s="31"/>
    </row>
    <row r="32" spans="2:8" ht="13.95" customHeight="1" x14ac:dyDescent="0.25">
      <c r="B32" s="269"/>
      <c r="C32" s="6" t="s">
        <v>861</v>
      </c>
      <c r="D32" s="6"/>
      <c r="E32" s="31"/>
      <c r="F32" s="31"/>
      <c r="G32" s="31"/>
      <c r="H32" s="31"/>
    </row>
    <row r="33" spans="2:8" ht="13.95" customHeight="1" x14ac:dyDescent="0.2">
      <c r="B33" s="269"/>
      <c r="C33" s="6" t="s">
        <v>862</v>
      </c>
      <c r="D33" s="6"/>
      <c r="E33" s="31"/>
      <c r="F33" s="31"/>
      <c r="G33" s="31"/>
      <c r="H33" s="31"/>
    </row>
    <row r="34" spans="2:8" ht="13.95" customHeight="1" x14ac:dyDescent="0.3">
      <c r="B34" s="268"/>
      <c r="C34" s="266"/>
      <c r="D34" s="6"/>
      <c r="E34" s="31"/>
      <c r="F34" s="31"/>
      <c r="G34" s="31"/>
      <c r="H34" s="31"/>
    </row>
    <row r="35" spans="2:8" ht="13.95" customHeight="1" x14ac:dyDescent="0.25">
      <c r="B35" s="269" t="s">
        <v>789</v>
      </c>
      <c r="C35" s="6" t="s">
        <v>842</v>
      </c>
      <c r="D35" s="6"/>
      <c r="E35" s="31"/>
      <c r="F35" s="31"/>
      <c r="G35" s="31"/>
      <c r="H35" s="31"/>
    </row>
    <row r="36" spans="2:8" ht="13.95" customHeight="1" x14ac:dyDescent="0.2">
      <c r="B36" s="268"/>
      <c r="C36" s="6" t="s">
        <v>843</v>
      </c>
      <c r="D36" s="6"/>
      <c r="E36" s="31"/>
      <c r="F36" s="31"/>
      <c r="G36" s="31"/>
      <c r="H36" s="31"/>
    </row>
    <row r="37" spans="2:8" ht="13.95" customHeight="1" x14ac:dyDescent="0.2">
      <c r="B37" s="268"/>
      <c r="C37" s="6"/>
      <c r="D37" s="6"/>
      <c r="E37" s="31"/>
      <c r="F37" s="31"/>
      <c r="G37" s="31"/>
      <c r="H37" s="31"/>
    </row>
    <row r="38" spans="2:8" ht="13.95" customHeight="1" x14ac:dyDescent="0.25">
      <c r="B38" s="269" t="s">
        <v>841</v>
      </c>
      <c r="C38" s="6" t="s">
        <v>790</v>
      </c>
      <c r="D38" s="6"/>
      <c r="E38" s="31"/>
      <c r="F38" s="31"/>
      <c r="G38" s="31"/>
      <c r="H38" s="31"/>
    </row>
    <row r="39" spans="2:8" ht="9.6" customHeight="1" x14ac:dyDescent="0.2">
      <c r="B39" s="35"/>
      <c r="C39" s="35"/>
      <c r="D39" s="31"/>
      <c r="E39" s="31"/>
      <c r="F39" s="31"/>
      <c r="G39" s="31"/>
      <c r="H39" s="31"/>
    </row>
    <row r="40" spans="2:8" ht="13.8" x14ac:dyDescent="0.25">
      <c r="B40" s="33" t="s">
        <v>776</v>
      </c>
      <c r="C40" s="33"/>
      <c r="D40" s="36"/>
    </row>
    <row r="41" spans="2:8" ht="9.6" customHeight="1" x14ac:dyDescent="0.2"/>
    <row r="42" spans="2:8" ht="13.95" customHeight="1" x14ac:dyDescent="0.25">
      <c r="B42" s="6" t="s">
        <v>803</v>
      </c>
      <c r="C42" s="35"/>
      <c r="D42" s="31"/>
      <c r="E42" s="31"/>
      <c r="F42" s="31"/>
      <c r="G42" s="31"/>
      <c r="H42" s="31"/>
    </row>
    <row r="43" spans="2:8" ht="13.95" customHeight="1" x14ac:dyDescent="0.25">
      <c r="B43" s="6" t="s">
        <v>804</v>
      </c>
      <c r="C43" s="35"/>
      <c r="D43" s="31"/>
      <c r="E43" s="31"/>
      <c r="F43" s="31"/>
      <c r="G43" s="31"/>
      <c r="H43" s="31"/>
    </row>
    <row r="44" spans="2:8" ht="9.6" customHeight="1" x14ac:dyDescent="0.2">
      <c r="B44" s="35"/>
      <c r="C44" s="35"/>
      <c r="D44" s="31"/>
      <c r="E44" s="31"/>
      <c r="F44" s="31"/>
      <c r="G44" s="31"/>
      <c r="H44" s="31"/>
    </row>
    <row r="45" spans="2:8" ht="15" customHeight="1" x14ac:dyDescent="0.25">
      <c r="B45" s="33" t="s">
        <v>777</v>
      </c>
      <c r="C45" s="33"/>
      <c r="D45" s="36"/>
      <c r="E45" s="31"/>
      <c r="F45" s="31"/>
      <c r="G45" s="31"/>
      <c r="H45" s="31"/>
    </row>
    <row r="46" spans="2:8" ht="9.6" customHeight="1" x14ac:dyDescent="0.2">
      <c r="C46" s="35"/>
      <c r="D46" s="31"/>
      <c r="E46" s="31"/>
      <c r="F46" s="31"/>
      <c r="G46" s="31"/>
      <c r="H46" s="31"/>
    </row>
    <row r="47" spans="2:8" ht="15" customHeight="1" x14ac:dyDescent="0.2">
      <c r="B47" s="6" t="s">
        <v>812</v>
      </c>
      <c r="C47" s="6"/>
      <c r="D47" s="6"/>
      <c r="E47" s="31"/>
      <c r="F47" s="31"/>
      <c r="G47" s="31"/>
      <c r="H47" s="31"/>
    </row>
    <row r="48" spans="2:8" ht="15" customHeight="1" x14ac:dyDescent="0.3">
      <c r="B48" s="266"/>
      <c r="C48" s="266" t="s">
        <v>784</v>
      </c>
      <c r="D48" s="6" t="s">
        <v>822</v>
      </c>
      <c r="E48" s="31"/>
      <c r="F48" s="31"/>
      <c r="G48" s="31"/>
      <c r="H48" s="31"/>
    </row>
    <row r="49" spans="2:8" ht="15" customHeight="1" x14ac:dyDescent="0.3">
      <c r="B49" s="266"/>
      <c r="C49" s="266" t="s">
        <v>784</v>
      </c>
      <c r="D49" s="6" t="s">
        <v>821</v>
      </c>
      <c r="E49" s="31"/>
      <c r="F49" s="31"/>
      <c r="G49" s="31"/>
      <c r="H49" s="31"/>
    </row>
    <row r="50" spans="2:8" ht="15" customHeight="1" thickBot="1" x14ac:dyDescent="0.25">
      <c r="B50" s="6"/>
      <c r="C50" s="6"/>
      <c r="D50" s="6"/>
      <c r="E50" s="31"/>
      <c r="F50" s="31"/>
      <c r="G50" s="31"/>
      <c r="H50" s="31"/>
    </row>
    <row r="51" spans="2:8" ht="15" customHeight="1" x14ac:dyDescent="0.25">
      <c r="B51" s="272" t="s">
        <v>811</v>
      </c>
      <c r="C51" s="273"/>
      <c r="D51" s="274"/>
      <c r="E51" s="31"/>
      <c r="F51" s="31"/>
      <c r="G51" s="31"/>
      <c r="H51" s="31"/>
    </row>
    <row r="52" spans="2:8" ht="15" customHeight="1" x14ac:dyDescent="0.25">
      <c r="B52" s="275"/>
      <c r="C52" s="287" t="s">
        <v>815</v>
      </c>
      <c r="D52" s="288"/>
      <c r="E52" s="31"/>
      <c r="F52" s="31"/>
      <c r="G52" s="31"/>
      <c r="H52" s="31"/>
    </row>
    <row r="53" spans="2:8" ht="15" customHeight="1" x14ac:dyDescent="0.25">
      <c r="B53" s="275"/>
      <c r="C53" s="289" t="s">
        <v>784</v>
      </c>
      <c r="D53" s="293" t="s">
        <v>817</v>
      </c>
      <c r="E53" s="31"/>
      <c r="F53" s="31"/>
      <c r="G53" s="31"/>
      <c r="H53" s="31"/>
    </row>
    <row r="54" spans="2:8" ht="15" customHeight="1" x14ac:dyDescent="0.25">
      <c r="B54" s="275"/>
      <c r="C54" s="289" t="s">
        <v>784</v>
      </c>
      <c r="D54" s="293" t="s">
        <v>863</v>
      </c>
      <c r="E54" s="31"/>
      <c r="F54" s="31"/>
      <c r="G54" s="31"/>
      <c r="H54" s="31"/>
    </row>
    <row r="55" spans="2:8" ht="15" customHeight="1" x14ac:dyDescent="0.25">
      <c r="B55" s="275"/>
      <c r="C55" s="289" t="s">
        <v>784</v>
      </c>
      <c r="D55" s="293" t="s">
        <v>844</v>
      </c>
      <c r="E55" s="31"/>
      <c r="F55" s="31"/>
      <c r="G55" s="31"/>
      <c r="H55" s="31"/>
    </row>
    <row r="56" spans="2:8" ht="15" customHeight="1" x14ac:dyDescent="0.25">
      <c r="B56" s="275"/>
      <c r="C56" s="289" t="s">
        <v>784</v>
      </c>
      <c r="D56" s="293" t="s">
        <v>864</v>
      </c>
      <c r="E56" s="31"/>
      <c r="F56" s="31"/>
      <c r="G56" s="31"/>
      <c r="H56" s="31"/>
    </row>
    <row r="57" spans="2:8" ht="15" customHeight="1" x14ac:dyDescent="0.25">
      <c r="B57" s="275"/>
      <c r="C57" s="289" t="s">
        <v>784</v>
      </c>
      <c r="D57" s="293" t="s">
        <v>848</v>
      </c>
      <c r="E57" s="31"/>
      <c r="F57" s="31"/>
      <c r="G57" s="31"/>
      <c r="H57" s="31"/>
    </row>
    <row r="58" spans="2:8" ht="11.4" customHeight="1" x14ac:dyDescent="0.25">
      <c r="B58" s="275"/>
      <c r="C58" s="289"/>
      <c r="D58" s="293" t="s">
        <v>849</v>
      </c>
      <c r="E58" s="31"/>
      <c r="F58" s="31"/>
      <c r="G58" s="31"/>
      <c r="H58" s="31"/>
    </row>
    <row r="59" spans="2:8" ht="15" customHeight="1" x14ac:dyDescent="0.25">
      <c r="B59" s="275"/>
      <c r="C59" s="292" t="s">
        <v>816</v>
      </c>
      <c r="D59" s="290"/>
      <c r="E59" s="31"/>
      <c r="F59" s="31"/>
      <c r="G59" s="31"/>
      <c r="H59" s="31"/>
    </row>
    <row r="60" spans="2:8" ht="15" customHeight="1" x14ac:dyDescent="0.25">
      <c r="B60" s="275"/>
      <c r="C60" s="294" t="s">
        <v>784</v>
      </c>
      <c r="D60" s="296" t="s">
        <v>819</v>
      </c>
      <c r="E60" s="31"/>
      <c r="F60" s="31"/>
      <c r="G60" s="31"/>
      <c r="H60" s="31"/>
    </row>
    <row r="61" spans="2:8" ht="11.4" customHeight="1" x14ac:dyDescent="0.2">
      <c r="B61" s="275"/>
      <c r="C61" s="294"/>
      <c r="D61" s="291" t="s">
        <v>818</v>
      </c>
      <c r="E61" s="31"/>
      <c r="F61" s="31"/>
      <c r="G61" s="31"/>
      <c r="H61" s="31"/>
    </row>
    <row r="62" spans="2:8" ht="15" customHeight="1" x14ac:dyDescent="0.25">
      <c r="B62" s="275"/>
      <c r="C62" s="294" t="s">
        <v>784</v>
      </c>
      <c r="D62" s="297" t="s">
        <v>820</v>
      </c>
      <c r="E62" s="31"/>
      <c r="F62" s="31"/>
      <c r="G62" s="31"/>
      <c r="H62" s="31"/>
    </row>
    <row r="63" spans="2:8" ht="11.4" customHeight="1" x14ac:dyDescent="0.2">
      <c r="B63" s="275"/>
      <c r="C63" s="294"/>
      <c r="D63" s="295" t="s">
        <v>823</v>
      </c>
      <c r="E63" s="31"/>
      <c r="F63" s="31"/>
      <c r="G63" s="31"/>
      <c r="H63" s="31"/>
    </row>
    <row r="64" spans="2:8" ht="13.95" customHeight="1" x14ac:dyDescent="0.2">
      <c r="B64" s="275"/>
      <c r="C64" s="294" t="s">
        <v>784</v>
      </c>
      <c r="D64" s="295" t="s">
        <v>845</v>
      </c>
      <c r="E64" s="31"/>
      <c r="F64" s="31"/>
      <c r="G64" s="31"/>
      <c r="H64" s="31"/>
    </row>
    <row r="65" spans="2:8" ht="13.95" customHeight="1" x14ac:dyDescent="0.2">
      <c r="B65" s="275"/>
      <c r="C65" s="294" t="s">
        <v>784</v>
      </c>
      <c r="D65" s="295" t="s">
        <v>846</v>
      </c>
      <c r="E65" s="31"/>
      <c r="F65" s="31"/>
      <c r="G65" s="31"/>
      <c r="H65" s="31"/>
    </row>
    <row r="66" spans="2:8" ht="11.4" customHeight="1" x14ac:dyDescent="0.2">
      <c r="B66" s="275"/>
      <c r="C66" s="294"/>
      <c r="D66" s="295" t="s">
        <v>847</v>
      </c>
      <c r="E66" s="31"/>
      <c r="F66" s="31"/>
      <c r="G66" s="31"/>
      <c r="H66" s="31"/>
    </row>
    <row r="67" spans="2:8" ht="15" customHeight="1" thickBot="1" x14ac:dyDescent="0.25">
      <c r="B67" s="277"/>
      <c r="C67" s="278"/>
      <c r="D67" s="279"/>
      <c r="E67" s="31"/>
      <c r="F67" s="31"/>
      <c r="G67" s="31"/>
      <c r="H67" s="31"/>
    </row>
    <row r="68" spans="2:8" ht="15" customHeight="1" thickBot="1" x14ac:dyDescent="0.3">
      <c r="B68" s="280"/>
      <c r="C68" s="30"/>
      <c r="D68" s="281"/>
      <c r="E68" s="31"/>
      <c r="F68" s="31"/>
      <c r="G68" s="31"/>
      <c r="H68" s="31"/>
    </row>
    <row r="69" spans="2:8" ht="15" customHeight="1" x14ac:dyDescent="0.25">
      <c r="B69" s="272" t="s">
        <v>825</v>
      </c>
      <c r="C69" s="282"/>
      <c r="D69" s="283"/>
      <c r="E69" s="31"/>
      <c r="F69" s="31"/>
      <c r="G69" s="31"/>
      <c r="H69" s="31"/>
    </row>
    <row r="70" spans="2:8" ht="15" customHeight="1" x14ac:dyDescent="0.3">
      <c r="B70" s="284"/>
      <c r="C70" s="266" t="s">
        <v>784</v>
      </c>
      <c r="D70" s="276" t="s">
        <v>824</v>
      </c>
      <c r="E70" s="31"/>
      <c r="F70" s="31"/>
      <c r="G70" s="31"/>
      <c r="H70" s="31"/>
    </row>
    <row r="71" spans="2:8" ht="15" customHeight="1" x14ac:dyDescent="0.3">
      <c r="B71" s="275"/>
      <c r="C71" s="266" t="s">
        <v>784</v>
      </c>
      <c r="D71" s="276" t="s">
        <v>813</v>
      </c>
      <c r="E71" s="31"/>
      <c r="F71" s="31"/>
      <c r="G71" s="31"/>
      <c r="H71" s="31"/>
    </row>
    <row r="72" spans="2:8" ht="15" customHeight="1" x14ac:dyDescent="0.3">
      <c r="B72" s="275"/>
      <c r="C72" s="266" t="s">
        <v>784</v>
      </c>
      <c r="D72" s="276" t="s">
        <v>814</v>
      </c>
      <c r="E72" s="31"/>
      <c r="F72" s="31"/>
      <c r="G72" s="31"/>
      <c r="H72" s="31"/>
    </row>
    <row r="73" spans="2:8" ht="15" customHeight="1" thickBot="1" x14ac:dyDescent="0.25">
      <c r="B73" s="277"/>
      <c r="C73" s="285"/>
      <c r="D73" s="286"/>
      <c r="E73" s="31"/>
      <c r="F73" s="31"/>
      <c r="G73" s="31"/>
      <c r="H73" s="31"/>
    </row>
    <row r="74" spans="2:8" ht="9.6" customHeight="1" x14ac:dyDescent="0.2">
      <c r="B74" s="35"/>
      <c r="C74" s="35"/>
      <c r="D74" s="31"/>
      <c r="E74" s="31"/>
      <c r="F74" s="31"/>
      <c r="G74" s="31"/>
      <c r="H74" s="31"/>
    </row>
    <row r="75" spans="2:8" ht="15" customHeight="1" x14ac:dyDescent="0.25">
      <c r="B75" s="33" t="s">
        <v>780</v>
      </c>
      <c r="C75" s="33"/>
      <c r="D75" s="36"/>
      <c r="E75" s="31"/>
      <c r="F75" s="31"/>
      <c r="G75" s="31"/>
      <c r="H75" s="31"/>
    </row>
    <row r="76" spans="2:8" ht="9.6" customHeight="1" x14ac:dyDescent="0.2">
      <c r="B76" s="35"/>
      <c r="C76" s="35"/>
      <c r="D76" s="31"/>
      <c r="E76" s="31"/>
      <c r="F76" s="31"/>
      <c r="G76" s="31"/>
      <c r="H76" s="31"/>
    </row>
    <row r="77" spans="2:8" ht="13.95" customHeight="1" x14ac:dyDescent="0.25">
      <c r="B77" s="271" t="s">
        <v>805</v>
      </c>
      <c r="C77" s="35"/>
      <c r="D77" s="31"/>
      <c r="E77" s="31"/>
      <c r="F77" s="31"/>
      <c r="G77" s="31"/>
      <c r="H77" s="31"/>
    </row>
    <row r="78" spans="2:8" ht="13.95" customHeight="1" x14ac:dyDescent="0.2">
      <c r="B78" s="6" t="s">
        <v>800</v>
      </c>
      <c r="C78" s="35"/>
      <c r="D78" s="31"/>
      <c r="E78" s="31"/>
      <c r="F78" s="31"/>
      <c r="G78" s="31"/>
      <c r="H78" s="31"/>
    </row>
    <row r="79" spans="2:8" ht="13.95" customHeight="1" x14ac:dyDescent="0.25">
      <c r="B79" s="6" t="s">
        <v>801</v>
      </c>
      <c r="C79" s="35"/>
      <c r="D79" s="31"/>
      <c r="E79" s="31"/>
      <c r="F79" s="31"/>
      <c r="G79" s="31"/>
      <c r="H79" s="31"/>
    </row>
    <row r="80" spans="2:8" ht="13.95" customHeight="1" x14ac:dyDescent="0.25">
      <c r="B80" t="s">
        <v>802</v>
      </c>
      <c r="C80" s="35"/>
      <c r="D80" s="31"/>
      <c r="E80" s="31"/>
      <c r="F80" s="31"/>
      <c r="G80" s="31"/>
      <c r="H80" s="31"/>
    </row>
    <row r="81" spans="2:8" ht="13.95" customHeight="1" x14ac:dyDescent="0.2">
      <c r="B81" s="6" t="s">
        <v>799</v>
      </c>
      <c r="C81" s="35"/>
      <c r="D81" s="31"/>
      <c r="E81" s="31"/>
      <c r="F81" s="31"/>
      <c r="G81" s="31"/>
      <c r="H81" s="31"/>
    </row>
    <row r="82" spans="2:8" ht="13.95" customHeight="1" x14ac:dyDescent="0.2">
      <c r="B82" s="6"/>
      <c r="C82" s="35"/>
      <c r="D82" s="31"/>
      <c r="E82" s="31"/>
      <c r="F82" s="31"/>
      <c r="G82" s="31"/>
      <c r="H82" s="31"/>
    </row>
    <row r="83" spans="2:8" ht="13.95" customHeight="1" x14ac:dyDescent="0.25">
      <c r="B83" s="271" t="s">
        <v>807</v>
      </c>
      <c r="C83" s="35"/>
      <c r="D83" s="31"/>
      <c r="E83" s="31"/>
      <c r="F83" s="31"/>
      <c r="G83" s="31"/>
      <c r="H83" s="31"/>
    </row>
    <row r="84" spans="2:8" ht="13.95" customHeight="1" x14ac:dyDescent="0.2">
      <c r="B84" s="6" t="s">
        <v>806</v>
      </c>
      <c r="C84" s="35"/>
      <c r="D84" s="31"/>
      <c r="E84" s="31"/>
      <c r="F84" s="31"/>
      <c r="G84" s="31"/>
      <c r="H84" s="31"/>
    </row>
    <row r="85" spans="2:8" ht="13.95" customHeight="1" x14ac:dyDescent="0.2">
      <c r="B85" s="6" t="s">
        <v>808</v>
      </c>
      <c r="C85" s="35"/>
      <c r="D85" s="31"/>
      <c r="E85" s="31"/>
      <c r="F85" s="31"/>
      <c r="G85" s="31"/>
      <c r="H85" s="31"/>
    </row>
    <row r="86" spans="2:8" ht="13.95" customHeight="1" x14ac:dyDescent="0.2">
      <c r="B86" s="270" t="s">
        <v>809</v>
      </c>
      <c r="C86" s="35"/>
      <c r="D86" s="31"/>
      <c r="E86" s="31"/>
      <c r="F86" s="31"/>
      <c r="G86" s="31"/>
      <c r="H86" s="31"/>
    </row>
    <row r="87" spans="2:8" ht="13.95" customHeight="1" x14ac:dyDescent="0.2">
      <c r="B87" s="270"/>
      <c r="C87" s="35"/>
      <c r="D87" s="31"/>
      <c r="E87" s="31"/>
      <c r="F87" s="31"/>
      <c r="G87" s="31"/>
      <c r="H87" s="31"/>
    </row>
    <row r="88" spans="2:8" ht="13.95" customHeight="1" x14ac:dyDescent="0.2">
      <c r="B88" s="6" t="s">
        <v>830</v>
      </c>
      <c r="C88" s="35"/>
      <c r="D88" s="31"/>
      <c r="E88" s="31"/>
      <c r="F88" s="31"/>
      <c r="G88" s="31"/>
      <c r="H88" s="31"/>
    </row>
    <row r="89" spans="2:8" ht="13.95" customHeight="1" x14ac:dyDescent="0.2">
      <c r="B89" s="6" t="s">
        <v>831</v>
      </c>
      <c r="C89" s="35"/>
      <c r="D89" s="31"/>
      <c r="E89" s="31"/>
      <c r="F89" s="31"/>
      <c r="G89" s="31"/>
      <c r="H89" s="31"/>
    </row>
    <row r="90" spans="2:8" ht="13.95" customHeight="1" x14ac:dyDescent="0.2">
      <c r="B90" s="270" t="s">
        <v>810</v>
      </c>
      <c r="C90" s="35"/>
      <c r="D90" s="31"/>
      <c r="E90" s="31"/>
      <c r="F90" s="31"/>
      <c r="G90" s="31"/>
      <c r="H90" s="31"/>
    </row>
    <row r="91" spans="2:8" ht="9.6" customHeight="1" x14ac:dyDescent="0.2">
      <c r="B91" s="35"/>
      <c r="C91" s="35"/>
      <c r="D91" s="31"/>
      <c r="E91" s="31"/>
      <c r="F91" s="31"/>
      <c r="G91" s="31"/>
      <c r="H91" s="31"/>
    </row>
    <row r="92" spans="2:8" ht="15" customHeight="1" x14ac:dyDescent="0.25">
      <c r="B92" s="33" t="s">
        <v>779</v>
      </c>
      <c r="C92" s="33"/>
      <c r="D92" s="36"/>
      <c r="E92" s="31"/>
      <c r="F92" s="31"/>
      <c r="G92" s="31"/>
      <c r="H92" s="31"/>
    </row>
    <row r="93" spans="2:8" ht="15" customHeight="1" x14ac:dyDescent="0.2">
      <c r="B93" s="6" t="s">
        <v>141</v>
      </c>
      <c r="C93" s="6"/>
      <c r="D93" s="31"/>
      <c r="E93" s="31"/>
      <c r="F93" s="31"/>
      <c r="G93" s="31"/>
      <c r="H93" s="31"/>
    </row>
    <row r="94" spans="2:8" ht="15" customHeight="1" x14ac:dyDescent="0.2">
      <c r="B94" s="37" t="s">
        <v>142</v>
      </c>
      <c r="C94" s="37"/>
      <c r="D94" s="37"/>
      <c r="E94" s="31"/>
      <c r="F94" s="31"/>
      <c r="G94" s="31"/>
      <c r="H94" s="31"/>
    </row>
    <row r="95" spans="2:8" ht="15" customHeight="1" x14ac:dyDescent="0.2">
      <c r="B95" s="47" t="s">
        <v>143</v>
      </c>
      <c r="C95" s="38"/>
      <c r="D95" s="38"/>
      <c r="E95" s="31"/>
      <c r="F95" s="31"/>
      <c r="G95" s="31"/>
      <c r="H95" s="31"/>
    </row>
    <row r="96" spans="2:8" ht="15" customHeight="1" x14ac:dyDescent="0.25">
      <c r="B96" s="39" t="s">
        <v>11</v>
      </c>
      <c r="C96" s="39"/>
      <c r="D96" s="39"/>
      <c r="E96" s="31"/>
      <c r="F96" s="31"/>
      <c r="G96" s="31"/>
      <c r="H96" s="31"/>
    </row>
    <row r="97" spans="2:8" ht="15" customHeight="1" x14ac:dyDescent="0.2">
      <c r="B97" s="40" t="s">
        <v>144</v>
      </c>
      <c r="C97" s="40"/>
      <c r="D97" s="41"/>
      <c r="E97" s="31"/>
      <c r="F97" s="31"/>
      <c r="G97" s="31"/>
      <c r="H97" s="31"/>
    </row>
    <row r="98" spans="2:8" ht="15" customHeight="1" x14ac:dyDescent="0.2">
      <c r="B98" s="35"/>
      <c r="C98" s="35"/>
      <c r="D98" s="31"/>
      <c r="E98" s="31"/>
      <c r="F98" s="31"/>
      <c r="G98" s="31"/>
      <c r="H98" s="31"/>
    </row>
    <row r="99" spans="2:8" x14ac:dyDescent="0.2">
      <c r="B99" s="35"/>
      <c r="C99" s="35"/>
      <c r="D99" s="31"/>
      <c r="E99" s="31"/>
      <c r="F99" s="31"/>
      <c r="G99" s="31"/>
      <c r="H99" s="31"/>
    </row>
  </sheetData>
  <sheetProtection algorithmName="SHA-512" hashValue="Cl3EEjM/TMtckSBAx3ljoCA6caY1fj1PmrtvUFQVkfnm5jssZ1UqmZstwZUTbfvnWkSN9FqffnKsznMVLxfJuQ==" saltValue="Yj0/k+BAmBNn47/kyzt0vQ==" spinCount="100000" sheet="1" objects="1" scenarios="1"/>
  <hyperlinks>
    <hyperlink ref="D8" r:id="rId1" xr:uid="{1427370A-BC31-49F7-BA15-8C4932644534}"/>
    <hyperlink ref="B13" r:id="rId2" xr:uid="{EF6B4F34-D66A-4ABB-9BD0-5917BE587EED}"/>
    <hyperlink ref="B18" r:id="rId3" xr:uid="{358D6332-5B6D-45E1-9083-8A3DF5E62FAD}"/>
    <hyperlink ref="B19" r:id="rId4" xr:uid="{AA2A235D-192E-4C03-86EA-4438A2D80AF0}"/>
    <hyperlink ref="B90" r:id="rId5" xr:uid="{31EBADB0-672D-40C2-98A9-35CAD83CE388}"/>
    <hyperlink ref="B86" r:id="rId6" xr:uid="{39388403-9138-4335-9705-31D94D000D16}"/>
  </hyperlinks>
  <pageMargins left="0.7" right="0.7" top="0.75" bottom="0.75" header="0.3" footer="0.3"/>
  <pageSetup paperSize="9" scale="94" orientation="landscape" horizontalDpi="200" verticalDpi="200" r:id="rId7"/>
  <ignoredErrors>
    <ignoredError sqref="B2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4D32A-56C8-48E0-94DB-34CC1EEFA384}">
  <sheetPr codeName="Sheet16">
    <tabColor rgb="FF002C7D"/>
  </sheetPr>
  <dimension ref="D3:M44"/>
  <sheetViews>
    <sheetView showGridLines="0" zoomScale="110" zoomScaleNormal="110" workbookViewId="0"/>
  </sheetViews>
  <sheetFormatPr defaultRowHeight="11.4" x14ac:dyDescent="0.2"/>
  <cols>
    <col min="1" max="3" width="3.25" customWidth="1"/>
    <col min="4" max="4" width="32.125" customWidth="1"/>
    <col min="6" max="13" width="18.625" customWidth="1"/>
  </cols>
  <sheetData>
    <row r="3" spans="4:10" ht="19.8" thickBot="1" x14ac:dyDescent="0.4">
      <c r="D3" s="146" t="s">
        <v>655</v>
      </c>
      <c r="E3" s="146"/>
      <c r="F3" s="146"/>
      <c r="G3" s="146"/>
      <c r="H3" s="146"/>
      <c r="I3" s="146"/>
      <c r="J3" s="146"/>
    </row>
    <row r="4" spans="4:10" ht="12" thickTop="1" x14ac:dyDescent="0.2"/>
    <row r="6" spans="4:10" ht="12" x14ac:dyDescent="0.25">
      <c r="D6" s="27" t="s">
        <v>706</v>
      </c>
      <c r="F6" s="193"/>
    </row>
    <row r="8" spans="4:10" ht="12" x14ac:dyDescent="0.25">
      <c r="D8" s="27" t="s">
        <v>150</v>
      </c>
      <c r="F8" s="193"/>
      <c r="G8" s="221" t="s">
        <v>866</v>
      </c>
    </row>
    <row r="9" spans="4:10" ht="12" x14ac:dyDescent="0.25">
      <c r="D9" s="27" t="s">
        <v>151</v>
      </c>
      <c r="F9" s="298"/>
      <c r="G9" s="221" t="s">
        <v>840</v>
      </c>
    </row>
    <row r="11" spans="4:10" ht="12" x14ac:dyDescent="0.25">
      <c r="D11" s="194" t="s">
        <v>605</v>
      </c>
      <c r="E11" s="220">
        <f>MATCH(F11,Lists!$C$3:$C$4,)</f>
        <v>2</v>
      </c>
      <c r="F11" s="193" t="s">
        <v>604</v>
      </c>
    </row>
    <row r="12" spans="4:10" x14ac:dyDescent="0.2">
      <c r="F12" s="208"/>
    </row>
    <row r="13" spans="4:10" ht="12" x14ac:dyDescent="0.25">
      <c r="D13" s="27" t="s">
        <v>704</v>
      </c>
    </row>
    <row r="14" spans="4:10" ht="12" x14ac:dyDescent="0.25">
      <c r="D14" s="19" t="s">
        <v>662</v>
      </c>
      <c r="F14" s="218">
        <v>1.4999999999999999E-2</v>
      </c>
      <c r="G14" s="221"/>
    </row>
    <row r="15" spans="4:10" ht="12" x14ac:dyDescent="0.25">
      <c r="D15" s="19" t="s">
        <v>705</v>
      </c>
      <c r="F15" s="219"/>
      <c r="G15" s="221" t="s">
        <v>826</v>
      </c>
    </row>
    <row r="19" spans="4:13" ht="52.8" x14ac:dyDescent="0.2">
      <c r="D19" s="195" t="s">
        <v>656</v>
      </c>
      <c r="E19" s="196"/>
      <c r="F19" s="196" t="s">
        <v>661</v>
      </c>
      <c r="G19" s="196" t="s">
        <v>162</v>
      </c>
      <c r="H19" s="196" t="s">
        <v>662</v>
      </c>
      <c r="I19" s="197"/>
    </row>
    <row r="20" spans="4:13" ht="13.2" x14ac:dyDescent="0.25">
      <c r="D20" s="198" t="s">
        <v>657</v>
      </c>
      <c r="E20" s="199"/>
      <c r="F20" s="359">
        <f>SUMIFS('Transport (cost breakdown)'!$F21:$XY21,'Transport (cost breakdown)'!$F$33:$XY$33,1)</f>
        <v>0</v>
      </c>
      <c r="G20" s="359" t="str">
        <f>Transport!$AA$16</f>
        <v/>
      </c>
      <c r="H20" s="360" t="str">
        <f>IFERROR(G20/$G$24,"")</f>
        <v/>
      </c>
      <c r="I20" s="361"/>
    </row>
    <row r="21" spans="4:13" ht="13.2" x14ac:dyDescent="0.25">
      <c r="D21" s="200" t="s">
        <v>658</v>
      </c>
      <c r="E21" s="201"/>
      <c r="F21" s="205">
        <f>SUMIFS('Stormwater (cost breakdown)'!$F21:$XX21,'Stormwater (cost breakdown)'!$F$33:$XX$33,1)</f>
        <v>0</v>
      </c>
      <c r="G21" s="205" t="str">
        <f>Stormwater!$AA$16</f>
        <v/>
      </c>
      <c r="H21" s="316" t="str">
        <f>IFERROR(G21/$G$24,"")</f>
        <v/>
      </c>
      <c r="I21" s="202"/>
    </row>
    <row r="22" spans="4:13" ht="13.2" x14ac:dyDescent="0.25">
      <c r="D22" s="198" t="s">
        <v>175</v>
      </c>
      <c r="E22" s="199"/>
      <c r="F22" s="359">
        <f>SUMIFS('Open space (cost breakdown)'!$F21:$XX21,'Open space (cost breakdown)'!$F$33:$XX$33,1)</f>
        <v>0</v>
      </c>
      <c r="G22" s="359" t="str">
        <f>'Open space'!$AA$16</f>
        <v/>
      </c>
      <c r="H22" s="360" t="str">
        <f>IFERROR(G22/$G$24,"")</f>
        <v/>
      </c>
      <c r="I22" s="361"/>
    </row>
    <row r="23" spans="4:13" ht="13.2" x14ac:dyDescent="0.25">
      <c r="D23" s="200" t="s">
        <v>503</v>
      </c>
      <c r="E23" s="201"/>
      <c r="F23" s="207"/>
      <c r="G23" s="205">
        <f>IF($F$15&lt;&gt;"",$F$15,SUM(G20:G22)*$F$14)</f>
        <v>0</v>
      </c>
      <c r="H23" s="316" t="str">
        <f>IFERROR(G23/$G$24,"")</f>
        <v/>
      </c>
      <c r="I23" s="202"/>
    </row>
    <row r="24" spans="4:13" ht="13.2" x14ac:dyDescent="0.25">
      <c r="D24" s="203" t="s">
        <v>173</v>
      </c>
      <c r="E24" s="204"/>
      <c r="F24" s="362">
        <f>SUM(F20:F23)</f>
        <v>0</v>
      </c>
      <c r="G24" s="362">
        <f>SUM(G20:G23)</f>
        <v>0</v>
      </c>
      <c r="H24" s="363" t="str">
        <f>IFERROR(G24/$G$24,"")</f>
        <v/>
      </c>
      <c r="I24" s="364"/>
    </row>
    <row r="25" spans="4:13" ht="13.2" x14ac:dyDescent="0.25">
      <c r="D25" s="356" t="s">
        <v>854</v>
      </c>
      <c r="E25" s="199"/>
      <c r="F25" s="365"/>
      <c r="G25" s="365"/>
      <c r="H25" s="366"/>
      <c r="I25" s="199"/>
    </row>
    <row r="26" spans="4:13" ht="13.2" x14ac:dyDescent="0.25">
      <c r="D26" s="356"/>
      <c r="E26" s="199"/>
      <c r="F26" s="365"/>
      <c r="G26" s="365"/>
      <c r="H26" s="366"/>
      <c r="I26" s="199"/>
    </row>
    <row r="27" spans="4:13" x14ac:dyDescent="0.2">
      <c r="D27" s="217" t="s">
        <v>853</v>
      </c>
      <c r="G27" s="367">
        <f>IFERROR(G24-G23-SUM(Transport!$AA$16,Stormwater!$AA$16,'Open space'!$AA$16),"")</f>
        <v>0</v>
      </c>
      <c r="H27" s="367" t="str">
        <f>IFERROR(1-H24,"")</f>
        <v/>
      </c>
    </row>
    <row r="29" spans="4:13" ht="52.8" x14ac:dyDescent="0.2">
      <c r="D29" s="222"/>
      <c r="E29" s="223"/>
      <c r="F29" s="223" t="s">
        <v>711</v>
      </c>
      <c r="G29" s="224" t="s">
        <v>708</v>
      </c>
      <c r="H29" s="223" t="s">
        <v>710</v>
      </c>
      <c r="I29" s="224" t="s">
        <v>712</v>
      </c>
      <c r="J29" s="223" t="s">
        <v>709</v>
      </c>
      <c r="K29" s="224" t="s">
        <v>713</v>
      </c>
      <c r="L29" s="223" t="s">
        <v>714</v>
      </c>
      <c r="M29" s="224" t="s">
        <v>707</v>
      </c>
    </row>
    <row r="30" spans="4:13" ht="13.2" x14ac:dyDescent="0.25">
      <c r="D30" s="225" t="s">
        <v>149</v>
      </c>
      <c r="E30" s="226"/>
      <c r="F30" s="365">
        <f>SUMIFS('Transport (cost breakdown)'!$F21:$XY21,'Transport (cost breakdown)'!$F$33:$XY$33,1)</f>
        <v>0</v>
      </c>
      <c r="G30" s="368" t="str">
        <f>IFERROR(F30/$F$40,"")</f>
        <v/>
      </c>
      <c r="H30" s="365">
        <f>SUMIFS('Stormwater (cost breakdown)'!$F21:$XX21,'Stormwater (cost breakdown)'!$F$33:$XX$33,1)</f>
        <v>0</v>
      </c>
      <c r="I30" s="368" t="str">
        <f>IFERROR(H30/$H$40,"")</f>
        <v/>
      </c>
      <c r="J30" s="365">
        <f>SUMIFS('Open space (cost breakdown)'!$F21:$XX21,'Open space (cost breakdown)'!$F$33:$XX$33,1)</f>
        <v>0</v>
      </c>
      <c r="K30" s="368" t="str">
        <f>IFERROR(J30/$J$40,"")</f>
        <v/>
      </c>
      <c r="L30" s="365">
        <f t="shared" ref="L30:L38" si="0">SUM(F30,H30,J30)</f>
        <v>0</v>
      </c>
      <c r="M30" s="368" t="str">
        <f>IFERROR(L30/$L$40,"")</f>
        <v/>
      </c>
    </row>
    <row r="31" spans="4:13" ht="13.2" x14ac:dyDescent="0.25">
      <c r="D31" s="227" t="s">
        <v>150</v>
      </c>
      <c r="E31" s="201"/>
      <c r="F31" s="205">
        <f>SUMIFS('Transport (cost breakdown)'!$F22:$XY22,'Transport (cost breakdown)'!$F$33:$XY$33,1)</f>
        <v>0</v>
      </c>
      <c r="G31" s="369" t="str">
        <f t="shared" ref="G31:G40" si="1">IFERROR(F31/$F$40,"")</f>
        <v/>
      </c>
      <c r="H31" s="205">
        <f>SUMIFS('Stormwater (cost breakdown)'!$F22:$XX22,'Stormwater (cost breakdown)'!$F$33:$XX$33,1)</f>
        <v>0</v>
      </c>
      <c r="I31" s="369" t="str">
        <f t="shared" ref="I31:I40" si="2">IFERROR(H31/$H$40,"")</f>
        <v/>
      </c>
      <c r="J31" s="205">
        <f>SUMIFS('Open space (cost breakdown)'!$F22:$XX22,'Open space (cost breakdown)'!$F$33:$XX$33,1)</f>
        <v>0</v>
      </c>
      <c r="K31" s="369" t="str">
        <f t="shared" ref="K31:K40" si="3">IFERROR(J31/$J$40,"")</f>
        <v/>
      </c>
      <c r="L31" s="205">
        <f t="shared" si="0"/>
        <v>0</v>
      </c>
      <c r="M31" s="205" t="str">
        <f t="shared" ref="M31:M40" si="4">IFERROR(L31/$L$40,"")</f>
        <v/>
      </c>
    </row>
    <row r="32" spans="4:13" ht="13.2" x14ac:dyDescent="0.25">
      <c r="D32" s="228" t="s">
        <v>151</v>
      </c>
      <c r="E32" s="199"/>
      <c r="F32" s="359">
        <f>SUMIFS('Transport (cost breakdown)'!$F23:$XY23,'Transport (cost breakdown)'!$F$33:$XY$33,1)</f>
        <v>0</v>
      </c>
      <c r="G32" s="370" t="str">
        <f t="shared" si="1"/>
        <v/>
      </c>
      <c r="H32" s="359">
        <f>SUMIFS('Stormwater (cost breakdown)'!$F23:$XX23,'Stormwater (cost breakdown)'!$F$33:$XX$33,1)</f>
        <v>0</v>
      </c>
      <c r="I32" s="370" t="str">
        <f t="shared" si="2"/>
        <v/>
      </c>
      <c r="J32" s="359">
        <f>SUMIFS('Open space (cost breakdown)'!$F23:$XX23,'Open space (cost breakdown)'!$F$33:$XX$33,1)</f>
        <v>0</v>
      </c>
      <c r="K32" s="370" t="str">
        <f t="shared" si="3"/>
        <v/>
      </c>
      <c r="L32" s="359">
        <f t="shared" si="0"/>
        <v>0</v>
      </c>
      <c r="M32" s="370" t="str">
        <f t="shared" si="4"/>
        <v/>
      </c>
    </row>
    <row r="33" spans="4:13" ht="13.2" x14ac:dyDescent="0.25">
      <c r="D33" s="227" t="s">
        <v>152</v>
      </c>
      <c r="E33" s="201"/>
      <c r="F33" s="205">
        <f>SUMIFS('Transport (cost breakdown)'!$F24:$XY24,'Transport (cost breakdown)'!$F$33:$XY$33,1)</f>
        <v>0</v>
      </c>
      <c r="G33" s="369" t="str">
        <f t="shared" si="1"/>
        <v/>
      </c>
      <c r="H33" s="205">
        <f>SUMIFS('Stormwater (cost breakdown)'!$F24:$XX24,'Stormwater (cost breakdown)'!$F$33:$XX$33,1)</f>
        <v>0</v>
      </c>
      <c r="I33" s="369" t="str">
        <f t="shared" si="2"/>
        <v/>
      </c>
      <c r="J33" s="205">
        <f>SUMIFS('Open space (cost breakdown)'!$F24:$XX24,'Open space (cost breakdown)'!$F$33:$XX$33,1)</f>
        <v>0</v>
      </c>
      <c r="K33" s="369" t="str">
        <f t="shared" si="3"/>
        <v/>
      </c>
      <c r="L33" s="205">
        <f t="shared" si="0"/>
        <v>0</v>
      </c>
      <c r="M33" s="369" t="str">
        <f t="shared" si="4"/>
        <v/>
      </c>
    </row>
    <row r="34" spans="4:13" ht="13.2" x14ac:dyDescent="0.25">
      <c r="D34" s="228" t="s">
        <v>700</v>
      </c>
      <c r="E34" s="199"/>
      <c r="F34" s="359">
        <f>SUMIFS('Transport (cost breakdown)'!$F26:$XY26,'Transport (cost breakdown)'!$F$33:$XY$33,1)</f>
        <v>0</v>
      </c>
      <c r="G34" s="370" t="str">
        <f t="shared" si="1"/>
        <v/>
      </c>
      <c r="H34" s="359">
        <f>SUMIFS('Stormwater (cost breakdown)'!$F26:$XX26,'Stormwater (cost breakdown)'!$F$33:$XX$33,1)</f>
        <v>0</v>
      </c>
      <c r="I34" s="370" t="str">
        <f t="shared" si="2"/>
        <v/>
      </c>
      <c r="J34" s="359">
        <f>SUMIFS('Open space (cost breakdown)'!$F26:$XX26,'Open space (cost breakdown)'!$F$33:$XX$33,1)</f>
        <v>0</v>
      </c>
      <c r="K34" s="370" t="str">
        <f t="shared" si="3"/>
        <v/>
      </c>
      <c r="L34" s="359">
        <f>SUM(F34,H34,J34)</f>
        <v>0</v>
      </c>
      <c r="M34" s="370" t="str">
        <f t="shared" si="4"/>
        <v/>
      </c>
    </row>
    <row r="35" spans="4:13" ht="13.2" x14ac:dyDescent="0.25">
      <c r="D35" s="227" t="s">
        <v>702</v>
      </c>
      <c r="E35" s="201"/>
      <c r="F35" s="205">
        <f>SUMIFS('Transport (cost breakdown)'!$F28:$XY28,'Transport (cost breakdown)'!$F$33:$XY$33,1)</f>
        <v>0</v>
      </c>
      <c r="G35" s="369" t="str">
        <f t="shared" si="1"/>
        <v/>
      </c>
      <c r="H35" s="205">
        <f>SUMIFS('Stormwater (cost breakdown)'!$F28:$XX28,'Stormwater (cost breakdown)'!$F$33:$XX$33,1)</f>
        <v>0</v>
      </c>
      <c r="I35" s="369" t="str">
        <f t="shared" si="2"/>
        <v/>
      </c>
      <c r="J35" s="205">
        <f>SUMIFS('Open space (cost breakdown)'!$F28:$XX28,'Open space (cost breakdown)'!$F$33:$XX$33,1)</f>
        <v>0</v>
      </c>
      <c r="K35" s="369" t="str">
        <f t="shared" si="3"/>
        <v/>
      </c>
      <c r="L35" s="205">
        <f>SUM(F35,H35,J35)</f>
        <v>0</v>
      </c>
      <c r="M35" s="369" t="str">
        <f t="shared" si="4"/>
        <v/>
      </c>
    </row>
    <row r="36" spans="4:13" ht="13.2" x14ac:dyDescent="0.25">
      <c r="D36" s="228" t="s">
        <v>157</v>
      </c>
      <c r="E36" s="199"/>
      <c r="F36" s="359">
        <f>SUMIFS('Transport (cost breakdown)'!$F29:$XY29,'Transport (cost breakdown)'!$F$33:$XY$33,1)</f>
        <v>0</v>
      </c>
      <c r="G36" s="370" t="str">
        <f t="shared" si="1"/>
        <v/>
      </c>
      <c r="H36" s="359">
        <f>SUMIFS('Stormwater (cost breakdown)'!$F29:$XX29,'Stormwater (cost breakdown)'!$F$33:$XX$33,1)</f>
        <v>0</v>
      </c>
      <c r="I36" s="370" t="str">
        <f t="shared" si="2"/>
        <v/>
      </c>
      <c r="J36" s="359">
        <f>SUMIFS('Open space (cost breakdown)'!$F29:$XX29,'Open space (cost breakdown)'!$F$33:$XX$33,1)</f>
        <v>0</v>
      </c>
      <c r="K36" s="370" t="str">
        <f t="shared" si="3"/>
        <v/>
      </c>
      <c r="L36" s="359">
        <f t="shared" si="0"/>
        <v>0</v>
      </c>
      <c r="M36" s="370" t="str">
        <f t="shared" si="4"/>
        <v/>
      </c>
    </row>
    <row r="37" spans="4:13" ht="13.2" x14ac:dyDescent="0.25">
      <c r="D37" s="227" t="s">
        <v>701</v>
      </c>
      <c r="E37" s="201"/>
      <c r="F37" s="205">
        <f>SUMIFS('Transport (cost breakdown)'!$F30:$XY30,'Transport (cost breakdown)'!$F$33:$XY$33,1)</f>
        <v>0</v>
      </c>
      <c r="G37" s="369" t="str">
        <f t="shared" si="1"/>
        <v/>
      </c>
      <c r="H37" s="205">
        <f>SUMIFS('Stormwater (cost breakdown)'!$F30:$XX30,'Stormwater (cost breakdown)'!$F$33:$XX$33,1)</f>
        <v>0</v>
      </c>
      <c r="I37" s="369" t="str">
        <f t="shared" si="2"/>
        <v/>
      </c>
      <c r="J37" s="205">
        <f>SUMIFS('Open space (cost breakdown)'!$F30:$XX30,'Open space (cost breakdown)'!$F$33:$XX$33,1)</f>
        <v>0</v>
      </c>
      <c r="K37" s="369" t="str">
        <f t="shared" si="3"/>
        <v/>
      </c>
      <c r="L37" s="205">
        <f t="shared" si="0"/>
        <v>0</v>
      </c>
      <c r="M37" s="369" t="str">
        <f t="shared" si="4"/>
        <v/>
      </c>
    </row>
    <row r="38" spans="4:13" ht="13.2" x14ac:dyDescent="0.25">
      <c r="D38" s="228" t="s">
        <v>161</v>
      </c>
      <c r="E38" s="199"/>
      <c r="F38" s="359">
        <f>SUMIFS('Transport (cost breakdown)'!$F32:$XY32,'Transport (cost breakdown)'!$F$33:$XY$33,1)</f>
        <v>0</v>
      </c>
      <c r="G38" s="370" t="str">
        <f t="shared" si="1"/>
        <v/>
      </c>
      <c r="H38" s="359">
        <f>SUMIFS('Stormwater (cost breakdown)'!$F32:$XX32,'Stormwater (cost breakdown)'!$F$33:$XX$33,1)</f>
        <v>0</v>
      </c>
      <c r="I38" s="370" t="str">
        <f t="shared" si="2"/>
        <v/>
      </c>
      <c r="J38" s="359">
        <f>SUMIFS('Open space (cost breakdown)'!$F32:$XX32,'Open space (cost breakdown)'!$F$33:$XX$33,1)</f>
        <v>0</v>
      </c>
      <c r="K38" s="370" t="str">
        <f t="shared" si="3"/>
        <v/>
      </c>
      <c r="L38" s="359">
        <f t="shared" si="0"/>
        <v>0</v>
      </c>
      <c r="M38" s="370" t="str">
        <f t="shared" si="4"/>
        <v/>
      </c>
    </row>
    <row r="39" spans="4:13" ht="13.2" x14ac:dyDescent="0.25">
      <c r="D39" s="227" t="s">
        <v>503</v>
      </c>
      <c r="E39" s="201"/>
      <c r="F39" s="205">
        <f>IF(ISBLANK($F$15),$F$14*SUM(F30:F38),$F$15*$G20/SUM($G$20:$G$22))</f>
        <v>0</v>
      </c>
      <c r="G39" s="369" t="str">
        <f t="shared" si="1"/>
        <v/>
      </c>
      <c r="H39" s="205">
        <f>IF(ISBLANK($F$15),$F$14*SUM(H30:H38),$F$15*$G21/SUM($G$20:$G$22))</f>
        <v>0</v>
      </c>
      <c r="I39" s="369" t="str">
        <f t="shared" si="2"/>
        <v/>
      </c>
      <c r="J39" s="205">
        <f>IF(ISBLANK($F$15),$F$14*SUM(J30:J38),$F$15*$G22/SUM($G$20:$G$22))</f>
        <v>0</v>
      </c>
      <c r="K39" s="369" t="str">
        <f t="shared" si="3"/>
        <v/>
      </c>
      <c r="L39" s="205">
        <f>SUM(F39,H39,J39)</f>
        <v>0</v>
      </c>
      <c r="M39" s="369" t="str">
        <f t="shared" si="4"/>
        <v/>
      </c>
    </row>
    <row r="40" spans="4:13" ht="13.2" x14ac:dyDescent="0.25">
      <c r="D40" s="229" t="s">
        <v>162</v>
      </c>
      <c r="E40" s="230"/>
      <c r="F40" s="371">
        <f>SUM(F30:F39)</f>
        <v>0</v>
      </c>
      <c r="G40" s="372" t="str">
        <f t="shared" si="1"/>
        <v/>
      </c>
      <c r="H40" s="371">
        <f>SUM(H30:H39)</f>
        <v>0</v>
      </c>
      <c r="I40" s="372" t="str">
        <f t="shared" si="2"/>
        <v/>
      </c>
      <c r="J40" s="371">
        <f>SUM(J30:J39)</f>
        <v>0</v>
      </c>
      <c r="K40" s="372" t="str">
        <f t="shared" si="3"/>
        <v/>
      </c>
      <c r="L40" s="371">
        <f>SUM(L30:L39)</f>
        <v>0</v>
      </c>
      <c r="M40" s="372" t="str">
        <f t="shared" si="4"/>
        <v/>
      </c>
    </row>
    <row r="41" spans="4:13" hidden="1" x14ac:dyDescent="0.2">
      <c r="D41" s="217" t="s">
        <v>703</v>
      </c>
      <c r="E41" s="217"/>
      <c r="F41" s="367" t="e">
        <f>F40-F39-G20</f>
        <v>#VALUE!</v>
      </c>
      <c r="G41" s="367" t="e">
        <f>G40-SUM(G30:G39)</f>
        <v>#VALUE!</v>
      </c>
      <c r="H41" s="367" t="e">
        <f>H40-H39-G21</f>
        <v>#VALUE!</v>
      </c>
      <c r="I41" s="367" t="e">
        <f>I40-SUM(I30:I39)</f>
        <v>#VALUE!</v>
      </c>
      <c r="J41" s="367" t="e">
        <f>J40-J39-G22</f>
        <v>#VALUE!</v>
      </c>
      <c r="K41" s="367" t="e">
        <f>K40-SUM(K30:K39)</f>
        <v>#VALUE!</v>
      </c>
      <c r="L41" s="367">
        <f>L40-G24</f>
        <v>0</v>
      </c>
      <c r="M41" s="367"/>
    </row>
    <row r="42" spans="4:13" hidden="1" x14ac:dyDescent="0.2">
      <c r="D42" s="217" t="s">
        <v>703</v>
      </c>
      <c r="L42" s="367">
        <f>L39-G23</f>
        <v>0</v>
      </c>
    </row>
    <row r="44" spans="4:13" x14ac:dyDescent="0.2">
      <c r="D44" s="217" t="s">
        <v>853</v>
      </c>
      <c r="E44" s="217"/>
      <c r="F44" s="367" t="str">
        <f>IFERROR(F40-F39-G20,"")</f>
        <v/>
      </c>
      <c r="G44" s="373"/>
      <c r="H44" s="367" t="str">
        <f>IFERROR(H40-H39-G21,"")</f>
        <v/>
      </c>
      <c r="I44" s="373"/>
      <c r="J44" s="367" t="str">
        <f>IFERROR(J40-J39-G22,"")</f>
        <v/>
      </c>
      <c r="K44" s="374"/>
      <c r="L44" s="367">
        <f>F24-L30</f>
        <v>0</v>
      </c>
      <c r="M44" s="367">
        <f>G24-L40</f>
        <v>0</v>
      </c>
    </row>
  </sheetData>
  <sheetProtection algorithmName="SHA-512" hashValue="O6OxeTLosnky1fL4pkHnDEdZV+MngQikCvpCcxRwNrWOBIMXmdD376HHk9Aj2jglFw7Z4LabW76grSpVGtdTwQ==" saltValue="4aaLqg5LhC3Bkq3YuPCMmQ==" spinCount="100000" sheet="1" objects="1" scenarios="1"/>
  <dataValidations count="1">
    <dataValidation allowBlank="1" showInputMessage="1" showErrorMessage="1" promptTitle="Enter proximity to raw materials" prompt="Type in the proximity to raw materials in kilometres. For example, type in '30' if the construction site is 30 kilometres from material supply sources. This accounts for the haulage costs of raw materials required for construction." sqref="F9" xr:uid="{99052344-2E3D-41EC-B457-51EC0672420C}"/>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promptTitle="Financial year" prompt="Select the financial year for the rates that unit costs will be shown in from the drop-down list." xr:uid="{43ADB69E-79CE-4212-BCE6-8DE54A11E0B4}">
          <x14:formula1>
            <xm:f>Lists!$C$3:$C$4</xm:f>
          </x14:formula1>
          <xm:sqref>F11</xm:sqref>
        </x14:dataValidation>
        <x14:dataValidation type="list" allowBlank="1" showInputMessage="1" showErrorMessage="1" promptTitle="Select location" prompt="Select the location for development from the drop-down list. This allows for Rawlinsons regional indices to be factored in to the benchmark cost." xr:uid="{EE060C07-E230-4855-A734-B75905F5C417}">
          <x14:formula1>
            <xm:f>'Rawlinsons regional indices'!$A$2:$A$63</xm:f>
          </x14:formula1>
          <xm:sqref>F8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6EA3C-B575-4F68-8A0C-63EAFD9B2126}">
  <sheetPr>
    <tabColor rgb="FF002C7D"/>
  </sheetPr>
  <dimension ref="D4:R179"/>
  <sheetViews>
    <sheetView showGridLines="0" zoomScaleNormal="100" workbookViewId="0"/>
  </sheetViews>
  <sheetFormatPr defaultRowHeight="11.4" x14ac:dyDescent="0.2"/>
  <cols>
    <col min="1" max="3" width="3.25" customWidth="1"/>
    <col min="4" max="4" width="15" style="314" customWidth="1"/>
    <col min="5" max="5" width="73.375" customWidth="1"/>
    <col min="6" max="6" width="22.75" customWidth="1"/>
    <col min="7" max="7" width="19.375" customWidth="1"/>
    <col min="8" max="8" width="0" hidden="1" customWidth="1"/>
    <col min="10" max="10" width="10.75" customWidth="1"/>
    <col min="11" max="11" width="9.875" bestFit="1" customWidth="1"/>
    <col min="12" max="12" width="9.25" bestFit="1" customWidth="1"/>
    <col min="13" max="13" width="13" customWidth="1"/>
    <col min="14" max="15" width="38.625" customWidth="1"/>
    <col min="16" max="16" width="11" customWidth="1"/>
    <col min="18" max="18" width="11" bestFit="1" customWidth="1"/>
  </cols>
  <sheetData>
    <row r="4" spans="4:7" ht="19.8" thickBot="1" x14ac:dyDescent="0.4">
      <c r="D4" s="146" t="s">
        <v>835</v>
      </c>
      <c r="E4" s="146"/>
      <c r="F4" s="146"/>
      <c r="G4" s="146"/>
    </row>
    <row r="5" spans="4:7" ht="12" thickTop="1" x14ac:dyDescent="0.2"/>
    <row r="6" spans="4:7" ht="14.4" x14ac:dyDescent="0.3">
      <c r="D6" s="148" t="s">
        <v>856</v>
      </c>
    </row>
    <row r="7" spans="4:7" ht="14.4" x14ac:dyDescent="0.3">
      <c r="D7" s="148" t="s">
        <v>858</v>
      </c>
    </row>
    <row r="8" spans="4:7" ht="14.4" x14ac:dyDescent="0.3">
      <c r="D8" s="148" t="s">
        <v>859</v>
      </c>
    </row>
    <row r="9" spans="4:7" ht="14.4" x14ac:dyDescent="0.3">
      <c r="D9" s="148" t="s">
        <v>857</v>
      </c>
    </row>
    <row r="10" spans="4:7" ht="14.4" x14ac:dyDescent="0.3">
      <c r="D10" s="148"/>
    </row>
    <row r="11" spans="4:7" ht="13.2" x14ac:dyDescent="0.25">
      <c r="D11" s="21" t="s">
        <v>839</v>
      </c>
    </row>
    <row r="12" spans="4:7" ht="13.2" x14ac:dyDescent="0.25">
      <c r="D12" s="315" t="str" cm="1">
        <f t="array" ref="D12">_xlfn.IFS(SUM('Transport (cost breakdown)'!$H$36,'Stormwater (cost breakdown)'!$H$36,'Open space (cost breakdown)'!$H$36)=0,"No individual infrastructure items have been added yet.",SUM('Transport (cost breakdown)'!$H$36,'Stormwater (cost breakdown)'!$H$36,'Open space (cost breakdown)'!$H$36)-$G$19=0,"All individual infrastructure items have been attributed to a work project.", SUM('Transport (cost breakdown)'!$H$36,'Stormwater (cost breakdown)'!$H$36,'Open space (cost breakdown)'!$H$36)-$G$19&lt;&gt;0,"There are individual infrastructure items in either the transport, stormwater, or open space worksheets that need to be attributed to a work project (please see Column J in those worksheets). Total project benchmark cost calculated here is not correct.")</f>
        <v>No individual infrastructure items have been added yet.</v>
      </c>
    </row>
    <row r="13" spans="4:7" ht="14.4" x14ac:dyDescent="0.3">
      <c r="D13" s="148"/>
    </row>
    <row r="14" spans="4:7" x14ac:dyDescent="0.2">
      <c r="D14" s="190" t="s">
        <v>837</v>
      </c>
    </row>
    <row r="15" spans="4:7" x14ac:dyDescent="0.2">
      <c r="D15" s="206" t="str">
        <f>Summary!$F$11</f>
        <v>$2025-26</v>
      </c>
    </row>
    <row r="16" spans="4:7" x14ac:dyDescent="0.2">
      <c r="D16" s="191">
        <f>MATCH(D15,Lists!$C$3:$C$4,)</f>
        <v>2</v>
      </c>
    </row>
    <row r="18" spans="4:18" ht="48" customHeight="1" x14ac:dyDescent="0.2">
      <c r="D18" s="318" t="s">
        <v>836</v>
      </c>
      <c r="E18" s="319" t="s">
        <v>835</v>
      </c>
      <c r="F18" s="318" t="s">
        <v>865</v>
      </c>
      <c r="G18" s="320" t="s">
        <v>838</v>
      </c>
    </row>
    <row r="19" spans="4:18" ht="12.6" customHeight="1" thickBot="1" x14ac:dyDescent="0.3">
      <c r="D19" s="321"/>
      <c r="E19" s="322" t="s">
        <v>173</v>
      </c>
      <c r="F19" s="378"/>
      <c r="G19" s="323" t="str">
        <f>IF(SUM($G$20:$G$179)&gt;0,SUM($G$20:$G$179),"")</f>
        <v/>
      </c>
      <c r="H19" s="259" t="s">
        <v>855</v>
      </c>
      <c r="P19" s="325"/>
    </row>
    <row r="20" spans="4:18" ht="12.6" customHeight="1" thickTop="1" x14ac:dyDescent="0.25">
      <c r="D20" s="375"/>
      <c r="E20" s="379"/>
      <c r="F20" s="376" t="str" cm="1">
        <f t="array" ref="F20">IFERROR(IF(E20&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20" s="324" t="str" cm="1">
        <f t="array" ref="G20">IF(E20&lt;&gt;"",TransportProjectSum+StormwaterProjectSum+OpenSpaceProjectSum,"")</f>
        <v/>
      </c>
      <c r="H20" s="314" t="e" cm="1" vm="1">
        <f t="array" ref="H20">_xlfn.UNIQUE(_xlfn._xlws.SORT(_xlfn.TOCOL('Total project costs'!$E$20:$E$35,1)))</f>
        <v>#VALUE!</v>
      </c>
      <c r="J20" s="381"/>
      <c r="K20" s="381"/>
      <c r="L20" s="381"/>
      <c r="M20" s="381"/>
    </row>
    <row r="21" spans="4:18" ht="12.6" customHeight="1" x14ac:dyDescent="0.25">
      <c r="D21" s="375"/>
      <c r="E21" s="379"/>
      <c r="F21" s="377" t="str" cm="1">
        <f t="array" ref="F21">IFERROR(IF(E21&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21" s="324" t="str" cm="1">
        <f t="array" ref="G21">IF(E21&lt;&gt;"",TransportProjectSum+StormwaterProjectSum+OpenSpaceProjectSum,"")</f>
        <v/>
      </c>
      <c r="H21" s="314"/>
      <c r="J21" s="381"/>
      <c r="K21" s="381"/>
      <c r="L21" s="381"/>
      <c r="M21" s="381"/>
      <c r="R21" s="234"/>
    </row>
    <row r="22" spans="4:18" ht="12.6" customHeight="1" x14ac:dyDescent="0.25">
      <c r="D22" s="375"/>
      <c r="E22" s="379"/>
      <c r="F22" s="377" t="str" cm="1">
        <f t="array" ref="F22">IFERROR(IF(E22&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22" s="324" t="str" cm="1">
        <f t="array" ref="G22">IF(E22&lt;&gt;"",TransportProjectSum+StormwaterProjectSum+OpenSpaceProjectSum,"")</f>
        <v/>
      </c>
      <c r="H22" s="314"/>
      <c r="J22" s="381"/>
      <c r="K22" s="381"/>
      <c r="L22" s="381"/>
      <c r="M22" s="381"/>
      <c r="R22" s="234"/>
    </row>
    <row r="23" spans="4:18" ht="12.6" customHeight="1" x14ac:dyDescent="0.25">
      <c r="D23" s="375"/>
      <c r="E23" s="379"/>
      <c r="F23" s="377" t="str" cm="1">
        <f t="array" ref="F23">IFERROR(IF(E23&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23" s="324" t="str" cm="1">
        <f t="array" ref="G23">IF(E23&lt;&gt;"",TransportProjectSum+StormwaterProjectSum+OpenSpaceProjectSum,"")</f>
        <v/>
      </c>
      <c r="H23" s="314"/>
      <c r="J23" s="381"/>
      <c r="K23" s="381"/>
      <c r="L23" s="381"/>
      <c r="M23" s="381"/>
      <c r="R23" s="234"/>
    </row>
    <row r="24" spans="4:18" ht="12.6" customHeight="1" x14ac:dyDescent="0.25">
      <c r="D24" s="375"/>
      <c r="E24" s="379"/>
      <c r="F24" s="377" t="str" cm="1">
        <f t="array" ref="F24">IFERROR(IF(E24&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24" s="324" t="str" cm="1">
        <f t="array" ref="G24">IF(E24&lt;&gt;"",TransportProjectSum+StormwaterProjectSum+OpenSpaceProjectSum,"")</f>
        <v/>
      </c>
      <c r="H24" s="314"/>
      <c r="J24" s="381"/>
      <c r="K24" s="381"/>
      <c r="L24" s="381"/>
      <c r="M24" s="381"/>
      <c r="R24" s="234"/>
    </row>
    <row r="25" spans="4:18" ht="12.6" customHeight="1" x14ac:dyDescent="0.25">
      <c r="D25" s="375"/>
      <c r="E25" s="379"/>
      <c r="F25" s="377" t="str" cm="1">
        <f t="array" ref="F25">IFERROR(IF(E25&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25" s="324" t="str" cm="1">
        <f t="array" ref="G25">IF(E25&lt;&gt;"",TransportProjectSum+StormwaterProjectSum+OpenSpaceProjectSum,"")</f>
        <v/>
      </c>
      <c r="H25" s="314"/>
      <c r="J25" s="381"/>
      <c r="K25" s="381"/>
      <c r="L25" s="381"/>
      <c r="M25" s="381"/>
      <c r="R25" s="234"/>
    </row>
    <row r="26" spans="4:18" ht="12.6" customHeight="1" x14ac:dyDescent="0.25">
      <c r="D26" s="375"/>
      <c r="E26" s="379"/>
      <c r="F26" s="377" t="str" cm="1">
        <f t="array" ref="F26">IFERROR(IF(E26&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26" s="324" t="str" cm="1">
        <f t="array" ref="G26">IF(E26&lt;&gt;"",TransportProjectSum+StormwaterProjectSum+OpenSpaceProjectSum,"")</f>
        <v/>
      </c>
      <c r="H26" s="314"/>
      <c r="R26" s="234"/>
    </row>
    <row r="27" spans="4:18" ht="12.6" customHeight="1" x14ac:dyDescent="0.25">
      <c r="D27" s="375"/>
      <c r="E27" s="379"/>
      <c r="F27" s="377" t="str" cm="1">
        <f t="array" ref="F27">IFERROR(IF(E27&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27" s="324" t="str" cm="1">
        <f t="array" ref="G27">IF(E27&lt;&gt;"",TransportProjectSum+StormwaterProjectSum+OpenSpaceProjectSum,"")</f>
        <v/>
      </c>
      <c r="H27" s="314"/>
      <c r="R27" s="234"/>
    </row>
    <row r="28" spans="4:18" ht="12.6" customHeight="1" x14ac:dyDescent="0.25">
      <c r="D28" s="375"/>
      <c r="E28" s="379"/>
      <c r="F28" s="377" t="str" cm="1">
        <f t="array" ref="F28">IFERROR(IF(E28&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28" s="324" t="str" cm="1">
        <f t="array" ref="G28">IF(E28&lt;&gt;"",TransportProjectSum+StormwaterProjectSum+OpenSpaceProjectSum,"")</f>
        <v/>
      </c>
      <c r="H28" s="314"/>
      <c r="R28" s="234"/>
    </row>
    <row r="29" spans="4:18" ht="12.6" customHeight="1" x14ac:dyDescent="0.25">
      <c r="D29" s="375"/>
      <c r="E29" s="379"/>
      <c r="F29" s="377" t="str" cm="1">
        <f t="array" ref="F29">IFERROR(IF(E29&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29" s="324" t="str" cm="1">
        <f t="array" ref="G29">IF(E29&lt;&gt;"",TransportProjectSum+StormwaterProjectSum+OpenSpaceProjectSum,"")</f>
        <v/>
      </c>
      <c r="H29" s="314"/>
      <c r="R29" s="234"/>
    </row>
    <row r="30" spans="4:18" ht="12.6" customHeight="1" x14ac:dyDescent="0.25">
      <c r="D30" s="375"/>
      <c r="E30" s="379"/>
      <c r="F30" s="377" t="str" cm="1">
        <f t="array" ref="F30">IFERROR(IF(E30&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30" s="324" t="str" cm="1">
        <f t="array" ref="G30">IF(E30&lt;&gt;"",TransportProjectSum+StormwaterProjectSum+OpenSpaceProjectSum,"")</f>
        <v/>
      </c>
      <c r="H30" s="314"/>
      <c r="R30" s="234"/>
    </row>
    <row r="31" spans="4:18" ht="12.6" customHeight="1" x14ac:dyDescent="0.25">
      <c r="D31" s="375"/>
      <c r="E31" s="379"/>
      <c r="F31" s="377" t="str" cm="1">
        <f t="array" ref="F31">IFERROR(IF(E31&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31" s="324" t="str" cm="1">
        <f t="array" ref="G31">IF(E31&lt;&gt;"",TransportProjectSum+StormwaterProjectSum+OpenSpaceProjectSum,"")</f>
        <v/>
      </c>
      <c r="H31" s="314"/>
      <c r="R31" s="234"/>
    </row>
    <row r="32" spans="4:18" ht="12.6" customHeight="1" x14ac:dyDescent="0.25">
      <c r="D32" s="375"/>
      <c r="E32" s="379"/>
      <c r="F32" s="377" t="str" cm="1">
        <f t="array" ref="F32">IFERROR(IF(E32&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32" s="324" t="str" cm="1">
        <f t="array" ref="G32">IF(E32&lt;&gt;"",TransportProjectSum+StormwaterProjectSum+OpenSpaceProjectSum,"")</f>
        <v/>
      </c>
      <c r="H32" s="314"/>
      <c r="R32" s="234"/>
    </row>
    <row r="33" spans="4:18" ht="12.6" customHeight="1" x14ac:dyDescent="0.25">
      <c r="D33" s="375"/>
      <c r="E33" s="379"/>
      <c r="F33" s="377" t="str" cm="1">
        <f t="array" ref="F33">IFERROR(IF(E33&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33" s="324" t="str" cm="1">
        <f t="array" ref="G33">IF(E33&lt;&gt;"",TransportProjectSum+StormwaterProjectSum+OpenSpaceProjectSum,"")</f>
        <v/>
      </c>
      <c r="H33" s="314"/>
      <c r="R33" s="234"/>
    </row>
    <row r="34" spans="4:18" ht="12.6" customHeight="1" x14ac:dyDescent="0.25">
      <c r="D34" s="375"/>
      <c r="E34" s="379"/>
      <c r="F34" s="377" t="str" cm="1">
        <f t="array" ref="F34">IFERROR(IF(E34&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34" s="324" t="str" cm="1">
        <f t="array" ref="G34">IF(E34&lt;&gt;"",TransportProjectSum+StormwaterProjectSum+OpenSpaceProjectSum,"")</f>
        <v/>
      </c>
      <c r="H34" s="314"/>
      <c r="R34" s="234"/>
    </row>
    <row r="35" spans="4:18" ht="12.6" customHeight="1" x14ac:dyDescent="0.25">
      <c r="D35" s="375"/>
      <c r="E35" s="379"/>
      <c r="F35" s="377" t="str" cm="1">
        <f t="array" ref="F35">IFERROR(IF(E35&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35" s="324" t="str" cm="1">
        <f t="array" ref="G35">IF(E35&lt;&gt;"",TransportProjectSum+StormwaterProjectSum+OpenSpaceProjectSum,"")</f>
        <v/>
      </c>
      <c r="H35" s="314"/>
      <c r="R35" s="234"/>
    </row>
    <row r="36" spans="4:18" ht="12" x14ac:dyDescent="0.25">
      <c r="D36" s="375"/>
      <c r="E36" s="379"/>
      <c r="F36" s="377" t="str" cm="1">
        <f t="array" ref="F36">IFERROR(IF(E36&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36" s="324" t="str" cm="1">
        <f t="array" ref="G36">IF(E36&lt;&gt;"",TransportProjectSum+StormwaterProjectSum+OpenSpaceProjectSum,"")</f>
        <v/>
      </c>
      <c r="H36" s="314"/>
    </row>
    <row r="37" spans="4:18" ht="12" x14ac:dyDescent="0.25">
      <c r="D37" s="375"/>
      <c r="E37" s="379"/>
      <c r="F37" s="377" t="str" cm="1">
        <f t="array" ref="F37">IFERROR(IF(E37&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37" s="324" t="str" cm="1">
        <f t="array" ref="G37">IF(E37&lt;&gt;"",TransportProjectSum+StormwaterProjectSum+OpenSpaceProjectSum,"")</f>
        <v/>
      </c>
      <c r="H37" s="314"/>
    </row>
    <row r="38" spans="4:18" ht="12" x14ac:dyDescent="0.25">
      <c r="D38" s="375"/>
      <c r="E38" s="379"/>
      <c r="F38" s="377" t="str" cm="1">
        <f t="array" ref="F38">IFERROR(IF(E38&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38" s="324" t="str" cm="1">
        <f t="array" ref="G38">IF(E38&lt;&gt;"",TransportProjectSum+StormwaterProjectSum+OpenSpaceProjectSum,"")</f>
        <v/>
      </c>
      <c r="H38" s="314"/>
    </row>
    <row r="39" spans="4:18" ht="12" x14ac:dyDescent="0.25">
      <c r="D39" s="375"/>
      <c r="E39" s="379"/>
      <c r="F39" s="377" t="str" cm="1">
        <f t="array" ref="F39">IFERROR(IF(E39&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39" s="324" t="str" cm="1">
        <f t="array" ref="G39">IF(E39&lt;&gt;"",TransportProjectSum+StormwaterProjectSum+OpenSpaceProjectSum,"")</f>
        <v/>
      </c>
      <c r="H39" s="314"/>
    </row>
    <row r="40" spans="4:18" ht="12" x14ac:dyDescent="0.25">
      <c r="D40" s="375"/>
      <c r="E40" s="379"/>
      <c r="F40" s="377" t="str" cm="1">
        <f t="array" ref="F40">IFERROR(IF(E40&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40" s="324" t="str" cm="1">
        <f t="array" ref="G40">IF(E40&lt;&gt;"",TransportProjectSum+StormwaterProjectSum+OpenSpaceProjectSum,"")</f>
        <v/>
      </c>
      <c r="H40" s="314"/>
    </row>
    <row r="41" spans="4:18" ht="12" x14ac:dyDescent="0.25">
      <c r="D41" s="375"/>
      <c r="E41" s="379"/>
      <c r="F41" s="377" t="str" cm="1">
        <f t="array" ref="F41">IFERROR(IF(E41&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41" s="324" t="str" cm="1">
        <f t="array" ref="G41">IF(E41&lt;&gt;"",TransportProjectSum+StormwaterProjectSum+OpenSpaceProjectSum,"")</f>
        <v/>
      </c>
      <c r="H41" s="314"/>
    </row>
    <row r="42" spans="4:18" ht="12" x14ac:dyDescent="0.25">
      <c r="D42" s="375"/>
      <c r="E42" s="379"/>
      <c r="F42" s="377" t="str" cm="1">
        <f t="array" ref="F42">IFERROR(IF(E42&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42" s="324" t="str" cm="1">
        <f t="array" ref="G42">IF(E42&lt;&gt;"",TransportProjectSum+StormwaterProjectSum+OpenSpaceProjectSum,"")</f>
        <v/>
      </c>
      <c r="H42" s="314"/>
    </row>
    <row r="43" spans="4:18" ht="12" x14ac:dyDescent="0.25">
      <c r="D43" s="375"/>
      <c r="E43" s="379"/>
      <c r="F43" s="377" t="str" cm="1">
        <f t="array" ref="F43">IFERROR(IF(E43&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43" s="324" t="str" cm="1">
        <f t="array" ref="G43">IF(E43&lt;&gt;"",TransportProjectSum+StormwaterProjectSum+OpenSpaceProjectSum,"")</f>
        <v/>
      </c>
      <c r="H43" s="314"/>
    </row>
    <row r="44" spans="4:18" ht="12" x14ac:dyDescent="0.25">
      <c r="D44" s="375"/>
      <c r="E44" s="379"/>
      <c r="F44" s="377" t="str" cm="1">
        <f t="array" ref="F44">IFERROR(IF(E44&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44" s="324" t="str" cm="1">
        <f t="array" ref="G44">IF(E44&lt;&gt;"",TransportProjectSum+StormwaterProjectSum+OpenSpaceProjectSum,"")</f>
        <v/>
      </c>
      <c r="H44" s="314"/>
    </row>
    <row r="45" spans="4:18" ht="12" x14ac:dyDescent="0.25">
      <c r="D45" s="375"/>
      <c r="E45" s="379"/>
      <c r="F45" s="377" t="str" cm="1">
        <f t="array" ref="F45">IFERROR(IF(E45&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45" s="324" t="str" cm="1">
        <f t="array" ref="G45">IF(E45&lt;&gt;"",TransportProjectSum+StormwaterProjectSum+OpenSpaceProjectSum,"")</f>
        <v/>
      </c>
      <c r="H45" s="314"/>
    </row>
    <row r="46" spans="4:18" ht="12" x14ac:dyDescent="0.25">
      <c r="D46" s="375"/>
      <c r="E46" s="379"/>
      <c r="F46" s="377" t="str" cm="1">
        <f t="array" ref="F46">IFERROR(IF(E46&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46" s="324" t="str" cm="1">
        <f t="array" ref="G46">IF(E46&lt;&gt;"",TransportProjectSum+StormwaterProjectSum+OpenSpaceProjectSum,"")</f>
        <v/>
      </c>
      <c r="H46" s="314"/>
    </row>
    <row r="47" spans="4:18" ht="12" x14ac:dyDescent="0.25">
      <c r="D47" s="375"/>
      <c r="E47" s="379"/>
      <c r="F47" s="377" t="str" cm="1">
        <f t="array" ref="F47">IFERROR(IF(E47&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47" s="324" t="str" cm="1">
        <f t="array" ref="G47">IF(E47&lt;&gt;"",TransportProjectSum+StormwaterProjectSum+OpenSpaceProjectSum,"")</f>
        <v/>
      </c>
      <c r="H47" s="314"/>
    </row>
    <row r="48" spans="4:18" ht="12" x14ac:dyDescent="0.25">
      <c r="D48" s="375"/>
      <c r="E48" s="379"/>
      <c r="F48" s="377" t="str" cm="1">
        <f t="array" ref="F48">IFERROR(IF(E48&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48" s="324" t="str" cm="1">
        <f t="array" ref="G48">IF(E48&lt;&gt;"",TransportProjectSum+StormwaterProjectSum+OpenSpaceProjectSum,"")</f>
        <v/>
      </c>
      <c r="H48" s="314"/>
    </row>
    <row r="49" spans="4:8" ht="12" x14ac:dyDescent="0.25">
      <c r="D49" s="375"/>
      <c r="E49" s="379"/>
      <c r="F49" s="377" t="str" cm="1">
        <f t="array" ref="F49">IFERROR(IF(E49&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49" s="324" t="str" cm="1">
        <f t="array" ref="G49">IF(E49&lt;&gt;"",TransportProjectSum+StormwaterProjectSum+OpenSpaceProjectSum,"")</f>
        <v/>
      </c>
      <c r="H49" s="314"/>
    </row>
    <row r="50" spans="4:8" ht="12" x14ac:dyDescent="0.25">
      <c r="D50" s="375"/>
      <c r="E50" s="379"/>
      <c r="F50" s="377" t="str" cm="1">
        <f t="array" ref="F50">IFERROR(IF(E50&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50" s="324" t="str" cm="1">
        <f t="array" ref="G50">IF(E50&lt;&gt;"",TransportProjectSum+StormwaterProjectSum+OpenSpaceProjectSum,"")</f>
        <v/>
      </c>
      <c r="H50" s="314"/>
    </row>
    <row r="51" spans="4:8" ht="12" x14ac:dyDescent="0.25">
      <c r="D51" s="375"/>
      <c r="E51" s="379"/>
      <c r="F51" s="377" t="str" cm="1">
        <f t="array" ref="F51">IFERROR(IF(E51&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51" s="324" t="str" cm="1">
        <f t="array" ref="G51">IF(E51&lt;&gt;"",TransportProjectSum+StormwaterProjectSum+OpenSpaceProjectSum,"")</f>
        <v/>
      </c>
      <c r="H51" s="314"/>
    </row>
    <row r="52" spans="4:8" ht="12" x14ac:dyDescent="0.25">
      <c r="D52" s="375"/>
      <c r="E52" s="379"/>
      <c r="F52" s="377" t="str" cm="1">
        <f t="array" ref="F52">IFERROR(IF(E52&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52" s="324" t="str" cm="1">
        <f t="array" ref="G52">IF(E52&lt;&gt;"",TransportProjectSum+StormwaterProjectSum+OpenSpaceProjectSum,"")</f>
        <v/>
      </c>
      <c r="H52" s="314"/>
    </row>
    <row r="53" spans="4:8" ht="12" x14ac:dyDescent="0.25">
      <c r="D53" s="375"/>
      <c r="E53" s="379"/>
      <c r="F53" s="377" t="str" cm="1">
        <f t="array" ref="F53">IFERROR(IF(E53&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53" s="324" t="str" cm="1">
        <f t="array" ref="G53">IF(E53&lt;&gt;"",TransportProjectSum+StormwaterProjectSum+OpenSpaceProjectSum,"")</f>
        <v/>
      </c>
      <c r="H53" s="314"/>
    </row>
    <row r="54" spans="4:8" ht="12" x14ac:dyDescent="0.25">
      <c r="D54" s="375"/>
      <c r="E54" s="379"/>
      <c r="F54" s="377" t="str" cm="1">
        <f t="array" ref="F54">IFERROR(IF(E54&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54" s="324" t="str" cm="1">
        <f t="array" ref="G54">IF(E54&lt;&gt;"",TransportProjectSum+StormwaterProjectSum+OpenSpaceProjectSum,"")</f>
        <v/>
      </c>
      <c r="H54" s="314"/>
    </row>
    <row r="55" spans="4:8" ht="12" x14ac:dyDescent="0.25">
      <c r="D55" s="375"/>
      <c r="E55" s="379"/>
      <c r="F55" s="377" t="str" cm="1">
        <f t="array" ref="F55">IFERROR(IF(E55&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55" s="324" t="str" cm="1">
        <f t="array" ref="G55">IF(E55&lt;&gt;"",TransportProjectSum+StormwaterProjectSum+OpenSpaceProjectSum,"")</f>
        <v/>
      </c>
      <c r="H55" s="314"/>
    </row>
    <row r="56" spans="4:8" ht="12" x14ac:dyDescent="0.25">
      <c r="D56" s="375"/>
      <c r="E56" s="379"/>
      <c r="F56" s="377" t="str" cm="1">
        <f t="array" ref="F56">IFERROR(IF(E56&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56" s="324" t="str" cm="1">
        <f t="array" ref="G56">IF(E56&lt;&gt;"",TransportProjectSum+StormwaterProjectSum+OpenSpaceProjectSum,"")</f>
        <v/>
      </c>
      <c r="H56" s="314"/>
    </row>
    <row r="57" spans="4:8" ht="12" x14ac:dyDescent="0.25">
      <c r="D57" s="375"/>
      <c r="E57" s="379"/>
      <c r="F57" s="377" t="str" cm="1">
        <f t="array" ref="F57">IFERROR(IF(E57&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57" s="324" t="str" cm="1">
        <f t="array" ref="G57">IF(E57&lt;&gt;"",TransportProjectSum+StormwaterProjectSum+OpenSpaceProjectSum,"")</f>
        <v/>
      </c>
      <c r="H57" s="314"/>
    </row>
    <row r="58" spans="4:8" ht="12" x14ac:dyDescent="0.25">
      <c r="D58" s="375"/>
      <c r="E58" s="379"/>
      <c r="F58" s="377" t="str" cm="1">
        <f t="array" ref="F58">IFERROR(IF(E58&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58" s="324" t="str" cm="1">
        <f t="array" ref="G58">IF(E58&lt;&gt;"",TransportProjectSum+StormwaterProjectSum+OpenSpaceProjectSum,"")</f>
        <v/>
      </c>
      <c r="H58" s="314"/>
    </row>
    <row r="59" spans="4:8" ht="12" x14ac:dyDescent="0.25">
      <c r="D59" s="375"/>
      <c r="E59" s="379"/>
      <c r="F59" s="377" t="str" cm="1">
        <f t="array" ref="F59">IFERROR(IF(E59&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59" s="324" t="str" cm="1">
        <f t="array" ref="G59">IF(E59&lt;&gt;"",TransportProjectSum+StormwaterProjectSum+OpenSpaceProjectSum,"")</f>
        <v/>
      </c>
      <c r="H59" s="314"/>
    </row>
    <row r="60" spans="4:8" ht="12" x14ac:dyDescent="0.25">
      <c r="D60" s="375"/>
      <c r="E60" s="379"/>
      <c r="F60" s="377" t="str" cm="1">
        <f t="array" ref="F60">IFERROR(IF(E60&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60" s="324" t="str" cm="1">
        <f t="array" ref="G60">IF(E60&lt;&gt;"",TransportProjectSum+StormwaterProjectSum+OpenSpaceProjectSum,"")</f>
        <v/>
      </c>
      <c r="H60" s="314"/>
    </row>
    <row r="61" spans="4:8" ht="12" x14ac:dyDescent="0.25">
      <c r="D61" s="375"/>
      <c r="E61" s="379"/>
      <c r="F61" s="377" t="str" cm="1">
        <f t="array" ref="F61">IFERROR(IF(E61&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61" s="324" t="str" cm="1">
        <f t="array" ref="G61">IF(E61&lt;&gt;"",TransportProjectSum+StormwaterProjectSum+OpenSpaceProjectSum,"")</f>
        <v/>
      </c>
      <c r="H61" s="314"/>
    </row>
    <row r="62" spans="4:8" ht="12" x14ac:dyDescent="0.25">
      <c r="D62" s="375"/>
      <c r="E62" s="379"/>
      <c r="F62" s="377" t="str" cm="1">
        <f t="array" ref="F62">IFERROR(IF(E62&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62" s="324" t="str" cm="1">
        <f t="array" ref="G62">IF(E62&lt;&gt;"",TransportProjectSum+StormwaterProjectSum+OpenSpaceProjectSum,"")</f>
        <v/>
      </c>
      <c r="H62" s="314"/>
    </row>
    <row r="63" spans="4:8" ht="12" x14ac:dyDescent="0.25">
      <c r="D63" s="375"/>
      <c r="E63" s="379"/>
      <c r="F63" s="377" t="str" cm="1">
        <f t="array" ref="F63">IFERROR(IF(E63&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63" s="324" t="str" cm="1">
        <f t="array" ref="G63">IF(E63&lt;&gt;"",TransportProjectSum+StormwaterProjectSum+OpenSpaceProjectSum,"")</f>
        <v/>
      </c>
      <c r="H63" s="314"/>
    </row>
    <row r="64" spans="4:8" ht="12" x14ac:dyDescent="0.25">
      <c r="D64" s="375"/>
      <c r="E64" s="379"/>
      <c r="F64" s="377" t="str" cm="1">
        <f t="array" ref="F64">IFERROR(IF(E64&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64" s="324" t="str" cm="1">
        <f t="array" ref="G64">IF(E64&lt;&gt;"",TransportProjectSum+StormwaterProjectSum+OpenSpaceProjectSum,"")</f>
        <v/>
      </c>
      <c r="H64" s="314"/>
    </row>
    <row r="65" spans="4:8" ht="12" x14ac:dyDescent="0.25">
      <c r="D65" s="375"/>
      <c r="E65" s="379"/>
      <c r="F65" s="377" t="str" cm="1">
        <f t="array" ref="F65">IFERROR(IF(E65&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65" s="324" t="str" cm="1">
        <f t="array" ref="G65">IF(E65&lt;&gt;"",TransportProjectSum+StormwaterProjectSum+OpenSpaceProjectSum,"")</f>
        <v/>
      </c>
      <c r="H65" s="314"/>
    </row>
    <row r="66" spans="4:8" ht="12" x14ac:dyDescent="0.25">
      <c r="D66" s="375"/>
      <c r="E66" s="379"/>
      <c r="F66" s="377" t="str" cm="1">
        <f t="array" ref="F66">IFERROR(IF(E66&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66" s="324" t="str" cm="1">
        <f t="array" ref="G66">IF(E66&lt;&gt;"",TransportProjectSum+StormwaterProjectSum+OpenSpaceProjectSum,"")</f>
        <v/>
      </c>
      <c r="H66" s="314"/>
    </row>
    <row r="67" spans="4:8" ht="12" x14ac:dyDescent="0.25">
      <c r="D67" s="375"/>
      <c r="E67" s="379"/>
      <c r="F67" s="377" t="str" cm="1">
        <f t="array" ref="F67">IFERROR(IF(E67&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67" s="324" t="str" cm="1">
        <f t="array" ref="G67">IF(E67&lt;&gt;"",TransportProjectSum+StormwaterProjectSum+OpenSpaceProjectSum,"")</f>
        <v/>
      </c>
      <c r="H67" s="314"/>
    </row>
    <row r="68" spans="4:8" ht="12" x14ac:dyDescent="0.25">
      <c r="D68" s="375"/>
      <c r="E68" s="379"/>
      <c r="F68" s="377" t="str" cm="1">
        <f t="array" ref="F68">IFERROR(IF(E68&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68" s="324" t="str" cm="1">
        <f t="array" ref="G68">IF(E68&lt;&gt;"",TransportProjectSum+StormwaterProjectSum+OpenSpaceProjectSum,"")</f>
        <v/>
      </c>
      <c r="H68" s="314"/>
    </row>
    <row r="69" spans="4:8" ht="12" x14ac:dyDescent="0.25">
      <c r="D69" s="375"/>
      <c r="E69" s="379"/>
      <c r="F69" s="377" t="str" cm="1">
        <f t="array" ref="F69">IFERROR(IF(E69&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69" s="324" t="str" cm="1">
        <f t="array" ref="G69">IF(E69&lt;&gt;"",TransportProjectSum+StormwaterProjectSum+OpenSpaceProjectSum,"")</f>
        <v/>
      </c>
      <c r="H69" s="314"/>
    </row>
    <row r="70" spans="4:8" ht="12" x14ac:dyDescent="0.25">
      <c r="D70" s="375"/>
      <c r="E70" s="379"/>
      <c r="F70" s="377" t="str" cm="1">
        <f t="array" ref="F70">IFERROR(IF(E70&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70" s="324" t="str" cm="1">
        <f t="array" ref="G70">IF(E70&lt;&gt;"",TransportProjectSum+StormwaterProjectSum+OpenSpaceProjectSum,"")</f>
        <v/>
      </c>
      <c r="H70" s="314"/>
    </row>
    <row r="71" spans="4:8" ht="12" x14ac:dyDescent="0.25">
      <c r="D71" s="375"/>
      <c r="E71" s="379"/>
      <c r="F71" s="377" t="str" cm="1">
        <f t="array" ref="F71">IFERROR(IF(E71&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71" s="324" t="str" cm="1">
        <f t="array" ref="G71">IF(E71&lt;&gt;"",TransportProjectSum+StormwaterProjectSum+OpenSpaceProjectSum,"")</f>
        <v/>
      </c>
      <c r="H71" s="314"/>
    </row>
    <row r="72" spans="4:8" ht="12" x14ac:dyDescent="0.25">
      <c r="D72" s="375"/>
      <c r="E72" s="379"/>
      <c r="F72" s="377" t="str" cm="1">
        <f t="array" ref="F72">IFERROR(IF(E72&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72" s="324" t="str" cm="1">
        <f t="array" ref="G72">IF(E72&lt;&gt;"",TransportProjectSum+StormwaterProjectSum+OpenSpaceProjectSum,"")</f>
        <v/>
      </c>
      <c r="H72" s="314"/>
    </row>
    <row r="73" spans="4:8" ht="12" x14ac:dyDescent="0.25">
      <c r="D73" s="375"/>
      <c r="E73" s="379"/>
      <c r="F73" s="377" t="str" cm="1">
        <f t="array" ref="F73">IFERROR(IF(E73&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73" s="324" t="str" cm="1">
        <f t="array" ref="G73">IF(E73&lt;&gt;"",TransportProjectSum+StormwaterProjectSum+OpenSpaceProjectSum,"")</f>
        <v/>
      </c>
      <c r="H73" s="314"/>
    </row>
    <row r="74" spans="4:8" ht="12" x14ac:dyDescent="0.25">
      <c r="D74" s="375"/>
      <c r="E74" s="379"/>
      <c r="F74" s="377" t="str" cm="1">
        <f t="array" ref="F74">IFERROR(IF(E74&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74" s="324" t="str" cm="1">
        <f t="array" ref="G74">IF(E74&lt;&gt;"",TransportProjectSum+StormwaterProjectSum+OpenSpaceProjectSum,"")</f>
        <v/>
      </c>
      <c r="H74" s="314"/>
    </row>
    <row r="75" spans="4:8" ht="12" x14ac:dyDescent="0.25">
      <c r="D75" s="375"/>
      <c r="E75" s="379"/>
      <c r="F75" s="377" t="str" cm="1">
        <f t="array" ref="F75">IFERROR(IF(E75&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75" s="324" t="str" cm="1">
        <f t="array" ref="G75">IF(E75&lt;&gt;"",TransportProjectSum+StormwaterProjectSum+OpenSpaceProjectSum,"")</f>
        <v/>
      </c>
      <c r="H75" s="314"/>
    </row>
    <row r="76" spans="4:8" ht="12" x14ac:dyDescent="0.25">
      <c r="D76" s="375"/>
      <c r="E76" s="379"/>
      <c r="F76" s="377" t="str" cm="1">
        <f t="array" ref="F76">IFERROR(IF(E76&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76" s="324" t="str" cm="1">
        <f t="array" ref="G76">IF(E76&lt;&gt;"",TransportProjectSum+StormwaterProjectSum+OpenSpaceProjectSum,"")</f>
        <v/>
      </c>
      <c r="H76" s="314"/>
    </row>
    <row r="77" spans="4:8" ht="12" x14ac:dyDescent="0.25">
      <c r="D77" s="375"/>
      <c r="E77" s="379"/>
      <c r="F77" s="377" t="str" cm="1">
        <f t="array" ref="F77">IFERROR(IF(E77&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77" s="324" t="str" cm="1">
        <f t="array" ref="G77">IF(E77&lt;&gt;"",TransportProjectSum+StormwaterProjectSum+OpenSpaceProjectSum,"")</f>
        <v/>
      </c>
      <c r="H77" s="314"/>
    </row>
    <row r="78" spans="4:8" ht="12" x14ac:dyDescent="0.25">
      <c r="D78" s="375"/>
      <c r="E78" s="379"/>
      <c r="F78" s="377" t="str" cm="1">
        <f t="array" ref="F78">IFERROR(IF(E78&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78" s="324" t="str" cm="1">
        <f t="array" ref="G78">IF(E78&lt;&gt;"",TransportProjectSum+StormwaterProjectSum+OpenSpaceProjectSum,"")</f>
        <v/>
      </c>
      <c r="H78" s="314"/>
    </row>
    <row r="79" spans="4:8" ht="12" x14ac:dyDescent="0.25">
      <c r="D79" s="375"/>
      <c r="E79" s="379"/>
      <c r="F79" s="377" t="str" cm="1">
        <f t="array" ref="F79">IFERROR(IF(E79&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79" s="324" t="str" cm="1">
        <f t="array" ref="G79">IF(E79&lt;&gt;"",TransportProjectSum+StormwaterProjectSum+OpenSpaceProjectSum,"")</f>
        <v/>
      </c>
      <c r="H79" s="314"/>
    </row>
    <row r="80" spans="4:8" ht="12" x14ac:dyDescent="0.25">
      <c r="D80" s="375"/>
      <c r="E80" s="379"/>
      <c r="F80" s="377" t="str" cm="1">
        <f t="array" ref="F80">IFERROR(IF(E80&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80" s="324" t="str" cm="1">
        <f t="array" ref="G80">IF(E80&lt;&gt;"",TransportProjectSum+StormwaterProjectSum+OpenSpaceProjectSum,"")</f>
        <v/>
      </c>
      <c r="H80" s="314"/>
    </row>
    <row r="81" spans="4:8" ht="12" x14ac:dyDescent="0.25">
      <c r="D81" s="375"/>
      <c r="E81" s="379"/>
      <c r="F81" s="377" t="str" cm="1">
        <f t="array" ref="F81">IFERROR(IF(E81&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81" s="324" t="str" cm="1">
        <f t="array" ref="G81">IF(E81&lt;&gt;"",TransportProjectSum+StormwaterProjectSum+OpenSpaceProjectSum,"")</f>
        <v/>
      </c>
      <c r="H81" s="314"/>
    </row>
    <row r="82" spans="4:8" ht="12" x14ac:dyDescent="0.25">
      <c r="D82" s="375"/>
      <c r="E82" s="379"/>
      <c r="F82" s="377" t="str" cm="1">
        <f t="array" ref="F82">IFERROR(IF(E82&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82" s="324" t="str" cm="1">
        <f t="array" ref="G82">IF(E82&lt;&gt;"",TransportProjectSum+StormwaterProjectSum+OpenSpaceProjectSum,"")</f>
        <v/>
      </c>
      <c r="H82" s="314"/>
    </row>
    <row r="83" spans="4:8" ht="12" x14ac:dyDescent="0.25">
      <c r="D83" s="375"/>
      <c r="E83" s="379"/>
      <c r="F83" s="377" t="str" cm="1">
        <f t="array" ref="F83">IFERROR(IF(E83&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83" s="324" t="str" cm="1">
        <f t="array" ref="G83">IF(E83&lt;&gt;"",TransportProjectSum+StormwaterProjectSum+OpenSpaceProjectSum,"")</f>
        <v/>
      </c>
      <c r="H83" s="314"/>
    </row>
    <row r="84" spans="4:8" ht="12" x14ac:dyDescent="0.25">
      <c r="D84" s="375"/>
      <c r="E84" s="379"/>
      <c r="F84" s="377" t="str" cm="1">
        <f t="array" ref="F84">IFERROR(IF(E84&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84" s="324" t="str" cm="1">
        <f t="array" ref="G84">IF(E84&lt;&gt;"",TransportProjectSum+StormwaterProjectSum+OpenSpaceProjectSum,"")</f>
        <v/>
      </c>
      <c r="H84" s="314"/>
    </row>
    <row r="85" spans="4:8" ht="12" x14ac:dyDescent="0.25">
      <c r="D85" s="375"/>
      <c r="E85" s="379"/>
      <c r="F85" s="377" t="str" cm="1">
        <f t="array" ref="F85">IFERROR(IF(E85&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85" s="324" t="str" cm="1">
        <f t="array" ref="G85">IF(E85&lt;&gt;"",TransportProjectSum+StormwaterProjectSum+OpenSpaceProjectSum,"")</f>
        <v/>
      </c>
      <c r="H85" s="314"/>
    </row>
    <row r="86" spans="4:8" ht="12" x14ac:dyDescent="0.25">
      <c r="D86" s="375"/>
      <c r="E86" s="379"/>
      <c r="F86" s="377" t="str" cm="1">
        <f t="array" ref="F86">IFERROR(IF(E86&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86" s="324" t="str" cm="1">
        <f t="array" ref="G86">IF(E86&lt;&gt;"",TransportProjectSum+StormwaterProjectSum+OpenSpaceProjectSum,"")</f>
        <v/>
      </c>
      <c r="H86" s="314"/>
    </row>
    <row r="87" spans="4:8" ht="12" x14ac:dyDescent="0.25">
      <c r="D87" s="375"/>
      <c r="E87" s="379"/>
      <c r="F87" s="377" t="str" cm="1">
        <f t="array" ref="F87">IFERROR(IF(E87&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87" s="324" t="str" cm="1">
        <f t="array" ref="G87">IF(E87&lt;&gt;"",TransportProjectSum+StormwaterProjectSum+OpenSpaceProjectSum,"")</f>
        <v/>
      </c>
      <c r="H87" s="314"/>
    </row>
    <row r="88" spans="4:8" ht="12" x14ac:dyDescent="0.25">
      <c r="D88" s="375"/>
      <c r="E88" s="379"/>
      <c r="F88" s="377" t="str" cm="1">
        <f t="array" ref="F88">IFERROR(IF(E88&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88" s="324" t="str" cm="1">
        <f t="array" ref="G88">IF(E88&lt;&gt;"",TransportProjectSum+StormwaterProjectSum+OpenSpaceProjectSum,"")</f>
        <v/>
      </c>
      <c r="H88" s="314"/>
    </row>
    <row r="89" spans="4:8" ht="12" x14ac:dyDescent="0.25">
      <c r="D89" s="375"/>
      <c r="E89" s="379"/>
      <c r="F89" s="377" t="str" cm="1">
        <f t="array" ref="F89">IFERROR(IF(E89&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89" s="324" t="str" cm="1">
        <f t="array" ref="G89">IF(E89&lt;&gt;"",TransportProjectSum+StormwaterProjectSum+OpenSpaceProjectSum,"")</f>
        <v/>
      </c>
      <c r="H89" s="314"/>
    </row>
    <row r="90" spans="4:8" ht="12" x14ac:dyDescent="0.25">
      <c r="D90" s="375"/>
      <c r="E90" s="379"/>
      <c r="F90" s="377" t="str" cm="1">
        <f t="array" ref="F90">IFERROR(IF(E90&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90" s="324" t="str" cm="1">
        <f t="array" ref="G90">IF(E90&lt;&gt;"",TransportProjectSum+StormwaterProjectSum+OpenSpaceProjectSum,"")</f>
        <v/>
      </c>
      <c r="H90" s="314"/>
    </row>
    <row r="91" spans="4:8" ht="12" x14ac:dyDescent="0.25">
      <c r="D91" s="375"/>
      <c r="E91" s="379"/>
      <c r="F91" s="377" t="str" cm="1">
        <f t="array" ref="F91">IFERROR(IF(E91&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91" s="324" t="str" cm="1">
        <f t="array" ref="G91">IF(E91&lt;&gt;"",TransportProjectSum+StormwaterProjectSum+OpenSpaceProjectSum,"")</f>
        <v/>
      </c>
      <c r="H91" s="314"/>
    </row>
    <row r="92" spans="4:8" ht="12" x14ac:dyDescent="0.25">
      <c r="D92" s="375"/>
      <c r="E92" s="379"/>
      <c r="F92" s="377" t="str" cm="1">
        <f t="array" ref="F92">IFERROR(IF(E92&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92" s="324" t="str" cm="1">
        <f t="array" ref="G92">IF(E92&lt;&gt;"",TransportProjectSum+StormwaterProjectSum+OpenSpaceProjectSum,"")</f>
        <v/>
      </c>
      <c r="H92" s="314"/>
    </row>
    <row r="93" spans="4:8" ht="12" x14ac:dyDescent="0.25">
      <c r="D93" s="375"/>
      <c r="E93" s="379"/>
      <c r="F93" s="377" t="str" cm="1">
        <f t="array" ref="F93">IFERROR(IF(E93&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93" s="324" t="str" cm="1">
        <f t="array" ref="G93">IF(E93&lt;&gt;"",TransportProjectSum+StormwaterProjectSum+OpenSpaceProjectSum,"")</f>
        <v/>
      </c>
      <c r="H93" s="314"/>
    </row>
    <row r="94" spans="4:8" ht="12" x14ac:dyDescent="0.25">
      <c r="D94" s="375"/>
      <c r="E94" s="379"/>
      <c r="F94" s="377" t="str" cm="1">
        <f t="array" ref="F94">IFERROR(IF(E94&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94" s="324" t="str" cm="1">
        <f t="array" ref="G94">IF(E94&lt;&gt;"",TransportProjectSum+StormwaterProjectSum+OpenSpaceProjectSum,"")</f>
        <v/>
      </c>
      <c r="H94" s="314"/>
    </row>
    <row r="95" spans="4:8" ht="12" x14ac:dyDescent="0.25">
      <c r="D95" s="375"/>
      <c r="E95" s="379"/>
      <c r="F95" s="377" t="str" cm="1">
        <f t="array" ref="F95">IFERROR(IF(E95&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95" s="324" t="str" cm="1">
        <f t="array" ref="G95">IF(E95&lt;&gt;"",TransportProjectSum+StormwaterProjectSum+OpenSpaceProjectSum,"")</f>
        <v/>
      </c>
      <c r="H95" s="314"/>
    </row>
    <row r="96" spans="4:8" ht="12" x14ac:dyDescent="0.25">
      <c r="D96" s="375"/>
      <c r="E96" s="379"/>
      <c r="F96" s="377" t="str" cm="1">
        <f t="array" ref="F96">IFERROR(IF(E96&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96" s="324" t="str" cm="1">
        <f t="array" ref="G96">IF(E96&lt;&gt;"",TransportProjectSum+StormwaterProjectSum+OpenSpaceProjectSum,"")</f>
        <v/>
      </c>
      <c r="H96" s="314"/>
    </row>
    <row r="97" spans="4:8" ht="12" x14ac:dyDescent="0.25">
      <c r="D97" s="375"/>
      <c r="E97" s="379"/>
      <c r="F97" s="377" t="str" cm="1">
        <f t="array" ref="F97">IFERROR(IF(E97&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97" s="324" t="str" cm="1">
        <f t="array" ref="G97">IF(E97&lt;&gt;"",TransportProjectSum+StormwaterProjectSum+OpenSpaceProjectSum,"")</f>
        <v/>
      </c>
      <c r="H97" s="314"/>
    </row>
    <row r="98" spans="4:8" ht="12" x14ac:dyDescent="0.25">
      <c r="D98" s="375"/>
      <c r="E98" s="379"/>
      <c r="F98" s="377" t="str" cm="1">
        <f t="array" ref="F98">IFERROR(IF(E98&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98" s="324" t="str" cm="1">
        <f t="array" ref="G98">IF(E98&lt;&gt;"",TransportProjectSum+StormwaterProjectSum+OpenSpaceProjectSum,"")</f>
        <v/>
      </c>
      <c r="H98" s="314"/>
    </row>
    <row r="99" spans="4:8" ht="12" x14ac:dyDescent="0.25">
      <c r="D99" s="375"/>
      <c r="E99" s="379"/>
      <c r="F99" s="377" t="str" cm="1">
        <f t="array" ref="F99">IFERROR(IF(E99&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99" s="324" t="str" cm="1">
        <f t="array" ref="G99">IF(E99&lt;&gt;"",TransportProjectSum+StormwaterProjectSum+OpenSpaceProjectSum,"")</f>
        <v/>
      </c>
      <c r="H99" s="314"/>
    </row>
    <row r="100" spans="4:8" ht="12" x14ac:dyDescent="0.25">
      <c r="D100" s="375"/>
      <c r="E100" s="379"/>
      <c r="F100" s="377" t="str" cm="1">
        <f t="array" ref="F100">IFERROR(IF(E100&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00" s="324" t="str" cm="1">
        <f t="array" ref="G100">IF(E100&lt;&gt;"",TransportProjectSum+StormwaterProjectSum+OpenSpaceProjectSum,"")</f>
        <v/>
      </c>
      <c r="H100" s="314"/>
    </row>
    <row r="101" spans="4:8" ht="12" x14ac:dyDescent="0.25">
      <c r="D101" s="375"/>
      <c r="E101" s="379"/>
      <c r="F101" s="377" t="str" cm="1">
        <f t="array" ref="F101">IFERROR(IF(E101&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01" s="324" t="str" cm="1">
        <f t="array" ref="G101">IF(E101&lt;&gt;"",TransportProjectSum+StormwaterProjectSum+OpenSpaceProjectSum,"")</f>
        <v/>
      </c>
      <c r="H101" s="314"/>
    </row>
    <row r="102" spans="4:8" ht="12" x14ac:dyDescent="0.25">
      <c r="D102" s="375"/>
      <c r="E102" s="379"/>
      <c r="F102" s="377" t="str" cm="1">
        <f t="array" ref="F102">IFERROR(IF(E102&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02" s="324" t="str" cm="1">
        <f t="array" ref="G102">IF(E102&lt;&gt;"",TransportProjectSum+StormwaterProjectSum+OpenSpaceProjectSum,"")</f>
        <v/>
      </c>
      <c r="H102" s="314"/>
    </row>
    <row r="103" spans="4:8" ht="12" x14ac:dyDescent="0.25">
      <c r="D103" s="375"/>
      <c r="E103" s="379"/>
      <c r="F103" s="377" t="str" cm="1">
        <f t="array" ref="F103">IFERROR(IF(E103&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03" s="324" t="str" cm="1">
        <f t="array" ref="G103">IF(E103&lt;&gt;"",TransportProjectSum+StormwaterProjectSum+OpenSpaceProjectSum,"")</f>
        <v/>
      </c>
      <c r="H103" s="314"/>
    </row>
    <row r="104" spans="4:8" ht="12" x14ac:dyDescent="0.25">
      <c r="D104" s="375"/>
      <c r="E104" s="379"/>
      <c r="F104" s="377" t="str" cm="1">
        <f t="array" ref="F104">IFERROR(IF(E104&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04" s="324" t="str" cm="1">
        <f t="array" ref="G104">IF(E104&lt;&gt;"",TransportProjectSum+StormwaterProjectSum+OpenSpaceProjectSum,"")</f>
        <v/>
      </c>
      <c r="H104" s="314"/>
    </row>
    <row r="105" spans="4:8" ht="12" x14ac:dyDescent="0.25">
      <c r="D105" s="375"/>
      <c r="E105" s="379"/>
      <c r="F105" s="377" t="str" cm="1">
        <f t="array" ref="F105">IFERROR(IF(E105&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05" s="324" t="str" cm="1">
        <f t="array" ref="G105">IF(E105&lt;&gt;"",TransportProjectSum+StormwaterProjectSum+OpenSpaceProjectSum,"")</f>
        <v/>
      </c>
      <c r="H105" s="314"/>
    </row>
    <row r="106" spans="4:8" ht="12" x14ac:dyDescent="0.25">
      <c r="D106" s="375"/>
      <c r="E106" s="379"/>
      <c r="F106" s="377" t="str" cm="1">
        <f t="array" ref="F106">IFERROR(IF(E106&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06" s="324" t="str" cm="1">
        <f t="array" ref="G106">IF(E106&lt;&gt;"",TransportProjectSum+StormwaterProjectSum+OpenSpaceProjectSum,"")</f>
        <v/>
      </c>
      <c r="H106" s="314"/>
    </row>
    <row r="107" spans="4:8" ht="12" x14ac:dyDescent="0.25">
      <c r="D107" s="375"/>
      <c r="E107" s="379"/>
      <c r="F107" s="377" t="str" cm="1">
        <f t="array" ref="F107">IFERROR(IF(E107&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07" s="324" t="str" cm="1">
        <f t="array" ref="G107">IF(E107&lt;&gt;"",TransportProjectSum+StormwaterProjectSum+OpenSpaceProjectSum,"")</f>
        <v/>
      </c>
      <c r="H107" s="314"/>
    </row>
    <row r="108" spans="4:8" ht="12" x14ac:dyDescent="0.25">
      <c r="D108" s="375"/>
      <c r="E108" s="379"/>
      <c r="F108" s="377" t="str" cm="1">
        <f t="array" ref="F108">IFERROR(IF(E108&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08" s="324" t="str" cm="1">
        <f t="array" ref="G108">IF(E108&lt;&gt;"",TransportProjectSum+StormwaterProjectSum+OpenSpaceProjectSum,"")</f>
        <v/>
      </c>
      <c r="H108" s="314"/>
    </row>
    <row r="109" spans="4:8" ht="12" x14ac:dyDescent="0.25">
      <c r="D109" s="375"/>
      <c r="E109" s="379"/>
      <c r="F109" s="377" t="str" cm="1">
        <f t="array" ref="F109">IFERROR(IF(E109&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09" s="324" t="str" cm="1">
        <f t="array" ref="G109">IF(E109&lt;&gt;"",TransportProjectSum+StormwaterProjectSum+OpenSpaceProjectSum,"")</f>
        <v/>
      </c>
      <c r="H109" s="314"/>
    </row>
    <row r="110" spans="4:8" ht="12" x14ac:dyDescent="0.25">
      <c r="D110" s="375"/>
      <c r="E110" s="379"/>
      <c r="F110" s="377" t="str" cm="1">
        <f t="array" ref="F110">IFERROR(IF(E110&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10" s="324" t="str" cm="1">
        <f t="array" ref="G110">IF(E110&lt;&gt;"",TransportProjectSum+StormwaterProjectSum+OpenSpaceProjectSum,"")</f>
        <v/>
      </c>
      <c r="H110" s="314"/>
    </row>
    <row r="111" spans="4:8" ht="12" x14ac:dyDescent="0.25">
      <c r="D111" s="375"/>
      <c r="E111" s="379"/>
      <c r="F111" s="377" t="str" cm="1">
        <f t="array" ref="F111">IFERROR(IF(E111&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11" s="324" t="str" cm="1">
        <f t="array" ref="G111">IF(E111&lt;&gt;"",TransportProjectSum+StormwaterProjectSum+OpenSpaceProjectSum,"")</f>
        <v/>
      </c>
      <c r="H111" s="314"/>
    </row>
    <row r="112" spans="4:8" ht="12" x14ac:dyDescent="0.25">
      <c r="D112" s="375"/>
      <c r="E112" s="379"/>
      <c r="F112" s="377" t="str" cm="1">
        <f t="array" ref="F112">IFERROR(IF(E112&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12" s="324" t="str" cm="1">
        <f t="array" ref="G112">IF(E112&lt;&gt;"",TransportProjectSum+StormwaterProjectSum+OpenSpaceProjectSum,"")</f>
        <v/>
      </c>
      <c r="H112" s="314"/>
    </row>
    <row r="113" spans="4:8" ht="12" x14ac:dyDescent="0.25">
      <c r="D113" s="375"/>
      <c r="E113" s="379"/>
      <c r="F113" s="377" t="str" cm="1">
        <f t="array" ref="F113">IFERROR(IF(E113&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13" s="324" t="str" cm="1">
        <f t="array" ref="G113">IF(E113&lt;&gt;"",TransportProjectSum+StormwaterProjectSum+OpenSpaceProjectSum,"")</f>
        <v/>
      </c>
      <c r="H113" s="314"/>
    </row>
    <row r="114" spans="4:8" ht="12" x14ac:dyDescent="0.25">
      <c r="D114" s="375"/>
      <c r="E114" s="379"/>
      <c r="F114" s="377" t="str" cm="1">
        <f t="array" ref="F114">IFERROR(IF(E114&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14" s="324" t="str" cm="1">
        <f t="array" ref="G114">IF(E114&lt;&gt;"",TransportProjectSum+StormwaterProjectSum+OpenSpaceProjectSum,"")</f>
        <v/>
      </c>
      <c r="H114" s="314"/>
    </row>
    <row r="115" spans="4:8" ht="12" x14ac:dyDescent="0.25">
      <c r="D115" s="375"/>
      <c r="E115" s="379"/>
      <c r="F115" s="377" t="str" cm="1">
        <f t="array" ref="F115">IFERROR(IF(E115&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15" s="324" t="str" cm="1">
        <f t="array" ref="G115">IF(E115&lt;&gt;"",TransportProjectSum+StormwaterProjectSum+OpenSpaceProjectSum,"")</f>
        <v/>
      </c>
      <c r="H115" s="314"/>
    </row>
    <row r="116" spans="4:8" ht="12" x14ac:dyDescent="0.25">
      <c r="D116" s="375"/>
      <c r="E116" s="379"/>
      <c r="F116" s="377" t="str" cm="1">
        <f t="array" ref="F116">IFERROR(IF(E116&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16" s="324" t="str" cm="1">
        <f t="array" ref="G116">IF(E116&lt;&gt;"",TransportProjectSum+StormwaterProjectSum+OpenSpaceProjectSum,"")</f>
        <v/>
      </c>
      <c r="H116" s="314"/>
    </row>
    <row r="117" spans="4:8" ht="12" x14ac:dyDescent="0.25">
      <c r="D117" s="375"/>
      <c r="E117" s="379"/>
      <c r="F117" s="377" t="str" cm="1">
        <f t="array" ref="F117">IFERROR(IF(E117&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17" s="324" t="str" cm="1">
        <f t="array" ref="G117">IF(E117&lt;&gt;"",TransportProjectSum+StormwaterProjectSum+OpenSpaceProjectSum,"")</f>
        <v/>
      </c>
      <c r="H117" s="314"/>
    </row>
    <row r="118" spans="4:8" ht="12" x14ac:dyDescent="0.25">
      <c r="D118" s="375"/>
      <c r="E118" s="379"/>
      <c r="F118" s="377" t="str" cm="1">
        <f t="array" ref="F118">IFERROR(IF(E118&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18" s="324" t="str" cm="1">
        <f t="array" ref="G118">IF(E118&lt;&gt;"",TransportProjectSum+StormwaterProjectSum+OpenSpaceProjectSum,"")</f>
        <v/>
      </c>
      <c r="H118" s="314"/>
    </row>
    <row r="119" spans="4:8" ht="12" x14ac:dyDescent="0.25">
      <c r="D119" s="375"/>
      <c r="E119" s="379"/>
      <c r="F119" s="377" t="str" cm="1">
        <f t="array" ref="F119">IFERROR(IF(E119&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19" s="324" t="str" cm="1">
        <f t="array" ref="G119">IF(E119&lt;&gt;"",TransportProjectSum+StormwaterProjectSum+OpenSpaceProjectSum,"")</f>
        <v/>
      </c>
      <c r="H119" s="314"/>
    </row>
    <row r="120" spans="4:8" ht="12" x14ac:dyDescent="0.25">
      <c r="D120" s="375"/>
      <c r="E120" s="379"/>
      <c r="F120" s="377" t="str" cm="1">
        <f t="array" ref="F120">IFERROR(IF(E120&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20" s="324" t="str" cm="1">
        <f t="array" ref="G120">IF(E120&lt;&gt;"",TransportProjectSum+StormwaterProjectSum+OpenSpaceProjectSum,"")</f>
        <v/>
      </c>
      <c r="H120" s="314"/>
    </row>
    <row r="121" spans="4:8" ht="12" x14ac:dyDescent="0.25">
      <c r="D121" s="375"/>
      <c r="E121" s="379"/>
      <c r="F121" s="377" t="str" cm="1">
        <f t="array" ref="F121">IFERROR(IF(E121&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21" s="324" t="str" cm="1">
        <f t="array" ref="G121">IF(E121&lt;&gt;"",TransportProjectSum+StormwaterProjectSum+OpenSpaceProjectSum,"")</f>
        <v/>
      </c>
      <c r="H121" s="314"/>
    </row>
    <row r="122" spans="4:8" ht="12" x14ac:dyDescent="0.25">
      <c r="D122" s="375"/>
      <c r="E122" s="379"/>
      <c r="F122" s="377" t="str" cm="1">
        <f t="array" ref="F122">IFERROR(IF(E122&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22" s="324" t="str" cm="1">
        <f t="array" ref="G122">IF(E122&lt;&gt;"",TransportProjectSum+StormwaterProjectSum+OpenSpaceProjectSum,"")</f>
        <v/>
      </c>
      <c r="H122" s="314"/>
    </row>
    <row r="123" spans="4:8" ht="12" x14ac:dyDescent="0.25">
      <c r="D123" s="375"/>
      <c r="E123" s="379"/>
      <c r="F123" s="377" t="str" cm="1">
        <f t="array" ref="F123">IFERROR(IF(E123&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23" s="324" t="str" cm="1">
        <f t="array" ref="G123">IF(E123&lt;&gt;"",TransportProjectSum+StormwaterProjectSum+OpenSpaceProjectSum,"")</f>
        <v/>
      </c>
      <c r="H123" s="314"/>
    </row>
    <row r="124" spans="4:8" ht="12" x14ac:dyDescent="0.25">
      <c r="D124" s="375"/>
      <c r="E124" s="379"/>
      <c r="F124" s="377" t="str" cm="1">
        <f t="array" ref="F124">IFERROR(IF(E124&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24" s="324" t="str" cm="1">
        <f t="array" ref="G124">IF(E124&lt;&gt;"",TransportProjectSum+StormwaterProjectSum+OpenSpaceProjectSum,"")</f>
        <v/>
      </c>
      <c r="H124" s="314"/>
    </row>
    <row r="125" spans="4:8" ht="12" x14ac:dyDescent="0.25">
      <c r="D125" s="375"/>
      <c r="E125" s="379"/>
      <c r="F125" s="377" t="str" cm="1">
        <f t="array" ref="F125">IFERROR(IF(E125&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25" s="324" t="str" cm="1">
        <f t="array" ref="G125">IF(E125&lt;&gt;"",TransportProjectSum+StormwaterProjectSum+OpenSpaceProjectSum,"")</f>
        <v/>
      </c>
      <c r="H125" s="314"/>
    </row>
    <row r="126" spans="4:8" ht="12" x14ac:dyDescent="0.25">
      <c r="D126" s="375"/>
      <c r="E126" s="379"/>
      <c r="F126" s="377" t="str" cm="1">
        <f t="array" ref="F126">IFERROR(IF(E126&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26" s="324" t="str" cm="1">
        <f t="array" ref="G126">IF(E126&lt;&gt;"",TransportProjectSum+StormwaterProjectSum+OpenSpaceProjectSum,"")</f>
        <v/>
      </c>
      <c r="H126" s="314"/>
    </row>
    <row r="127" spans="4:8" ht="12" x14ac:dyDescent="0.25">
      <c r="D127" s="375"/>
      <c r="E127" s="379"/>
      <c r="F127" s="377" t="str" cm="1">
        <f t="array" ref="F127">IFERROR(IF(E127&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27" s="324" t="str" cm="1">
        <f t="array" ref="G127">IF(E127&lt;&gt;"",TransportProjectSum+StormwaterProjectSum+OpenSpaceProjectSum,"")</f>
        <v/>
      </c>
      <c r="H127" s="314"/>
    </row>
    <row r="128" spans="4:8" ht="12" x14ac:dyDescent="0.25">
      <c r="D128" s="375"/>
      <c r="E128" s="379"/>
      <c r="F128" s="377" t="str" cm="1">
        <f t="array" ref="F128">IFERROR(IF(E128&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28" s="324" t="str" cm="1">
        <f t="array" ref="G128">IF(E128&lt;&gt;"",TransportProjectSum+StormwaterProjectSum+OpenSpaceProjectSum,"")</f>
        <v/>
      </c>
      <c r="H128" s="314"/>
    </row>
    <row r="129" spans="4:8" ht="12" x14ac:dyDescent="0.25">
      <c r="D129" s="375"/>
      <c r="E129" s="379"/>
      <c r="F129" s="377" t="str" cm="1">
        <f t="array" ref="F129">IFERROR(IF(E129&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29" s="324" t="str" cm="1">
        <f t="array" ref="G129">IF(E129&lt;&gt;"",TransportProjectSum+StormwaterProjectSum+OpenSpaceProjectSum,"")</f>
        <v/>
      </c>
      <c r="H129" s="314"/>
    </row>
    <row r="130" spans="4:8" ht="12" x14ac:dyDescent="0.25">
      <c r="D130" s="375"/>
      <c r="E130" s="379"/>
      <c r="F130" s="377" t="str" cm="1">
        <f t="array" ref="F130">IFERROR(IF(E130&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30" s="324" t="str" cm="1">
        <f t="array" ref="G130">IF(E130&lt;&gt;"",TransportProjectSum+StormwaterProjectSum+OpenSpaceProjectSum,"")</f>
        <v/>
      </c>
      <c r="H130" s="314"/>
    </row>
    <row r="131" spans="4:8" ht="12" x14ac:dyDescent="0.25">
      <c r="D131" s="375"/>
      <c r="E131" s="379"/>
      <c r="F131" s="377" t="str" cm="1">
        <f t="array" ref="F131">IFERROR(IF(E131&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31" s="324" t="str" cm="1">
        <f t="array" ref="G131">IF(E131&lt;&gt;"",TransportProjectSum+StormwaterProjectSum+OpenSpaceProjectSum,"")</f>
        <v/>
      </c>
      <c r="H131" s="314"/>
    </row>
    <row r="132" spans="4:8" ht="12" x14ac:dyDescent="0.25">
      <c r="D132" s="375"/>
      <c r="E132" s="379"/>
      <c r="F132" s="377" t="str" cm="1">
        <f t="array" ref="F132">IFERROR(IF(E132&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32" s="324" t="str" cm="1">
        <f t="array" ref="G132">IF(E132&lt;&gt;"",TransportProjectSum+StormwaterProjectSum+OpenSpaceProjectSum,"")</f>
        <v/>
      </c>
      <c r="H132" s="314"/>
    </row>
    <row r="133" spans="4:8" ht="12" x14ac:dyDescent="0.25">
      <c r="D133" s="375"/>
      <c r="E133" s="379"/>
      <c r="F133" s="377" t="str" cm="1">
        <f t="array" ref="F133">IFERROR(IF(E133&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33" s="324" t="str" cm="1">
        <f t="array" ref="G133">IF(E133&lt;&gt;"",TransportProjectSum+StormwaterProjectSum+OpenSpaceProjectSum,"")</f>
        <v/>
      </c>
      <c r="H133" s="314"/>
    </row>
    <row r="134" spans="4:8" ht="12" x14ac:dyDescent="0.25">
      <c r="D134" s="375"/>
      <c r="E134" s="379"/>
      <c r="F134" s="377" t="str" cm="1">
        <f t="array" ref="F134">IFERROR(IF(E134&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34" s="324" t="str" cm="1">
        <f t="array" ref="G134">IF(E134&lt;&gt;"",TransportProjectSum+StormwaterProjectSum+OpenSpaceProjectSum,"")</f>
        <v/>
      </c>
      <c r="H134" s="314"/>
    </row>
    <row r="135" spans="4:8" ht="12" x14ac:dyDescent="0.25">
      <c r="D135" s="375"/>
      <c r="E135" s="379"/>
      <c r="F135" s="377" t="str" cm="1">
        <f t="array" ref="F135">IFERROR(IF(E135&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35" s="324" t="str" cm="1">
        <f t="array" ref="G135">IF(E135&lt;&gt;"",TransportProjectSum+StormwaterProjectSum+OpenSpaceProjectSum,"")</f>
        <v/>
      </c>
      <c r="H135" s="314"/>
    </row>
    <row r="136" spans="4:8" ht="12" x14ac:dyDescent="0.25">
      <c r="D136" s="375"/>
      <c r="E136" s="379"/>
      <c r="F136" s="377" t="str" cm="1">
        <f t="array" ref="F136">IFERROR(IF(E136&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36" s="324" t="str" cm="1">
        <f t="array" ref="G136">IF(E136&lt;&gt;"",TransportProjectSum+StormwaterProjectSum+OpenSpaceProjectSum,"")</f>
        <v/>
      </c>
      <c r="H136" s="314"/>
    </row>
    <row r="137" spans="4:8" ht="12" x14ac:dyDescent="0.25">
      <c r="D137" s="375"/>
      <c r="E137" s="379"/>
      <c r="F137" s="377" t="str" cm="1">
        <f t="array" ref="F137">IFERROR(IF(E137&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37" s="324" t="str" cm="1">
        <f t="array" ref="G137">IF(E137&lt;&gt;"",TransportProjectSum+StormwaterProjectSum+OpenSpaceProjectSum,"")</f>
        <v/>
      </c>
      <c r="H137" s="314"/>
    </row>
    <row r="138" spans="4:8" ht="12" x14ac:dyDescent="0.25">
      <c r="D138" s="375"/>
      <c r="E138" s="379"/>
      <c r="F138" s="377" t="str" cm="1">
        <f t="array" ref="F138">IFERROR(IF(E138&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38" s="324" t="str" cm="1">
        <f t="array" ref="G138">IF(E138&lt;&gt;"",TransportProjectSum+StormwaterProjectSum+OpenSpaceProjectSum,"")</f>
        <v/>
      </c>
      <c r="H138" s="314"/>
    </row>
    <row r="139" spans="4:8" ht="12" x14ac:dyDescent="0.25">
      <c r="D139" s="375"/>
      <c r="E139" s="379"/>
      <c r="F139" s="377" t="str" cm="1">
        <f t="array" ref="F139">IFERROR(IF(E139&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39" s="324" t="str" cm="1">
        <f t="array" ref="G139">IF(E139&lt;&gt;"",TransportProjectSum+StormwaterProjectSum+OpenSpaceProjectSum,"")</f>
        <v/>
      </c>
      <c r="H139" s="314"/>
    </row>
    <row r="140" spans="4:8" ht="12" x14ac:dyDescent="0.25">
      <c r="D140" s="375"/>
      <c r="E140" s="379"/>
      <c r="F140" s="377" t="str" cm="1">
        <f t="array" ref="F140">IFERROR(IF(E140&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40" s="324" t="str" cm="1">
        <f t="array" ref="G140">IF(E140&lt;&gt;"",TransportProjectSum+StormwaterProjectSum+OpenSpaceProjectSum,"")</f>
        <v/>
      </c>
      <c r="H140" s="314"/>
    </row>
    <row r="141" spans="4:8" ht="12" x14ac:dyDescent="0.25">
      <c r="D141" s="375"/>
      <c r="E141" s="379"/>
      <c r="F141" s="377" t="str" cm="1">
        <f t="array" ref="F141">IFERROR(IF(E141&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41" s="324" t="str" cm="1">
        <f t="array" ref="G141">IF(E141&lt;&gt;"",TransportProjectSum+StormwaterProjectSum+OpenSpaceProjectSum,"")</f>
        <v/>
      </c>
      <c r="H141" s="314"/>
    </row>
    <row r="142" spans="4:8" ht="12" x14ac:dyDescent="0.25">
      <c r="D142" s="375"/>
      <c r="E142" s="379"/>
      <c r="F142" s="377" t="str" cm="1">
        <f t="array" ref="F142">IFERROR(IF(E142&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42" s="324" t="str" cm="1">
        <f t="array" ref="G142">IF(E142&lt;&gt;"",TransportProjectSum+StormwaterProjectSum+OpenSpaceProjectSum,"")</f>
        <v/>
      </c>
      <c r="H142" s="314"/>
    </row>
    <row r="143" spans="4:8" ht="12" x14ac:dyDescent="0.25">
      <c r="D143" s="375"/>
      <c r="E143" s="379"/>
      <c r="F143" s="377" t="str" cm="1">
        <f t="array" ref="F143">IFERROR(IF(E143&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43" s="324" t="str" cm="1">
        <f t="array" ref="G143">IF(E143&lt;&gt;"",TransportProjectSum+StormwaterProjectSum+OpenSpaceProjectSum,"")</f>
        <v/>
      </c>
      <c r="H143" s="314"/>
    </row>
    <row r="144" spans="4:8" ht="12" x14ac:dyDescent="0.25">
      <c r="D144" s="375"/>
      <c r="E144" s="379"/>
      <c r="F144" s="377" t="str" cm="1">
        <f t="array" ref="F144">IFERROR(IF(E144&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44" s="324" t="str" cm="1">
        <f t="array" ref="G144">IF(E144&lt;&gt;"",TransportProjectSum+StormwaterProjectSum+OpenSpaceProjectSum,"")</f>
        <v/>
      </c>
      <c r="H144" s="314"/>
    </row>
    <row r="145" spans="4:8" ht="12" x14ac:dyDescent="0.25">
      <c r="D145" s="375"/>
      <c r="E145" s="379"/>
      <c r="F145" s="377" t="str" cm="1">
        <f t="array" ref="F145">IFERROR(IF(E145&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45" s="324" t="str" cm="1">
        <f t="array" ref="G145">IF(E145&lt;&gt;"",TransportProjectSum+StormwaterProjectSum+OpenSpaceProjectSum,"")</f>
        <v/>
      </c>
      <c r="H145" s="314"/>
    </row>
    <row r="146" spans="4:8" ht="12" x14ac:dyDescent="0.25">
      <c r="D146" s="375"/>
      <c r="E146" s="379"/>
      <c r="F146" s="377" t="str" cm="1">
        <f t="array" ref="F146">IFERROR(IF(E146&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46" s="324" t="str" cm="1">
        <f t="array" ref="G146">IF(E146&lt;&gt;"",TransportProjectSum+StormwaterProjectSum+OpenSpaceProjectSum,"")</f>
        <v/>
      </c>
      <c r="H146" s="314"/>
    </row>
    <row r="147" spans="4:8" ht="12" x14ac:dyDescent="0.25">
      <c r="D147" s="375"/>
      <c r="E147" s="379"/>
      <c r="F147" s="377" t="str" cm="1">
        <f t="array" ref="F147">IFERROR(IF(E147&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47" s="324" t="str" cm="1">
        <f t="array" ref="G147">IF(E147&lt;&gt;"",TransportProjectSum+StormwaterProjectSum+OpenSpaceProjectSum,"")</f>
        <v/>
      </c>
      <c r="H147" s="314"/>
    </row>
    <row r="148" spans="4:8" ht="12" x14ac:dyDescent="0.25">
      <c r="D148" s="375"/>
      <c r="E148" s="379"/>
      <c r="F148" s="377" t="str" cm="1">
        <f t="array" ref="F148">IFERROR(IF(E148&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48" s="324" t="str" cm="1">
        <f t="array" ref="G148">IF(E148&lt;&gt;"",TransportProjectSum+StormwaterProjectSum+OpenSpaceProjectSum,"")</f>
        <v/>
      </c>
      <c r="H148" s="314"/>
    </row>
    <row r="149" spans="4:8" ht="12" x14ac:dyDescent="0.25">
      <c r="D149" s="375"/>
      <c r="E149" s="379"/>
      <c r="F149" s="377" t="str" cm="1">
        <f t="array" ref="F149">IFERROR(IF(E149&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49" s="324" t="str" cm="1">
        <f t="array" ref="G149">IF(E149&lt;&gt;"",TransportProjectSum+StormwaterProjectSum+OpenSpaceProjectSum,"")</f>
        <v/>
      </c>
      <c r="H149" s="314"/>
    </row>
    <row r="150" spans="4:8" ht="12" x14ac:dyDescent="0.25">
      <c r="D150" s="375"/>
      <c r="E150" s="379"/>
      <c r="F150" s="377" t="str" cm="1">
        <f t="array" ref="F150">IFERROR(IF(E150&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50" s="324" t="str" cm="1">
        <f t="array" ref="G150">IF(E150&lt;&gt;"",TransportProjectSum+StormwaterProjectSum+OpenSpaceProjectSum,"")</f>
        <v/>
      </c>
      <c r="H150" s="314"/>
    </row>
    <row r="151" spans="4:8" ht="12" x14ac:dyDescent="0.25">
      <c r="D151" s="375"/>
      <c r="E151" s="379"/>
      <c r="F151" s="377" t="str" cm="1">
        <f t="array" ref="F151">IFERROR(IF(E151&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51" s="324" t="str" cm="1">
        <f t="array" ref="G151">IF(E151&lt;&gt;"",TransportProjectSum+StormwaterProjectSum+OpenSpaceProjectSum,"")</f>
        <v/>
      </c>
      <c r="H151" s="314"/>
    </row>
    <row r="152" spans="4:8" ht="12" x14ac:dyDescent="0.25">
      <c r="D152" s="375"/>
      <c r="E152" s="379"/>
      <c r="F152" s="377" t="str" cm="1">
        <f t="array" ref="F152">IFERROR(IF(E152&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52" s="324" t="str" cm="1">
        <f t="array" ref="G152">IF(E152&lt;&gt;"",TransportProjectSum+StormwaterProjectSum+OpenSpaceProjectSum,"")</f>
        <v/>
      </c>
      <c r="H152" s="314"/>
    </row>
    <row r="153" spans="4:8" ht="12" x14ac:dyDescent="0.25">
      <c r="D153" s="375"/>
      <c r="E153" s="379"/>
      <c r="F153" s="377" t="str" cm="1">
        <f t="array" ref="F153">IFERROR(IF(E153&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53" s="324" t="str" cm="1">
        <f t="array" ref="G153">IF(E153&lt;&gt;"",TransportProjectSum+StormwaterProjectSum+OpenSpaceProjectSum,"")</f>
        <v/>
      </c>
      <c r="H153" s="314"/>
    </row>
    <row r="154" spans="4:8" ht="12" x14ac:dyDescent="0.25">
      <c r="D154" s="375"/>
      <c r="E154" s="379"/>
      <c r="F154" s="377" t="str" cm="1">
        <f t="array" ref="F154">IFERROR(IF(E154&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54" s="324" t="str" cm="1">
        <f t="array" ref="G154">IF(E154&lt;&gt;"",TransportProjectSum+StormwaterProjectSum+OpenSpaceProjectSum,"")</f>
        <v/>
      </c>
      <c r="H154" s="314"/>
    </row>
    <row r="155" spans="4:8" ht="12" x14ac:dyDescent="0.25">
      <c r="D155" s="375"/>
      <c r="E155" s="379"/>
      <c r="F155" s="377" t="str" cm="1">
        <f t="array" ref="F155">IFERROR(IF(E155&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55" s="324" t="str" cm="1">
        <f t="array" ref="G155">IF(E155&lt;&gt;"",TransportProjectSum+StormwaterProjectSum+OpenSpaceProjectSum,"")</f>
        <v/>
      </c>
      <c r="H155" s="314"/>
    </row>
    <row r="156" spans="4:8" ht="12" x14ac:dyDescent="0.25">
      <c r="D156" s="375"/>
      <c r="E156" s="379"/>
      <c r="F156" s="377" t="str" cm="1">
        <f t="array" ref="F156">IFERROR(IF(E156&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56" s="324" t="str" cm="1">
        <f t="array" ref="G156">IF(E156&lt;&gt;"",TransportProjectSum+StormwaterProjectSum+OpenSpaceProjectSum,"")</f>
        <v/>
      </c>
      <c r="H156" s="314"/>
    </row>
    <row r="157" spans="4:8" ht="12" x14ac:dyDescent="0.25">
      <c r="D157" s="375"/>
      <c r="E157" s="379"/>
      <c r="F157" s="377" t="str" cm="1">
        <f t="array" ref="F157">IFERROR(IF(E157&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57" s="324" t="str" cm="1">
        <f t="array" ref="G157">IF(E157&lt;&gt;"",TransportProjectSum+StormwaterProjectSum+OpenSpaceProjectSum,"")</f>
        <v/>
      </c>
      <c r="H157" s="314"/>
    </row>
    <row r="158" spans="4:8" ht="12" x14ac:dyDescent="0.25">
      <c r="D158" s="375"/>
      <c r="E158" s="379"/>
      <c r="F158" s="377" t="str" cm="1">
        <f t="array" ref="F158">IFERROR(IF(E158&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58" s="324" t="str" cm="1">
        <f t="array" ref="G158">IF(E158&lt;&gt;"",TransportProjectSum+StormwaterProjectSum+OpenSpaceProjectSum,"")</f>
        <v/>
      </c>
      <c r="H158" s="314"/>
    </row>
    <row r="159" spans="4:8" ht="12" x14ac:dyDescent="0.25">
      <c r="D159" s="375"/>
      <c r="E159" s="379"/>
      <c r="F159" s="377" t="str" cm="1">
        <f t="array" ref="F159">IFERROR(IF(E159&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59" s="324" t="str" cm="1">
        <f t="array" ref="G159">IF(E159&lt;&gt;"",TransportProjectSum+StormwaterProjectSum+OpenSpaceProjectSum,"")</f>
        <v/>
      </c>
      <c r="H159" s="314"/>
    </row>
    <row r="160" spans="4:8" ht="12" x14ac:dyDescent="0.25">
      <c r="D160" s="375"/>
      <c r="E160" s="379"/>
      <c r="F160" s="377" t="str" cm="1">
        <f t="array" ref="F160">IFERROR(IF(E160&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60" s="324" t="str" cm="1">
        <f t="array" ref="G160">IF(E160&lt;&gt;"",TransportProjectSum+StormwaterProjectSum+OpenSpaceProjectSum,"")</f>
        <v/>
      </c>
      <c r="H160" s="314"/>
    </row>
    <row r="161" spans="4:8" ht="12" x14ac:dyDescent="0.25">
      <c r="D161" s="375"/>
      <c r="E161" s="379"/>
      <c r="F161" s="377" t="str" cm="1">
        <f t="array" ref="F161">IFERROR(IF(E161&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61" s="324" t="str" cm="1">
        <f t="array" ref="G161">IF(E161&lt;&gt;"",TransportProjectSum+StormwaterProjectSum+OpenSpaceProjectSum,"")</f>
        <v/>
      </c>
      <c r="H161" s="314"/>
    </row>
    <row r="162" spans="4:8" ht="12" x14ac:dyDescent="0.25">
      <c r="D162" s="375"/>
      <c r="E162" s="379"/>
      <c r="F162" s="377" t="str" cm="1">
        <f t="array" ref="F162">IFERROR(IF(E162&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62" s="324" t="str" cm="1">
        <f t="array" ref="G162">IF(E162&lt;&gt;"",TransportProjectSum+StormwaterProjectSum+OpenSpaceProjectSum,"")</f>
        <v/>
      </c>
      <c r="H162" s="314"/>
    </row>
    <row r="163" spans="4:8" ht="12" x14ac:dyDescent="0.25">
      <c r="D163" s="375"/>
      <c r="E163" s="379"/>
      <c r="F163" s="377" t="str" cm="1">
        <f t="array" ref="F163">IFERROR(IF(E163&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63" s="324" t="str" cm="1">
        <f t="array" ref="G163">IF(E163&lt;&gt;"",TransportProjectSum+StormwaterProjectSum+OpenSpaceProjectSum,"")</f>
        <v/>
      </c>
      <c r="H163" s="314"/>
    </row>
    <row r="164" spans="4:8" ht="12" x14ac:dyDescent="0.25">
      <c r="D164" s="375"/>
      <c r="E164" s="379"/>
      <c r="F164" s="377" t="str" cm="1">
        <f t="array" ref="F164">IFERROR(IF(E164&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64" s="324" t="str" cm="1">
        <f t="array" ref="G164">IF(E164&lt;&gt;"",TransportProjectSum+StormwaterProjectSum+OpenSpaceProjectSum,"")</f>
        <v/>
      </c>
      <c r="H164" s="314"/>
    </row>
    <row r="165" spans="4:8" ht="12" x14ac:dyDescent="0.25">
      <c r="D165" s="375"/>
      <c r="E165" s="379"/>
      <c r="F165" s="377" t="str" cm="1">
        <f t="array" ref="F165">IFERROR(IF(E165&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65" s="324" t="str" cm="1">
        <f t="array" ref="G165">IF(E165&lt;&gt;"",TransportProjectSum+StormwaterProjectSum+OpenSpaceProjectSum,"")</f>
        <v/>
      </c>
      <c r="H165" s="314"/>
    </row>
    <row r="166" spans="4:8" ht="12" x14ac:dyDescent="0.25">
      <c r="D166" s="375"/>
      <c r="E166" s="379"/>
      <c r="F166" s="377" t="str" cm="1">
        <f t="array" ref="F166">IFERROR(IF(E166&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66" s="324" t="str" cm="1">
        <f t="array" ref="G166">IF(E166&lt;&gt;"",TransportProjectSum+StormwaterProjectSum+OpenSpaceProjectSum,"")</f>
        <v/>
      </c>
      <c r="H166" s="314"/>
    </row>
    <row r="167" spans="4:8" ht="12" x14ac:dyDescent="0.25">
      <c r="D167" s="375"/>
      <c r="E167" s="379"/>
      <c r="F167" s="377" t="str" cm="1">
        <f t="array" ref="F167">IFERROR(IF(E167&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67" s="324" t="str" cm="1">
        <f t="array" ref="G167">IF(E167&lt;&gt;"",TransportProjectSum+StormwaterProjectSum+OpenSpaceProjectSum,"")</f>
        <v/>
      </c>
      <c r="H167" s="314"/>
    </row>
    <row r="168" spans="4:8" ht="12" x14ac:dyDescent="0.25">
      <c r="D168" s="375"/>
      <c r="E168" s="379"/>
      <c r="F168" s="377" t="str" cm="1">
        <f t="array" ref="F168">IFERROR(IF(E168&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68" s="324" t="str" cm="1">
        <f t="array" ref="G168">IF(E168&lt;&gt;"",TransportProjectSum+StormwaterProjectSum+OpenSpaceProjectSum,"")</f>
        <v/>
      </c>
      <c r="H168" s="314"/>
    </row>
    <row r="169" spans="4:8" ht="12" x14ac:dyDescent="0.25">
      <c r="D169" s="375"/>
      <c r="E169" s="379"/>
      <c r="F169" s="377" t="str" cm="1">
        <f t="array" ref="F169">IFERROR(IF(E169&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69" s="324" t="str" cm="1">
        <f t="array" ref="G169">IF(E169&lt;&gt;"",TransportProjectSum+StormwaterProjectSum+OpenSpaceProjectSum,"")</f>
        <v/>
      </c>
      <c r="H169" s="314"/>
    </row>
    <row r="170" spans="4:8" ht="12" x14ac:dyDescent="0.25">
      <c r="D170" s="375"/>
      <c r="E170" s="379"/>
      <c r="F170" s="377" t="str" cm="1">
        <f t="array" ref="F170">IFERROR(IF(E170&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70" s="324" t="str" cm="1">
        <f t="array" ref="G170">IF(E170&lt;&gt;"",TransportProjectSum+StormwaterProjectSum+OpenSpaceProjectSum,"")</f>
        <v/>
      </c>
      <c r="H170" s="314"/>
    </row>
    <row r="171" spans="4:8" ht="12" x14ac:dyDescent="0.25">
      <c r="D171" s="375"/>
      <c r="E171" s="379"/>
      <c r="F171" s="377" t="str" cm="1">
        <f t="array" ref="F171">IFERROR(IF(E171&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71" s="324" t="str" cm="1">
        <f t="array" ref="G171">IF(E171&lt;&gt;"",TransportProjectSum+StormwaterProjectSum+OpenSpaceProjectSum,"")</f>
        <v/>
      </c>
      <c r="H171" s="314"/>
    </row>
    <row r="172" spans="4:8" ht="12" x14ac:dyDescent="0.25">
      <c r="D172" s="375"/>
      <c r="E172" s="379"/>
      <c r="F172" s="377" t="str" cm="1">
        <f t="array" ref="F172">IFERROR(IF(E172&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72" s="324" t="str" cm="1">
        <f t="array" ref="G172">IF(E172&lt;&gt;"",TransportProjectSum+StormwaterProjectSum+OpenSpaceProjectSum,"")</f>
        <v/>
      </c>
      <c r="H172" s="314"/>
    </row>
    <row r="173" spans="4:8" ht="12" x14ac:dyDescent="0.25">
      <c r="D173" s="375"/>
      <c r="E173" s="379"/>
      <c r="F173" s="377" t="str" cm="1">
        <f t="array" ref="F173">IFERROR(IF(E173&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73" s="324" t="str" cm="1">
        <f t="array" ref="G173">IF(E173&lt;&gt;"",TransportProjectSum+StormwaterProjectSum+OpenSpaceProjectSum,"")</f>
        <v/>
      </c>
      <c r="H173" s="314"/>
    </row>
    <row r="174" spans="4:8" ht="12" x14ac:dyDescent="0.25">
      <c r="D174" s="375"/>
      <c r="E174" s="379"/>
      <c r="F174" s="377" t="str" cm="1">
        <f t="array" ref="F174">IFERROR(IF(E174&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74" s="324" t="str" cm="1">
        <f t="array" ref="G174">IF(E174&lt;&gt;"",TransportProjectSum+StormwaterProjectSum+OpenSpaceProjectSum,"")</f>
        <v/>
      </c>
      <c r="H174" s="314"/>
    </row>
    <row r="175" spans="4:8" ht="12" x14ac:dyDescent="0.25">
      <c r="D175" s="375"/>
      <c r="E175" s="379"/>
      <c r="F175" s="377" t="str" cm="1">
        <f t="array" ref="F175">IFERROR(IF(E175&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75" s="324" t="str" cm="1">
        <f t="array" ref="G175">IF(E175&lt;&gt;"",TransportProjectSum+StormwaterProjectSum+OpenSpaceProjectSum,"")</f>
        <v/>
      </c>
      <c r="H175" s="314"/>
    </row>
    <row r="176" spans="4:8" ht="12" x14ac:dyDescent="0.25">
      <c r="D176" s="375"/>
      <c r="E176" s="379"/>
      <c r="F176" s="377" t="str" cm="1">
        <f t="array" ref="F176">IFERROR(IF(E176&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76" s="324" t="str" cm="1">
        <f t="array" ref="G176">IF(E176&lt;&gt;"",TransportProjectSum+StormwaterProjectSum+OpenSpaceProjectSum,"")</f>
        <v/>
      </c>
      <c r="H176" s="314"/>
    </row>
    <row r="177" spans="4:8" ht="12" x14ac:dyDescent="0.25">
      <c r="D177" s="375"/>
      <c r="E177" s="379"/>
      <c r="F177" s="377" t="str" cm="1">
        <f t="array" ref="F177">IFERROR(IF(E177&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77" s="324" t="str" cm="1">
        <f t="array" ref="G177">IF(E177&lt;&gt;"",TransportProjectSum+StormwaterProjectSum+OpenSpaceProjectSum,"")</f>
        <v/>
      </c>
      <c r="H177" s="314"/>
    </row>
    <row r="178" spans="4:8" ht="12" x14ac:dyDescent="0.25">
      <c r="D178" s="375"/>
      <c r="E178" s="379"/>
      <c r="F178" s="377" t="str" cm="1">
        <f t="array" ref="F178">IFERROR(IF(E178&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78" s="324" t="str" cm="1">
        <f t="array" ref="G178">IF(E178&lt;&gt;"",TransportProjectSum+StormwaterProjectSum+OpenSpaceProjectSum,"")</f>
        <v/>
      </c>
      <c r="H178" s="314"/>
    </row>
    <row r="179" spans="4:8" ht="12" x14ac:dyDescent="0.25">
      <c r="D179" s="375"/>
      <c r="E179" s="379"/>
      <c r="F179" s="377" t="str" cm="1">
        <f t="array" ref="F179">IFERROR(IF(E179&lt;&gt;"",_xlfn.IFS(AND(TransportProjectSum&gt;0,StormwaterProjectSum=0,OpenSpaceProjectSum=0),"Transport",AND(StormwaterProjectSum&gt;0,TransportProjectSum=0,OpenSpaceProjectSum=0),"Stormwater",AND(OpenSpaceProjectSum&gt;0,TransportProjectSum=0,StormwaterProjectSum=0),"Open space",OR(AND(TransportProjectSum&gt;0,StormwaterProjectSum&gt;0,OpenSpaceProjectSum&gt;0),AND(TransportProjectSum&gt;0,StormwaterProjectSum&gt;0),AND(TransportProjectSum&gt;0,OpenSpaceProjectSum&gt;0),AND(StormwaterProjectSum&gt;0,OpenSpaceProjectSum&gt;0)),"Multiple categories"),""),"")</f>
        <v/>
      </c>
      <c r="G179" s="324" t="str" cm="1">
        <f t="array" ref="G179">IF(E179&lt;&gt;"",TransportProjectSum+StormwaterProjectSum+OpenSpaceProjectSum,"")</f>
        <v/>
      </c>
      <c r="H179" s="314"/>
    </row>
  </sheetData>
  <sheetProtection algorithmName="SHA-512" hashValue="i5hiS2v/lkea5aYFjGYh40GoNo7AlBJaRyvhGyzh1TFQy5pFSqDCw/vJFNoyQYCe7U+iD+nzplXTW/3iJBHxCg==" saltValue="/KkdASd3UzshO7GFSmOoMQ==" spinCount="100000" sheet="1" objects="1" scenarios="1"/>
  <conditionalFormatting sqref="D12">
    <cfRule type="beginsWith" dxfId="2" priority="1" operator="beginsWith" text="No">
      <formula>LEFT(D12,LEN("No"))="No"</formula>
    </cfRule>
    <cfRule type="beginsWith" dxfId="1" priority="2" operator="beginsWith" text="There">
      <formula>LEFT(D12,LEN("There"))="There"</formula>
    </cfRule>
    <cfRule type="beginsWith" dxfId="0" priority="3" operator="beginsWith" text="All">
      <formula>LEFT(D12,LEN("All"))="All"</formula>
    </cfRule>
  </conditionalFormatting>
  <dataValidations count="2">
    <dataValidation allowBlank="1" showInputMessage="1" showErrorMessage="1" promptTitle="Work project reference" prompt="Type in the reference/identifier for the work project." sqref="D20:D179" xr:uid="{069E9234-69F6-4061-88B7-D7E2983337D0}"/>
    <dataValidation allowBlank="1" showInputMessage="1" showErrorMessage="1" promptTitle="Work project" prompt="Type in the title of an overarching project that the local infrastructure items are for. For example, a work project could include transport, stormwater, and/or open space items." sqref="E20:E179" xr:uid="{1B1E61F9-7B0B-4684-AC76-A6089E06009A}"/>
  </dataValidation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3B9FF"/>
  </sheetPr>
  <dimension ref="A1:AD68"/>
  <sheetViews>
    <sheetView showGridLines="0" zoomScaleNormal="100" workbookViewId="0">
      <pane xSplit="7" ySplit="15" topLeftCell="I16" activePane="bottomRight" state="frozen"/>
      <selection pane="topRight" activeCell="G1" sqref="G1"/>
      <selection pane="bottomLeft" activeCell="A15" sqref="A15"/>
      <selection pane="bottomRight"/>
    </sheetView>
  </sheetViews>
  <sheetFormatPr defaultRowHeight="11.4" x14ac:dyDescent="0.2"/>
  <cols>
    <col min="1" max="3" width="3.25" customWidth="1"/>
    <col min="4" max="4" width="4.625" customWidth="1"/>
    <col min="5" max="5" width="12.375" customWidth="1"/>
    <col min="6" max="6" width="56.875" bestFit="1" customWidth="1"/>
    <col min="7" max="7" width="62.75" customWidth="1"/>
    <col min="8" max="8" width="35" hidden="1" customWidth="1"/>
    <col min="9" max="10" width="50" customWidth="1"/>
    <col min="11" max="11" width="13" customWidth="1"/>
    <col min="12" max="12" width="12.625" customWidth="1"/>
    <col min="13" max="13" width="13.75" customWidth="1"/>
    <col min="14" max="14" width="16.875" customWidth="1"/>
    <col min="15" max="15" width="17.125" customWidth="1"/>
    <col min="16" max="16" width="16.375" customWidth="1"/>
    <col min="17" max="17" width="18.375" customWidth="1"/>
    <col min="18" max="18" width="27.375" bestFit="1" customWidth="1"/>
    <col min="19" max="19" width="15.875" customWidth="1"/>
    <col min="20" max="20" width="34" bestFit="1" customWidth="1"/>
    <col min="21" max="21" width="17.125" customWidth="1"/>
    <col min="22" max="22" width="13.125" customWidth="1"/>
    <col min="23" max="23" width="11.875" customWidth="1"/>
    <col min="24" max="24" width="14.25" customWidth="1"/>
    <col min="25" max="25" width="19.25" bestFit="1" customWidth="1"/>
    <col min="26" max="26" width="13.125" customWidth="1"/>
    <col min="27" max="27" width="19.375" customWidth="1"/>
    <col min="28" max="28" width="21.25" customWidth="1"/>
    <col min="29" max="30" width="19.375" customWidth="1"/>
    <col min="31" max="31" width="12.375" customWidth="1"/>
  </cols>
  <sheetData>
    <row r="1" spans="1:30" x14ac:dyDescent="0.2">
      <c r="A1" s="231"/>
    </row>
    <row r="4" spans="1:30" ht="19.8" thickBot="1" x14ac:dyDescent="0.4">
      <c r="D4" s="146" t="s">
        <v>145</v>
      </c>
      <c r="E4" s="146"/>
      <c r="F4" s="146"/>
      <c r="G4" s="146"/>
      <c r="H4" s="146"/>
    </row>
    <row r="5" spans="1:30" ht="15" customHeight="1" thickTop="1" x14ac:dyDescent="0.2"/>
    <row r="6" spans="1:30" ht="14.4" x14ac:dyDescent="0.3">
      <c r="D6" s="148" t="s">
        <v>868</v>
      </c>
      <c r="E6" s="148"/>
      <c r="F6" s="148"/>
      <c r="H6" s="148"/>
      <c r="I6" s="148"/>
      <c r="J6" s="148"/>
    </row>
    <row r="7" spans="1:30" ht="14.4" x14ac:dyDescent="0.3">
      <c r="D7" s="148" t="s">
        <v>770</v>
      </c>
      <c r="E7" s="148"/>
      <c r="F7" s="148"/>
      <c r="H7" s="148"/>
      <c r="I7" s="148"/>
      <c r="J7" s="148"/>
    </row>
    <row r="8" spans="1:30" ht="14.4" x14ac:dyDescent="0.3">
      <c r="D8" s="148" t="s">
        <v>753</v>
      </c>
      <c r="E8" s="148"/>
      <c r="F8" s="148"/>
      <c r="H8" s="148"/>
      <c r="I8" s="148"/>
      <c r="J8" s="148"/>
    </row>
    <row r="9" spans="1:30" ht="14.4" x14ac:dyDescent="0.3">
      <c r="D9" s="148"/>
      <c r="E9" s="148"/>
      <c r="F9" s="148"/>
      <c r="H9" s="148"/>
      <c r="I9" s="148"/>
      <c r="J9" s="148"/>
    </row>
    <row r="10" spans="1:30" x14ac:dyDescent="0.2">
      <c r="F10" s="206" t="s">
        <v>605</v>
      </c>
    </row>
    <row r="11" spans="1:30" ht="14.4" customHeight="1" x14ac:dyDescent="0.2">
      <c r="F11" s="206" t="str">
        <f>Summary!$F$11</f>
        <v>$2025-26</v>
      </c>
      <c r="AA11" s="358"/>
    </row>
    <row r="12" spans="1:30" ht="14.4" x14ac:dyDescent="0.3">
      <c r="F12" s="191">
        <f>MATCH(F11,Lists!C3:C4,)</f>
        <v>2</v>
      </c>
      <c r="H12" s="326"/>
      <c r="I12" s="326"/>
      <c r="J12" s="326"/>
      <c r="AA12" s="357"/>
    </row>
    <row r="13" spans="1:30" ht="14.4" x14ac:dyDescent="0.3">
      <c r="F13" s="191"/>
      <c r="H13" s="148"/>
      <c r="I13" s="148"/>
      <c r="AA13" s="325"/>
      <c r="AB13" s="357"/>
    </row>
    <row r="15" spans="1:30" ht="48" x14ac:dyDescent="0.2">
      <c r="D15" s="215" t="s">
        <v>699</v>
      </c>
      <c r="E15" s="313" t="s">
        <v>833</v>
      </c>
      <c r="F15" s="155" t="s">
        <v>146</v>
      </c>
      <c r="G15" s="156" t="s">
        <v>754</v>
      </c>
      <c r="H15" s="242" t="s">
        <v>717</v>
      </c>
      <c r="I15" s="156" t="s">
        <v>834</v>
      </c>
      <c r="J15" s="156" t="s">
        <v>835</v>
      </c>
      <c r="K15" s="156" t="s">
        <v>147</v>
      </c>
      <c r="L15" s="156" t="s">
        <v>180</v>
      </c>
      <c r="M15" s="157" t="s">
        <v>148</v>
      </c>
      <c r="N15" s="157" t="s">
        <v>149</v>
      </c>
      <c r="O15" s="157" t="s">
        <v>150</v>
      </c>
      <c r="P15" s="157" t="s">
        <v>151</v>
      </c>
      <c r="Q15" s="157" t="s">
        <v>152</v>
      </c>
      <c r="R15" s="157" t="s">
        <v>153</v>
      </c>
      <c r="S15" s="157" t="s">
        <v>154</v>
      </c>
      <c r="T15" s="157" t="s">
        <v>155</v>
      </c>
      <c r="U15" s="157" t="s">
        <v>156</v>
      </c>
      <c r="V15" s="157" t="s">
        <v>157</v>
      </c>
      <c r="W15" s="157" t="s">
        <v>158</v>
      </c>
      <c r="X15" s="157" t="s">
        <v>159</v>
      </c>
      <c r="Y15" s="157" t="s">
        <v>160</v>
      </c>
      <c r="Z15" s="156" t="s">
        <v>161</v>
      </c>
      <c r="AA15" s="157" t="s">
        <v>162</v>
      </c>
      <c r="AB15" s="158" t="s">
        <v>163</v>
      </c>
      <c r="AC15" s="158" t="s">
        <v>164</v>
      </c>
      <c r="AD15" s="158" t="s">
        <v>165</v>
      </c>
    </row>
    <row r="16" spans="1:30" ht="12.6" thickBot="1" x14ac:dyDescent="0.3">
      <c r="D16" s="304"/>
      <c r="E16" s="307"/>
      <c r="F16" s="305" t="s">
        <v>173</v>
      </c>
      <c r="G16" s="306"/>
      <c r="H16" s="327">
        <f>IFERROR(_xlfn.XLOOKUP(F16,Lists!$C$10:$C$41,Lists!$D$10:$D$41),0)</f>
        <v>0</v>
      </c>
      <c r="I16" s="328"/>
      <c r="J16" s="328"/>
      <c r="K16" s="329"/>
      <c r="L16" s="329"/>
      <c r="M16" s="307"/>
      <c r="N16" s="330" t="str">
        <f>IF(SUM($N$17:$N$66)&gt;0,SUM($N$17:$N$66),"")</f>
        <v/>
      </c>
      <c r="O16" s="307"/>
      <c r="P16" s="307"/>
      <c r="Q16" s="307"/>
      <c r="R16" s="329"/>
      <c r="S16" s="307"/>
      <c r="T16" s="307"/>
      <c r="U16" s="307"/>
      <c r="V16" s="307"/>
      <c r="W16" s="307"/>
      <c r="X16" s="307"/>
      <c r="Y16" s="307"/>
      <c r="Z16" s="307"/>
      <c r="AA16" s="330" t="str">
        <f>IF(SUM($AA$17:$AA$66)&gt;0,SUM($AA$17:$AA$66),"")</f>
        <v/>
      </c>
      <c r="AB16" s="330" t="str">
        <f>IF(SUM($AB$17:$AB$66)&gt;0,SUM($AB$17:$AB$66),"")</f>
        <v/>
      </c>
      <c r="AC16" s="330" t="str">
        <f>IF(AND(TableTransport[[#This Row],[Your works schedule cost]]&lt;&gt;"",TableTransport[[#This Row],[Total benchmark cost]]&lt;&gt;""),SUM($AC$17:$AC$66),"")</f>
        <v/>
      </c>
      <c r="AD16" s="380" t="str">
        <f>IFERROR((SUMIFS(AB17:AB66,AA17:AA66,"&lt;&gt;")-SUMIFS(AA17:AA66,AB17:AB66,"&lt;&gt;"))/SUMIFS(AA17:AA66,AB17:AB66,"&lt;&gt;"),"")</f>
        <v/>
      </c>
    </row>
    <row r="17" spans="4:30" ht="12.6" thickTop="1" x14ac:dyDescent="0.25">
      <c r="D17" s="216">
        <f>ROW()-16</f>
        <v>1</v>
      </c>
      <c r="E17" s="312"/>
      <c r="F17" s="187"/>
      <c r="G17" s="96"/>
      <c r="H17" s="244">
        <f>IFERROR(_xlfn.XLOOKUP(F17,Lists!$C$10:$C$41,Lists!$D$10:$D$41),0)</f>
        <v>0</v>
      </c>
      <c r="I17" s="96"/>
      <c r="J17" s="185"/>
      <c r="K17" s="331" t="str" cm="1">
        <f t="array" ref="K17">IFERROR(IF($H17=0,INDEX('Variable index'!$E$6:$F$51,MATCH($F17,'Variable index'!$C$6:$C$51,0),$F$12),INDEX('Variable index'!$E$6:$F$51,MATCH(_xlfn.CONCAT($F17," - ",$G17),'Variable index'!$C$6:$C$51,0),$F$12)),"")</f>
        <v/>
      </c>
      <c r="L17" s="332" t="str">
        <f>IFERROR(_xlfn.CONCAT("$ per ",IF($H17=0,_xlfn.XLOOKUP($F17,'Variable index'!$C$6:$C$51,'Variable index'!$D$6:$D$51),_xlfn.XLOOKUP(_xlfn.CONCAT($F17," - ",$G17),'Variable index'!$C$6:$C$51,'Variable index'!$D$6:$D$51))),"")</f>
        <v/>
      </c>
      <c r="M17" s="301"/>
      <c r="N17" s="335" t="str">
        <f>IFERROR(IF(TableTransport[[#This Row],[Unit quantity]]="","",TableTransport[[#This Row],[Unit rate]]*TableTransport[[#This Row],[Unit quantity]]),"")</f>
        <v/>
      </c>
      <c r="O17" s="247" t="str">
        <f>IF(TableTransport[[#This Row],[Type of infrastructure]]&lt;&gt;"",Summary!$F$8,"")</f>
        <v/>
      </c>
      <c r="P17" s="246" t="str">
        <f>IF(TableTransport[[#This Row],[Type of infrastructure]]&lt;&gt;"",Summary!$F$9,"")</f>
        <v/>
      </c>
      <c r="Q17" s="302"/>
      <c r="R17" s="188"/>
      <c r="S17" s="301"/>
      <c r="T17" s="188"/>
      <c r="U17" s="301"/>
      <c r="V17" s="338" t="str" cm="1">
        <f t="array" ref="V17">IF(N17&lt;&gt;"",_xlfn.IFS(AND(N17&gt;='Variable index'!$K$35,N17&lt;'Variable index'!$K$36),'Variable index'!$L$35,AND(N17&gt;='Variable index'!$K$36,N17&lt;'Variable index'!$K$37),'Variable index'!$L$36,AND(N17&gt;='Variable index'!$K$37,N17&lt;'Variable index'!$K$38),'Variable index'!$L$37,N17&gt;='Variable index'!$K$38,'Variable index'!$L$38),"")</f>
        <v/>
      </c>
      <c r="W17" s="237"/>
      <c r="X17" s="336" t="str" cm="1">
        <f t="array" ref="X17">IF(AND(W17&lt;&gt;"",N17&lt;&gt;""),_xlfn.IFS(W17="Yes",_xlfn.IFS(AND(N17&gt;='Variable index'!$K$35,N17&lt;'Variable index'!$K$36),'Variable index'!$M$35,AND(N17&gt;='Variable index'!$K$36,N17&lt;'Variable index'!$K$37),'Variable index'!$M$36,AND(N17&gt;='Variable index'!$K$37,N17&lt;'Variable index'!$K$38),'Variable index'!$M$37,N17&gt;='Variable index'!$K$38,'Variable index'!$M$38),W17="No",0),"")</f>
        <v/>
      </c>
      <c r="Y17" s="120"/>
      <c r="Z17" s="336" t="str" cm="1">
        <f t="array" ref="Z17">IF(Y17&lt;&gt;"",_xlfn.IFS(Y17='Variable index'!$J$53,SUM('Variable index'!$K$48:$M$48),Y17='Variable index'!$J$54,SUM('Variable index'!$L$48:$M$48),Y17='Variable index'!$J$55,SUM('Variable index'!$M$48)),"")</f>
        <v/>
      </c>
      <c r="AA17" s="337" t="str" cm="1">
        <f t="array" ref="AA17">IFERROR(N17*(1+_xlfn.XLOOKUP(O17,'Rawlinsons regional indices'!$A$2:$A$63,'Rawlinsons regional indices'!$C$2:$C$63)+Q17+_xlfn.IFS(P17&lt;'Variable index'!$J$17,'Variable index'!$K$13,AND(P17&gt;='Variable index'!$J$17,P17&lt;'Variable index'!$J$18),'Variable index'!$L$13,P17&gt;='Variable index'!$J$18,'Variable index'!$M$13))+IF(R17&lt;&gt;"",INDEX('Variable index'!$E$57:$F$65,MATCH(R17,'Variable index'!$C$57:$C$65,0),$F$12)*S17)+IF(T17&lt;&gt;"",INDEX('Variable index'!$E$68:$F$73,MATCH(T17,'Variable index'!$C$68:$C$73,0),$F$12)*U17)+(N17*V17)+(N17*X17)+(N17*Z17),"")</f>
        <v/>
      </c>
      <c r="AB17" s="303"/>
      <c r="AC17" s="337" t="str">
        <f>IF(AND(AB17&lt;&gt;"",AA17&lt;&gt;""),AB17-AA17,"")</f>
        <v/>
      </c>
      <c r="AD17" s="340" t="str">
        <f>IF(AND(AB17&lt;&gt;"",AA17&lt;&gt;""),(AB17-AA17)/AA17,"")</f>
        <v/>
      </c>
    </row>
    <row r="18" spans="4:30" ht="12" x14ac:dyDescent="0.25">
      <c r="D18" s="216">
        <f t="shared" ref="D18:D66" si="0">ROW()-16</f>
        <v>2</v>
      </c>
      <c r="E18" s="312"/>
      <c r="F18" s="186"/>
      <c r="G18" s="185"/>
      <c r="H18" s="243">
        <f>IFERROR(_xlfn.XLOOKUP(F18,Lists!$C$10:$C$41,Lists!$D$10:$D$41),0)</f>
        <v>0</v>
      </c>
      <c r="I18" s="185"/>
      <c r="J18" s="185"/>
      <c r="K18" s="333" t="str" cm="1">
        <f t="array" ref="K18">IFERROR(IF($H18=0,INDEX('Variable index'!$E$6:$F$51,MATCH($F18,'Variable index'!$C$6:$C$51,0),$F$12),INDEX('Variable index'!$E$6:$F$51,MATCH(_xlfn.CONCAT($F18," - ",$G18),'Variable index'!$C$6:$C$51,0),$F$12)),"")</f>
        <v/>
      </c>
      <c r="L18" s="334" t="str">
        <f>IFERROR(_xlfn.CONCAT("$ per ",IF($H18=0,_xlfn.XLOOKUP($F18,'Variable index'!$C$6:$C$51,'Variable index'!$D$6:$D$51),_xlfn.XLOOKUP(_xlfn.CONCAT($F18," - ",$G18),'Variable index'!$C$6:$C$51,'Variable index'!$D$6:$D$51))),"")</f>
        <v/>
      </c>
      <c r="M18" s="140"/>
      <c r="N18" s="335" t="str">
        <f>IFERROR(IF(TableTransport[[#This Row],[Unit quantity]]="","",TableTransport[[#This Row],[Unit rate]]*TableTransport[[#This Row],[Unit quantity]]),"")</f>
        <v/>
      </c>
      <c r="O18" s="238" t="str">
        <f>IF(TableTransport[[#This Row],[Type of infrastructure]]&lt;&gt;"",Summary!$F$8,"")</f>
        <v/>
      </c>
      <c r="P18" s="239" t="str">
        <f>IF(TableTransport[[#This Row],[Type of infrastructure]]&lt;&gt;"",Summary!$F$9,"")</f>
        <v/>
      </c>
      <c r="Q18" s="241"/>
      <c r="R18" s="188"/>
      <c r="S18" s="140"/>
      <c r="T18" s="188"/>
      <c r="U18" s="140"/>
      <c r="V18" s="338" t="str" cm="1">
        <f t="array" ref="V18">IF(N18&lt;&gt;"",_xlfn.IFS(AND(N18&gt;='Variable index'!$K$35,N18&lt;'Variable index'!$K$36),'Variable index'!$L$35,AND(N18&gt;='Variable index'!$K$36,N18&lt;'Variable index'!$K$37),'Variable index'!$L$36,AND(N18&gt;='Variable index'!$K$37,N18&lt;'Variable index'!$K$38),'Variable index'!$L$37,N18&gt;='Variable index'!$K$38,'Variable index'!$L$38),"")</f>
        <v/>
      </c>
      <c r="W18" s="237"/>
      <c r="X18" s="336" t="str" cm="1">
        <f t="array" ref="X18">IF(AND(W18&lt;&gt;"",N18&lt;&gt;""),_xlfn.IFS(W18="Yes",_xlfn.IFS(AND(N18&gt;='Variable index'!$K$35,N18&lt;'Variable index'!$K$36),'Variable index'!$M$35,AND(N18&gt;='Variable index'!$K$36,N18&lt;'Variable index'!$K$37),'Variable index'!$M$36,AND(N18&gt;='Variable index'!$K$37,N18&lt;'Variable index'!$K$38),'Variable index'!$M$37,N18&gt;='Variable index'!$K$38,'Variable index'!$M$38),W18="No",0),"")</f>
        <v/>
      </c>
      <c r="Y18" s="120"/>
      <c r="Z18" s="338" t="str" cm="1">
        <f t="array" ref="Z18">IF(Y18&lt;&gt;"",_xlfn.IFS(Y18='Variable index'!$J$53,SUM('Variable index'!$K$48:$M$48),Y18='Variable index'!$J$54,SUM('Variable index'!$L$48:$M$48),Y18='Variable index'!$J$55,SUM('Variable index'!$M$48)),"")</f>
        <v/>
      </c>
      <c r="AA18" s="339" t="str" cm="1">
        <f t="array" ref="AA18">IFERROR(N18*(1+_xlfn.XLOOKUP(O18,'Rawlinsons regional indices'!$A$2:$A$63,'Rawlinsons regional indices'!$C$2:$C$63)+Q18+_xlfn.IFS(P18&lt;'Variable index'!$J$17,'Variable index'!$K$13,AND(P18&gt;='Variable index'!$J$17,P18&lt;'Variable index'!$J$18),'Variable index'!$L$13,P18&gt;='Variable index'!$J$18,'Variable index'!$M$13))+IF(R18&lt;&gt;"",INDEX('Variable index'!$E$57:$F$65,MATCH(R18,'Variable index'!$C$57:$C$65,0),$F$12)*S18)+IF(T18&lt;&gt;"",INDEX('Variable index'!$E$68:$F$73,MATCH(T18,'Variable index'!$C$68:$C$73,0),$F$12)*U18)+(N18*V18)+(N18*X18)+(N18*Z18),"")</f>
        <v/>
      </c>
      <c r="AB18" s="300"/>
      <c r="AC18" s="337" t="str">
        <f t="shared" ref="AC18:AC66" si="1">IF(AND(AB18&lt;&gt;"",AA18&lt;&gt;""),AB18-AA18,"")</f>
        <v/>
      </c>
      <c r="AD18" s="340" t="str">
        <f>IF(AND(AB18&lt;&gt;"",AA18&lt;&gt;""),(AB18-AA18)/AA18,"")</f>
        <v/>
      </c>
    </row>
    <row r="19" spans="4:30" ht="12" x14ac:dyDescent="0.25">
      <c r="D19" s="216">
        <f t="shared" si="0"/>
        <v>3</v>
      </c>
      <c r="E19" s="312"/>
      <c r="F19" s="186"/>
      <c r="G19" s="185"/>
      <c r="H19" s="243">
        <f>IFERROR(_xlfn.XLOOKUP(F19,Lists!$C$10:$C$41,Lists!$D$10:$D$41),0)</f>
        <v>0</v>
      </c>
      <c r="I19" s="185"/>
      <c r="J19" s="185"/>
      <c r="K19" s="333" t="str" cm="1">
        <f t="array" ref="K19">IFERROR(IF($H19=0,INDEX('Variable index'!$E$6:$F$51,MATCH($F19,'Variable index'!$C$6:$C$51,0),$F$12),INDEX('Variable index'!$E$6:$F$51,MATCH(_xlfn.CONCAT($F19," - ",$G19),'Variable index'!$C$6:$C$51,0),$F$12)),"")</f>
        <v/>
      </c>
      <c r="L19" s="334" t="str">
        <f>IFERROR(_xlfn.CONCAT("$ per ",IF($H19=0,_xlfn.XLOOKUP($F19,'Variable index'!$C$6:$C$51,'Variable index'!$D$6:$D$51),_xlfn.XLOOKUP(_xlfn.CONCAT($F19," - ",$G19),'Variable index'!$C$6:$C$51,'Variable index'!$D$6:$D$51))),"")</f>
        <v/>
      </c>
      <c r="M19" s="140"/>
      <c r="N19" s="335" t="str">
        <f>IFERROR(IF(TableTransport[[#This Row],[Unit quantity]]="","",TableTransport[[#This Row],[Unit rate]]*TableTransport[[#This Row],[Unit quantity]]),"")</f>
        <v/>
      </c>
      <c r="O19" s="238" t="str">
        <f>IF(TableTransport[[#This Row],[Type of infrastructure]]&lt;&gt;"",Summary!$F$8,"")</f>
        <v/>
      </c>
      <c r="P19" s="239" t="str">
        <f>IF(TableTransport[[#This Row],[Type of infrastructure]]&lt;&gt;"",Summary!$F$9,"")</f>
        <v/>
      </c>
      <c r="Q19" s="241"/>
      <c r="R19" s="188"/>
      <c r="S19" s="140"/>
      <c r="T19" s="188"/>
      <c r="U19" s="140"/>
      <c r="V19" s="338" t="str" cm="1">
        <f t="array" ref="V19">IF(N19&lt;&gt;"",_xlfn.IFS(AND(N19&gt;='Variable index'!$K$35,N19&lt;'Variable index'!$K$36),'Variable index'!$L$35,AND(N19&gt;='Variable index'!$K$36,N19&lt;'Variable index'!$K$37),'Variable index'!$L$36,AND(N19&gt;='Variable index'!$K$37,N19&lt;'Variable index'!$K$38),'Variable index'!$L$37,N19&gt;='Variable index'!$K$38,'Variable index'!$L$38),"")</f>
        <v/>
      </c>
      <c r="W19" s="237"/>
      <c r="X19" s="336" t="str" cm="1">
        <f t="array" ref="X19">IF(AND(W19&lt;&gt;"",N19&lt;&gt;""),_xlfn.IFS(W19="Yes",_xlfn.IFS(AND(N19&gt;='Variable index'!$K$35,N19&lt;'Variable index'!$K$36),'Variable index'!$M$35,AND(N19&gt;='Variable index'!$K$36,N19&lt;'Variable index'!$K$37),'Variable index'!$M$36,AND(N19&gt;='Variable index'!$K$37,N19&lt;'Variable index'!$K$38),'Variable index'!$M$37,N19&gt;='Variable index'!$K$38,'Variable index'!$M$38),W19="No",0),"")</f>
        <v/>
      </c>
      <c r="Y19" s="120"/>
      <c r="Z19" s="338" t="str" cm="1">
        <f t="array" ref="Z19">IF(Y19&lt;&gt;"",_xlfn.IFS(Y19='Variable index'!$J$53,SUM('Variable index'!$K$48:$M$48),Y19='Variable index'!$J$54,SUM('Variable index'!$L$48:$M$48),Y19='Variable index'!$J$55,SUM('Variable index'!$M$48)),"")</f>
        <v/>
      </c>
      <c r="AA19" s="339" t="str" cm="1">
        <f t="array" ref="AA19">IFERROR(N19*(1+_xlfn.XLOOKUP(O19,'Rawlinsons regional indices'!$A$2:$A$63,'Rawlinsons regional indices'!$C$2:$C$63)+Q19+_xlfn.IFS(P19&lt;'Variable index'!$J$17,'Variable index'!$K$13,AND(P19&gt;='Variable index'!$J$17,P19&lt;'Variable index'!$J$18),'Variable index'!$L$13,P19&gt;='Variable index'!$J$18,'Variable index'!$M$13))+IF(R19&lt;&gt;"",INDEX('Variable index'!$E$57:$F$65,MATCH(R19,'Variable index'!$C$57:$C$65,0),$F$12)*S19)+IF(T19&lt;&gt;"",INDEX('Variable index'!$E$68:$F$73,MATCH(T19,'Variable index'!$C$68:$C$73,0),$F$12)*U19)+(N19*V19)+(N19*X19)+(N19*Z19),"")</f>
        <v/>
      </c>
      <c r="AB19" s="300"/>
      <c r="AC19" s="337" t="str">
        <f t="shared" si="1"/>
        <v/>
      </c>
      <c r="AD19" s="340" t="str">
        <f t="shared" ref="AD19:AD66" si="2">IF(AND(AB19&lt;&gt;"",AA19&lt;&gt;""),(AB19-AA19)/AA19,"")</f>
        <v/>
      </c>
    </row>
    <row r="20" spans="4:30" ht="12" x14ac:dyDescent="0.25">
      <c r="D20" s="216">
        <f t="shared" si="0"/>
        <v>4</v>
      </c>
      <c r="E20" s="312"/>
      <c r="F20" s="186"/>
      <c r="G20" s="185"/>
      <c r="H20" s="243">
        <f>IFERROR(_xlfn.XLOOKUP(F20,Lists!$C$10:$C$41,Lists!$D$10:$D$41),0)</f>
        <v>0</v>
      </c>
      <c r="I20" s="185"/>
      <c r="J20" s="185"/>
      <c r="K20" s="333" t="str" cm="1">
        <f t="array" ref="K20">IFERROR(IF($H20=0,INDEX('Variable index'!$E$6:$F$51,MATCH($F20,'Variable index'!$C$6:$C$51,0),$F$12),INDEX('Variable index'!$E$6:$F$51,MATCH(_xlfn.CONCAT($F20," - ",$G20),'Variable index'!$C$6:$C$51,0),$F$12)),"")</f>
        <v/>
      </c>
      <c r="L20" s="334" t="str">
        <f>IFERROR(_xlfn.CONCAT("$ per ",IF($H20=0,_xlfn.XLOOKUP($F20,'Variable index'!$C$6:$C$51,'Variable index'!$D$6:$D$51),_xlfn.XLOOKUP(_xlfn.CONCAT($F20," - ",$G20),'Variable index'!$C$6:$C$51,'Variable index'!$D$6:$D$51))),"")</f>
        <v/>
      </c>
      <c r="M20" s="140"/>
      <c r="N20" s="335" t="str">
        <f>IFERROR(IF(TableTransport[[#This Row],[Unit quantity]]="","",TableTransport[[#This Row],[Unit rate]]*TableTransport[[#This Row],[Unit quantity]]),"")</f>
        <v/>
      </c>
      <c r="O20" s="238" t="str">
        <f>IF(TableTransport[[#This Row],[Type of infrastructure]]&lt;&gt;"",Summary!$F$8,"")</f>
        <v/>
      </c>
      <c r="P20" s="239" t="str">
        <f>IF(TableTransport[[#This Row],[Type of infrastructure]]&lt;&gt;"",Summary!$F$9,"")</f>
        <v/>
      </c>
      <c r="Q20" s="241"/>
      <c r="R20" s="188"/>
      <c r="S20" s="140"/>
      <c r="T20" s="188"/>
      <c r="U20" s="140"/>
      <c r="V20" s="338" t="str" cm="1">
        <f t="array" ref="V20">IF(N20&lt;&gt;"",_xlfn.IFS(AND(N20&gt;='Variable index'!$K$35,N20&lt;'Variable index'!$K$36),'Variable index'!$L$35,AND(N20&gt;='Variable index'!$K$36,N20&lt;'Variable index'!$K$37),'Variable index'!$L$36,AND(N20&gt;='Variable index'!$K$37,N20&lt;'Variable index'!$K$38),'Variable index'!$L$37,N20&gt;='Variable index'!$K$38,'Variable index'!$L$38),"")</f>
        <v/>
      </c>
      <c r="W20" s="237"/>
      <c r="X20" s="336" t="str" cm="1">
        <f t="array" ref="X20">IF(AND(W20&lt;&gt;"",N20&lt;&gt;""),_xlfn.IFS(W20="Yes",_xlfn.IFS(AND(N20&gt;='Variable index'!$K$35,N20&lt;'Variable index'!$K$36),'Variable index'!$M$35,AND(N20&gt;='Variable index'!$K$36,N20&lt;'Variable index'!$K$37),'Variable index'!$M$36,AND(N20&gt;='Variable index'!$K$37,N20&lt;'Variable index'!$K$38),'Variable index'!$M$37,N20&gt;='Variable index'!$K$38,'Variable index'!$M$38),W20="No",0),"")</f>
        <v/>
      </c>
      <c r="Y20" s="120"/>
      <c r="Z20" s="338" t="str" cm="1">
        <f t="array" ref="Z20">IF(Y20&lt;&gt;"",_xlfn.IFS(Y20='Variable index'!$J$53,SUM('Variable index'!$K$48:$M$48),Y20='Variable index'!$J$54,SUM('Variable index'!$L$48:$M$48),Y20='Variable index'!$J$55,SUM('Variable index'!$M$48)),"")</f>
        <v/>
      </c>
      <c r="AA20" s="339" t="str" cm="1">
        <f t="array" ref="AA20">IFERROR(N20*(1+_xlfn.XLOOKUP(O20,'Rawlinsons regional indices'!$A$2:$A$63,'Rawlinsons regional indices'!$C$2:$C$63)+Q20+_xlfn.IFS(P20&lt;'Variable index'!$J$17,'Variable index'!$K$13,AND(P20&gt;='Variable index'!$J$17,P20&lt;'Variable index'!$J$18),'Variable index'!$L$13,P20&gt;='Variable index'!$J$18,'Variable index'!$M$13))+IF(R20&lt;&gt;"",INDEX('Variable index'!$E$57:$F$65,MATCH(R20,'Variable index'!$C$57:$C$65,0),$F$12)*S20)+IF(T20&lt;&gt;"",INDEX('Variable index'!$E$68:$F$73,MATCH(T20,'Variable index'!$C$68:$C$73,0),$F$12)*U20)+(N20*V20)+(N20*X20)+(N20*Z20),"")</f>
        <v/>
      </c>
      <c r="AB20" s="300"/>
      <c r="AC20" s="337" t="str">
        <f t="shared" si="1"/>
        <v/>
      </c>
      <c r="AD20" s="340" t="str">
        <f t="shared" si="2"/>
        <v/>
      </c>
    </row>
    <row r="21" spans="4:30" ht="12" x14ac:dyDescent="0.25">
      <c r="D21" s="216">
        <f t="shared" si="0"/>
        <v>5</v>
      </c>
      <c r="E21" s="312"/>
      <c r="F21" s="186"/>
      <c r="G21" s="185"/>
      <c r="H21" s="243">
        <f>IFERROR(_xlfn.XLOOKUP(F21,Lists!$C$10:$C$41,Lists!$D$10:$D$41),0)</f>
        <v>0</v>
      </c>
      <c r="I21" s="185"/>
      <c r="J21" s="185"/>
      <c r="K21" s="333" t="str" cm="1">
        <f t="array" ref="K21">IFERROR(IF($H21=0,INDEX('Variable index'!$E$6:$F$51,MATCH($F21,'Variable index'!$C$6:$C$51,0),$F$12),INDEX('Variable index'!$E$6:$F$51,MATCH(_xlfn.CONCAT($F21," - ",$G21),'Variable index'!$C$6:$C$51,0),$F$12)),"")</f>
        <v/>
      </c>
      <c r="L21" s="334" t="str">
        <f>IFERROR(_xlfn.CONCAT("$ per ",IF($H21=0,_xlfn.XLOOKUP($F21,'Variable index'!$C$6:$C$51,'Variable index'!$D$6:$D$51),_xlfn.XLOOKUP(_xlfn.CONCAT($F21," - ",$G21),'Variable index'!$C$6:$C$51,'Variable index'!$D$6:$D$51))),"")</f>
        <v/>
      </c>
      <c r="M21" s="140"/>
      <c r="N21" s="335" t="str">
        <f>IFERROR(IF(TableTransport[[#This Row],[Unit quantity]]="","",TableTransport[[#This Row],[Unit rate]]*TableTransport[[#This Row],[Unit quantity]]),"")</f>
        <v/>
      </c>
      <c r="O21" s="238" t="str">
        <f>IF(TableTransport[[#This Row],[Type of infrastructure]]&lt;&gt;"",Summary!$F$8,"")</f>
        <v/>
      </c>
      <c r="P21" s="239" t="str">
        <f>IF(TableTransport[[#This Row],[Type of infrastructure]]&lt;&gt;"",Summary!$F$9,"")</f>
        <v/>
      </c>
      <c r="Q21" s="241"/>
      <c r="R21" s="188"/>
      <c r="S21" s="140"/>
      <c r="T21" s="188"/>
      <c r="U21" s="140"/>
      <c r="V21" s="338" t="str" cm="1">
        <f t="array" ref="V21">IF(N21&lt;&gt;"",_xlfn.IFS(AND(N21&gt;='Variable index'!$K$35,N21&lt;'Variable index'!$K$36),'Variable index'!$L$35,AND(N21&gt;='Variable index'!$K$36,N21&lt;'Variable index'!$K$37),'Variable index'!$L$36,AND(N21&gt;='Variable index'!$K$37,N21&lt;'Variable index'!$K$38),'Variable index'!$L$37,N21&gt;='Variable index'!$K$38,'Variable index'!$L$38),"")</f>
        <v/>
      </c>
      <c r="W21" s="237"/>
      <c r="X21" s="336" t="str" cm="1">
        <f t="array" ref="X21">IF(AND(W21&lt;&gt;"",N21&lt;&gt;""),_xlfn.IFS(W21="Yes",_xlfn.IFS(AND(N21&gt;='Variable index'!$K$35,N21&lt;'Variable index'!$K$36),'Variable index'!$M$35,AND(N21&gt;='Variable index'!$K$36,N21&lt;'Variable index'!$K$37),'Variable index'!$M$36,AND(N21&gt;='Variable index'!$K$37,N21&lt;'Variable index'!$K$38),'Variable index'!$M$37,N21&gt;='Variable index'!$K$38,'Variable index'!$M$38),W21="No",0),"")</f>
        <v/>
      </c>
      <c r="Y21" s="120"/>
      <c r="Z21" s="338" t="str" cm="1">
        <f t="array" ref="Z21">IF(Y21&lt;&gt;"",_xlfn.IFS(Y21='Variable index'!$J$53,SUM('Variable index'!$K$48:$M$48),Y21='Variable index'!$J$54,SUM('Variable index'!$L$48:$M$48),Y21='Variable index'!$J$55,SUM('Variable index'!$M$48)),"")</f>
        <v/>
      </c>
      <c r="AA21" s="339" t="str" cm="1">
        <f t="array" ref="AA21">IFERROR(N21*(1+_xlfn.XLOOKUP(O21,'Rawlinsons regional indices'!$A$2:$A$63,'Rawlinsons regional indices'!$C$2:$C$63)+Q21+_xlfn.IFS(P21&lt;'Variable index'!$J$17,'Variable index'!$K$13,AND(P21&gt;='Variable index'!$J$17,P21&lt;'Variable index'!$J$18),'Variable index'!$L$13,P21&gt;='Variable index'!$J$18,'Variable index'!$M$13))+IF(R21&lt;&gt;"",INDEX('Variable index'!$E$57:$F$65,MATCH(R21,'Variable index'!$C$57:$C$65,0),$F$12)*S21)+IF(T21&lt;&gt;"",INDEX('Variable index'!$E$68:$F$73,MATCH(T21,'Variable index'!$C$68:$C$73,0),$F$12)*U21)+(N21*V21)+(N21*X21)+(N21*Z21),"")</f>
        <v/>
      </c>
      <c r="AB21" s="300"/>
      <c r="AC21" s="337" t="str">
        <f t="shared" si="1"/>
        <v/>
      </c>
      <c r="AD21" s="340" t="str">
        <f t="shared" si="2"/>
        <v/>
      </c>
    </row>
    <row r="22" spans="4:30" ht="12" x14ac:dyDescent="0.25">
      <c r="D22" s="216">
        <f t="shared" si="0"/>
        <v>6</v>
      </c>
      <c r="E22" s="312"/>
      <c r="F22" s="186"/>
      <c r="G22" s="185"/>
      <c r="H22" s="243">
        <f>IFERROR(_xlfn.XLOOKUP(F22,Lists!$C$10:$C$41,Lists!$D$10:$D$41),0)</f>
        <v>0</v>
      </c>
      <c r="I22" s="185"/>
      <c r="J22" s="185"/>
      <c r="K22" s="333" t="str" cm="1">
        <f t="array" ref="K22">IFERROR(IF($H22=0,INDEX('Variable index'!$E$6:$F$51,MATCH($F22,'Variable index'!$C$6:$C$51,0),$F$12),INDEX('Variable index'!$E$6:$F$51,MATCH(_xlfn.CONCAT($F22," - ",$G22),'Variable index'!$C$6:$C$51,0),$F$12)),"")</f>
        <v/>
      </c>
      <c r="L22" s="334" t="str">
        <f>IFERROR(_xlfn.CONCAT("$ per ",IF($H22=0,_xlfn.XLOOKUP($F22,'Variable index'!$C$6:$C$51,'Variable index'!$D$6:$D$51),_xlfn.XLOOKUP(_xlfn.CONCAT($F22," - ",$G22),'Variable index'!$C$6:$C$51,'Variable index'!$D$6:$D$51))),"")</f>
        <v/>
      </c>
      <c r="M22" s="140"/>
      <c r="N22" s="335" t="str">
        <f>IFERROR(IF(TableTransport[[#This Row],[Unit quantity]]="","",TableTransport[[#This Row],[Unit rate]]*TableTransport[[#This Row],[Unit quantity]]),"")</f>
        <v/>
      </c>
      <c r="O22" s="238" t="str">
        <f>IF(TableTransport[[#This Row],[Type of infrastructure]]&lt;&gt;"",Summary!$F$8,"")</f>
        <v/>
      </c>
      <c r="P22" s="239" t="str">
        <f>IF(TableTransport[[#This Row],[Type of infrastructure]]&lt;&gt;"",Summary!$F$9,"")</f>
        <v/>
      </c>
      <c r="Q22" s="241"/>
      <c r="R22" s="188"/>
      <c r="S22" s="140"/>
      <c r="T22" s="188"/>
      <c r="U22" s="140"/>
      <c r="V22" s="338" t="str" cm="1">
        <f t="array" ref="V22">IF(N22&lt;&gt;"",_xlfn.IFS(AND(N22&gt;='Variable index'!$K$35,N22&lt;'Variable index'!$K$36),'Variable index'!$L$35,AND(N22&gt;='Variable index'!$K$36,N22&lt;'Variable index'!$K$37),'Variable index'!$L$36,AND(N22&gt;='Variable index'!$K$37,N22&lt;'Variable index'!$K$38),'Variable index'!$L$37,N22&gt;='Variable index'!$K$38,'Variable index'!$L$38),"")</f>
        <v/>
      </c>
      <c r="W22" s="237"/>
      <c r="X22" s="336" t="str" cm="1">
        <f t="array" ref="X22">IF(AND(W22&lt;&gt;"",N22&lt;&gt;""),_xlfn.IFS(W22="Yes",_xlfn.IFS(AND(N22&gt;='Variable index'!$K$35,N22&lt;'Variable index'!$K$36),'Variable index'!$M$35,AND(N22&gt;='Variable index'!$K$36,N22&lt;'Variable index'!$K$37),'Variable index'!$M$36,AND(N22&gt;='Variable index'!$K$37,N22&lt;'Variable index'!$K$38),'Variable index'!$M$37,N22&gt;='Variable index'!$K$38,'Variable index'!$M$38),W22="No",0),"")</f>
        <v/>
      </c>
      <c r="Y22" s="188"/>
      <c r="Z22" s="338" t="str" cm="1">
        <f t="array" ref="Z22">IF(Y22&lt;&gt;"",_xlfn.IFS(Y22='Variable index'!$J$53,SUM('Variable index'!$K$48:$M$48),Y22='Variable index'!$J$54,SUM('Variable index'!$L$48:$M$48),Y22='Variable index'!$J$55,SUM('Variable index'!$M$48)),"")</f>
        <v/>
      </c>
      <c r="AA22" s="339" t="str" cm="1">
        <f t="array" ref="AA22">IFERROR(N22*(1+_xlfn.XLOOKUP(O22,'Rawlinsons regional indices'!$A$2:$A$63,'Rawlinsons regional indices'!$C$2:$C$63)+Q22+_xlfn.IFS(P22&lt;'Variable index'!$J$17,'Variable index'!$K$13,AND(P22&gt;='Variable index'!$J$17,P22&lt;'Variable index'!$J$18),'Variable index'!$L$13,P22&gt;='Variable index'!$J$18,'Variable index'!$M$13))+IF(R22&lt;&gt;"",INDEX('Variable index'!$E$57:$F$65,MATCH(R22,'Variable index'!$C$57:$C$65,0),$F$12)*S22)+IF(T22&lt;&gt;"",INDEX('Variable index'!$E$68:$F$73,MATCH(T22,'Variable index'!$C$68:$C$73,0),$F$12)*U22)+(N22*V22)+(N22*X22)+(N22*Z22),"")</f>
        <v/>
      </c>
      <c r="AB22" s="300"/>
      <c r="AC22" s="337" t="str">
        <f t="shared" si="1"/>
        <v/>
      </c>
      <c r="AD22" s="340" t="str">
        <f t="shared" si="2"/>
        <v/>
      </c>
    </row>
    <row r="23" spans="4:30" ht="12" x14ac:dyDescent="0.25">
      <c r="D23" s="216">
        <f t="shared" si="0"/>
        <v>7</v>
      </c>
      <c r="E23" s="312"/>
      <c r="F23" s="187"/>
      <c r="G23" s="185"/>
      <c r="H23" s="243">
        <f>IFERROR(_xlfn.XLOOKUP(F23,Lists!$C$10:$C$41,Lists!$D$10:$D$41),0)</f>
        <v>0</v>
      </c>
      <c r="I23" s="185"/>
      <c r="J23" s="185"/>
      <c r="K23" s="333" t="str" cm="1">
        <f t="array" ref="K23">IFERROR(IF($H23=0,INDEX('Variable index'!$E$6:$F$51,MATCH($F23,'Variable index'!$C$6:$C$51,0),$F$12),INDEX('Variable index'!$E$6:$F$51,MATCH(_xlfn.CONCAT($F23," - ",$G23),'Variable index'!$C$6:$C$51,0),$F$12)),"")</f>
        <v/>
      </c>
      <c r="L23" s="334" t="str">
        <f>IFERROR(_xlfn.CONCAT("$ per ",IF($H23=0,_xlfn.XLOOKUP($F23,'Variable index'!$C$6:$C$51,'Variable index'!$D$6:$D$51),_xlfn.XLOOKUP(_xlfn.CONCAT($F23," - ",$G23),'Variable index'!$C$6:$C$51,'Variable index'!$D$6:$D$51))),"")</f>
        <v/>
      </c>
      <c r="M23" s="140"/>
      <c r="N23" s="335" t="str">
        <f>IFERROR(IF(TableTransport[[#This Row],[Unit quantity]]="","",TableTransport[[#This Row],[Unit rate]]*TableTransport[[#This Row],[Unit quantity]]),"")</f>
        <v/>
      </c>
      <c r="O23" s="238" t="str">
        <f>IF(TableTransport[[#This Row],[Type of infrastructure]]&lt;&gt;"",Summary!$F$8,"")</f>
        <v/>
      </c>
      <c r="P23" s="239" t="str">
        <f>IF(TableTransport[[#This Row],[Type of infrastructure]]&lt;&gt;"",Summary!$F$9,"")</f>
        <v/>
      </c>
      <c r="Q23" s="241"/>
      <c r="R23" s="188"/>
      <c r="S23" s="140"/>
      <c r="T23" s="188"/>
      <c r="U23" s="140"/>
      <c r="V23" s="338" t="str" cm="1">
        <f t="array" ref="V23">IF(N23&lt;&gt;"",_xlfn.IFS(AND(N23&gt;='Variable index'!$K$35,N23&lt;'Variable index'!$K$36),'Variable index'!$L$35,AND(N23&gt;='Variable index'!$K$36,N23&lt;'Variable index'!$K$37),'Variable index'!$L$36,AND(N23&gt;='Variable index'!$K$37,N23&lt;'Variable index'!$K$38),'Variable index'!$L$37,N23&gt;='Variable index'!$K$38,'Variable index'!$L$38),"")</f>
        <v/>
      </c>
      <c r="W23" s="237"/>
      <c r="X23" s="336" t="str" cm="1">
        <f t="array" ref="X23">IF(AND(W23&lt;&gt;"",N23&lt;&gt;""),_xlfn.IFS(W23="Yes",_xlfn.IFS(AND(N23&gt;='Variable index'!$K$35,N23&lt;'Variable index'!$K$36),'Variable index'!$M$35,AND(N23&gt;='Variable index'!$K$36,N23&lt;'Variable index'!$K$37),'Variable index'!$M$36,AND(N23&gt;='Variable index'!$K$37,N23&lt;'Variable index'!$K$38),'Variable index'!$M$37,N23&gt;='Variable index'!$K$38,'Variable index'!$M$38),W23="No",0),"")</f>
        <v/>
      </c>
      <c r="Y23" s="188"/>
      <c r="Z23" s="338" t="str" cm="1">
        <f t="array" ref="Z23">IF(Y23&lt;&gt;"",_xlfn.IFS(Y23='Variable index'!$J$53,SUM('Variable index'!$K$48:$M$48),Y23='Variable index'!$J$54,SUM('Variable index'!$L$48:$M$48),Y23='Variable index'!$J$55,SUM('Variable index'!$M$48)),"")</f>
        <v/>
      </c>
      <c r="AA23" s="339" t="str" cm="1">
        <f t="array" ref="AA23">IFERROR(N23*(1+_xlfn.XLOOKUP(O23,'Rawlinsons regional indices'!$A$2:$A$63,'Rawlinsons regional indices'!$C$2:$C$63)+Q23+_xlfn.IFS(P23&lt;'Variable index'!$J$17,'Variable index'!$K$13,AND(P23&gt;='Variable index'!$J$17,P23&lt;'Variable index'!$J$18),'Variable index'!$L$13,P23&gt;='Variable index'!$J$18,'Variable index'!$M$13))+IF(R23&lt;&gt;"",INDEX('Variable index'!$E$57:$F$65,MATCH(R23,'Variable index'!$C$57:$C$65,0),$F$12)*S23)+IF(T23&lt;&gt;"",INDEX('Variable index'!$E$68:$F$73,MATCH(T23,'Variable index'!$C$68:$C$73,0),$F$12)*U23)+(N23*V23)+(N23*X23)+(N23*Z23),"")</f>
        <v/>
      </c>
      <c r="AB23" s="300"/>
      <c r="AC23" s="337" t="str">
        <f t="shared" si="1"/>
        <v/>
      </c>
      <c r="AD23" s="340" t="str">
        <f t="shared" si="2"/>
        <v/>
      </c>
    </row>
    <row r="24" spans="4:30" ht="12" x14ac:dyDescent="0.25">
      <c r="D24" s="216">
        <f t="shared" si="0"/>
        <v>8</v>
      </c>
      <c r="E24" s="312"/>
      <c r="F24" s="187"/>
      <c r="G24" s="185"/>
      <c r="H24" s="243">
        <f>IFERROR(_xlfn.XLOOKUP(F24,Lists!$C$10:$C$41,Lists!$D$10:$D$41),0)</f>
        <v>0</v>
      </c>
      <c r="I24" s="96"/>
      <c r="J24" s="185"/>
      <c r="K24" s="331" t="str" cm="1">
        <f t="array" ref="K24">IFERROR(IF($H24=0,INDEX('Variable index'!$E$6:$F$51,MATCH($F24,'Variable index'!$C$6:$C$51,0),$F$12),INDEX('Variable index'!$E$6:$F$51,MATCH(_xlfn.CONCAT($F24," - ",$G24),'Variable index'!$C$6:$C$51,0),$F$12)),"")</f>
        <v/>
      </c>
      <c r="L24" s="332" t="str">
        <f>IFERROR(_xlfn.CONCAT("$ per ",IF($H24=0,_xlfn.XLOOKUP($F24,'Variable index'!$C$6:$C$51,'Variable index'!$D$6:$D$51),_xlfn.XLOOKUP(_xlfn.CONCAT($F24," - ",$G24),'Variable index'!$C$6:$C$51,'Variable index'!$D$6:$D$51))),"")</f>
        <v/>
      </c>
      <c r="M24" s="140"/>
      <c r="N24" s="335" t="str">
        <f>IFERROR(IF(TableTransport[[#This Row],[Unit quantity]]="","",TableTransport[[#This Row],[Unit rate]]*TableTransport[[#This Row],[Unit quantity]]),"")</f>
        <v/>
      </c>
      <c r="O24" s="238" t="str">
        <f>IF(TableTransport[[#This Row],[Type of infrastructure]]&lt;&gt;"",Summary!$F$8,"")</f>
        <v/>
      </c>
      <c r="P24" s="239" t="str">
        <f>IF(TableTransport[[#This Row],[Type of infrastructure]]&lt;&gt;"",Summary!$F$9,"")</f>
        <v/>
      </c>
      <c r="Q24" s="241"/>
      <c r="R24" s="188"/>
      <c r="S24" s="140"/>
      <c r="T24" s="188"/>
      <c r="U24" s="140"/>
      <c r="V24" s="338" t="str" cm="1">
        <f t="array" ref="V24">IF(N24&lt;&gt;"",_xlfn.IFS(AND(N24&gt;='Variable index'!$K$35,N24&lt;'Variable index'!$K$36),'Variable index'!$L$35,AND(N24&gt;='Variable index'!$K$36,N24&lt;'Variable index'!$K$37),'Variable index'!$L$36,AND(N24&gt;='Variable index'!$K$37,N24&lt;'Variable index'!$K$38),'Variable index'!$L$37,N24&gt;='Variable index'!$K$38,'Variable index'!$L$38),"")</f>
        <v/>
      </c>
      <c r="W24" s="237"/>
      <c r="X24" s="336" t="str" cm="1">
        <f t="array" ref="X24">IF(AND(W24&lt;&gt;"",N24&lt;&gt;""),_xlfn.IFS(W24="Yes",_xlfn.IFS(AND(N24&gt;='Variable index'!$K$35,N24&lt;'Variable index'!$K$36),'Variable index'!$M$35,AND(N24&gt;='Variable index'!$K$36,N24&lt;'Variable index'!$K$37),'Variable index'!$M$36,AND(N24&gt;='Variable index'!$K$37,N24&lt;'Variable index'!$K$38),'Variable index'!$M$37,N24&gt;='Variable index'!$K$38,'Variable index'!$M$38),W24="No",0),"")</f>
        <v/>
      </c>
      <c r="Y24" s="188"/>
      <c r="Z24" s="338" t="str" cm="1">
        <f t="array" ref="Z24">IF(Y24&lt;&gt;"",_xlfn.IFS(Y24='Variable index'!$J$53,SUM('Variable index'!$K$48:$M$48),Y24='Variable index'!$J$54,SUM('Variable index'!$L$48:$M$48),Y24='Variable index'!$J$55,SUM('Variable index'!$M$48)),"")</f>
        <v/>
      </c>
      <c r="AA24" s="337" t="str" cm="1">
        <f t="array" ref="AA24">IFERROR(N24*(1+_xlfn.XLOOKUP(O24,'Rawlinsons regional indices'!$A$2:$A$63,'Rawlinsons regional indices'!$C$2:$C$63)+Q24+_xlfn.IFS(P24&lt;'Variable index'!$J$17,'Variable index'!$K$13,AND(P24&gt;='Variable index'!$J$17,P24&lt;'Variable index'!$J$18),'Variable index'!$L$13,P24&gt;='Variable index'!$J$18,'Variable index'!$M$13))+IF(R24&lt;&gt;"",INDEX('Variable index'!$E$57:$F$65,MATCH(R24,'Variable index'!$C$57:$C$65,0),$F$12)*S24)+IF(T24&lt;&gt;"",INDEX('Variable index'!$E$68:$F$73,MATCH(T24,'Variable index'!$C$68:$C$73,0),$F$12)*U24)+(N24*V24)+(N24*X24)+(N24*Z24),"")</f>
        <v/>
      </c>
      <c r="AB24" s="300"/>
      <c r="AC24" s="337" t="str">
        <f t="shared" si="1"/>
        <v/>
      </c>
      <c r="AD24" s="340" t="str">
        <f t="shared" si="2"/>
        <v/>
      </c>
    </row>
    <row r="25" spans="4:30" ht="12" x14ac:dyDescent="0.25">
      <c r="D25" s="216">
        <f t="shared" si="0"/>
        <v>9</v>
      </c>
      <c r="E25" s="312"/>
      <c r="F25" s="187"/>
      <c r="G25" s="185"/>
      <c r="H25" s="243">
        <f>IFERROR(_xlfn.XLOOKUP(F25,Lists!$C$10:$C$41,Lists!$D$10:$D$41),0)</f>
        <v>0</v>
      </c>
      <c r="I25" s="96"/>
      <c r="J25" s="185"/>
      <c r="K25" s="331" t="str" cm="1">
        <f t="array" ref="K25">IFERROR(IF($H25=0,INDEX('Variable index'!$E$6:$F$51,MATCH($F25,'Variable index'!$C$6:$C$51,0),$F$12),INDEX('Variable index'!$E$6:$F$51,MATCH(_xlfn.CONCAT($F25," - ",$G25),'Variable index'!$C$6:$C$51,0),$F$12)),"")</f>
        <v/>
      </c>
      <c r="L25" s="332" t="str">
        <f>IFERROR(_xlfn.CONCAT("$ per ",IF($H25=0,_xlfn.XLOOKUP($F25,'Variable index'!$C$6:$C$51,'Variable index'!$D$6:$D$51),_xlfn.XLOOKUP(_xlfn.CONCAT($F25," - ",$G25),'Variable index'!$C$6:$C$51,'Variable index'!$D$6:$D$51))),"")</f>
        <v/>
      </c>
      <c r="M25" s="140"/>
      <c r="N25" s="335" t="str">
        <f>IFERROR(IF(TableTransport[[#This Row],[Unit quantity]]="","",TableTransport[[#This Row],[Unit rate]]*TableTransport[[#This Row],[Unit quantity]]),"")</f>
        <v/>
      </c>
      <c r="O25" s="238" t="str">
        <f>IF(TableTransport[[#This Row],[Type of infrastructure]]&lt;&gt;"",Summary!$F$8,"")</f>
        <v/>
      </c>
      <c r="P25" s="239" t="str">
        <f>IF(TableTransport[[#This Row],[Type of infrastructure]]&lt;&gt;"",Summary!$F$9,"")</f>
        <v/>
      </c>
      <c r="Q25" s="241"/>
      <c r="R25" s="188"/>
      <c r="S25" s="140"/>
      <c r="T25" s="188"/>
      <c r="U25" s="140"/>
      <c r="V25" s="338" t="str" cm="1">
        <f t="array" ref="V25">IF(N25&lt;&gt;"",_xlfn.IFS(AND(N25&gt;='Variable index'!$K$35,N25&lt;'Variable index'!$K$36),'Variable index'!$L$35,AND(N25&gt;='Variable index'!$K$36,N25&lt;'Variable index'!$K$37),'Variable index'!$L$36,AND(N25&gt;='Variable index'!$K$37,N25&lt;'Variable index'!$K$38),'Variable index'!$L$37,N25&gt;='Variable index'!$K$38,'Variable index'!$L$38),"")</f>
        <v/>
      </c>
      <c r="W25" s="237"/>
      <c r="X25" s="336" t="str" cm="1">
        <f t="array" ref="X25">IF(AND(W25&lt;&gt;"",N25&lt;&gt;""),_xlfn.IFS(W25="Yes",_xlfn.IFS(AND(N25&gt;='Variable index'!$K$35,N25&lt;'Variable index'!$K$36),'Variable index'!$M$35,AND(N25&gt;='Variable index'!$K$36,N25&lt;'Variable index'!$K$37),'Variable index'!$M$36,AND(N25&gt;='Variable index'!$K$37,N25&lt;'Variable index'!$K$38),'Variable index'!$M$37,N25&gt;='Variable index'!$K$38,'Variable index'!$M$38),W25="No",0),"")</f>
        <v/>
      </c>
      <c r="Y25" s="188"/>
      <c r="Z25" s="338" t="str" cm="1">
        <f t="array" ref="Z25">IF(Y25&lt;&gt;"",_xlfn.IFS(Y25='Variable index'!$J$53,SUM('Variable index'!$K$48:$M$48),Y25='Variable index'!$J$54,SUM('Variable index'!$L$48:$M$48),Y25='Variable index'!$J$55,SUM('Variable index'!$M$48)),"")</f>
        <v/>
      </c>
      <c r="AA25" s="337" t="str" cm="1">
        <f t="array" ref="AA25">IFERROR(N25*(1+_xlfn.XLOOKUP(O25,'Rawlinsons regional indices'!$A$2:$A$63,'Rawlinsons regional indices'!$C$2:$C$63)+Q25+_xlfn.IFS(P25&lt;'Variable index'!$J$17,'Variable index'!$K$13,AND(P25&gt;='Variable index'!$J$17,P25&lt;'Variable index'!$J$18),'Variable index'!$L$13,P25&gt;='Variable index'!$J$18,'Variable index'!$M$13))+IF(R25&lt;&gt;"",INDEX('Variable index'!$E$57:$F$65,MATCH(R25,'Variable index'!$C$57:$C$65,0),$F$12)*S25)+IF(T25&lt;&gt;"",INDEX('Variable index'!$E$68:$F$73,MATCH(T25,'Variable index'!$C$68:$C$73,0),$F$12)*U25)+(N25*V25)+(N25*X25)+(N25*Z25),"")</f>
        <v/>
      </c>
      <c r="AB25" s="300"/>
      <c r="AC25" s="337" t="str">
        <f t="shared" si="1"/>
        <v/>
      </c>
      <c r="AD25" s="340" t="str">
        <f t="shared" si="2"/>
        <v/>
      </c>
    </row>
    <row r="26" spans="4:30" ht="12" x14ac:dyDescent="0.25">
      <c r="D26" s="216">
        <f t="shared" si="0"/>
        <v>10</v>
      </c>
      <c r="E26" s="312"/>
      <c r="F26" s="187"/>
      <c r="G26" s="185"/>
      <c r="H26" s="299">
        <f>IFERROR(_xlfn.XLOOKUP(F26,Lists!$C$10:$C$41,Lists!$D$10:$D$41),0)</f>
        <v>0</v>
      </c>
      <c r="I26" s="96"/>
      <c r="J26" s="185"/>
      <c r="K26" s="331" t="str" cm="1">
        <f t="array" ref="K26">IFERROR(IF($H26=0,INDEX('Variable index'!$E$6:$F$51,MATCH($F26,'Variable index'!$C$6:$C$51,0),$F$12),INDEX('Variable index'!$E$6:$F$51,MATCH(_xlfn.CONCAT($F26," - ",$G26),'Variable index'!$C$6:$C$51,0),$F$12)),"")</f>
        <v/>
      </c>
      <c r="L26" s="332" t="str">
        <f>IFERROR(_xlfn.CONCAT("$ per ",IF($H26=0,_xlfn.XLOOKUP($F26,'Variable index'!$C$6:$C$51,'Variable index'!$D$6:$D$51),_xlfn.XLOOKUP(_xlfn.CONCAT($F26," - ",$G26),'Variable index'!$C$6:$C$51,'Variable index'!$D$6:$D$51))),"")</f>
        <v/>
      </c>
      <c r="M26" s="140"/>
      <c r="N26" s="335" t="str">
        <f>IFERROR(IF(TableTransport[[#This Row],[Unit quantity]]="","",TableTransport[[#This Row],[Unit rate]]*TableTransport[[#This Row],[Unit quantity]]),"")</f>
        <v/>
      </c>
      <c r="O26" s="238" t="str">
        <f>IF(TableTransport[[#This Row],[Type of infrastructure]]&lt;&gt;"",Summary!$F$8,"")</f>
        <v/>
      </c>
      <c r="P26" s="239" t="str">
        <f>IF(TableTransport[[#This Row],[Type of infrastructure]]&lt;&gt;"",Summary!$F$9,"")</f>
        <v/>
      </c>
      <c r="Q26" s="241"/>
      <c r="R26" s="188"/>
      <c r="S26" s="140"/>
      <c r="T26" s="188"/>
      <c r="U26" s="140"/>
      <c r="V26" s="338" t="str" cm="1">
        <f t="array" ref="V26">IF(N26&lt;&gt;"",_xlfn.IFS(AND(N26&gt;='Variable index'!$K$35,N26&lt;'Variable index'!$K$36),'Variable index'!$L$35,AND(N26&gt;='Variable index'!$K$36,N26&lt;'Variable index'!$K$37),'Variable index'!$L$36,AND(N26&gt;='Variable index'!$K$37,N26&lt;'Variable index'!$K$38),'Variable index'!$L$37,N26&gt;='Variable index'!$K$38,'Variable index'!$L$38),"")</f>
        <v/>
      </c>
      <c r="W26" s="237"/>
      <c r="X26" s="336" t="str" cm="1">
        <f t="array" ref="X26">IF(AND(W26&lt;&gt;"",N26&lt;&gt;""),_xlfn.IFS(W26="Yes",_xlfn.IFS(AND(N26&gt;='Variable index'!$K$35,N26&lt;'Variable index'!$K$36),'Variable index'!$M$35,AND(N26&gt;='Variable index'!$K$36,N26&lt;'Variable index'!$K$37),'Variable index'!$M$36,AND(N26&gt;='Variable index'!$K$37,N26&lt;'Variable index'!$K$38),'Variable index'!$M$37,N26&gt;='Variable index'!$K$38,'Variable index'!$M$38),W26="No",0),"")</f>
        <v/>
      </c>
      <c r="Y26" s="188"/>
      <c r="Z26" s="338" t="str" cm="1">
        <f t="array" ref="Z26">IF(Y26&lt;&gt;"",_xlfn.IFS(Y26='Variable index'!$J$53,SUM('Variable index'!$K$48:$M$48),Y26='Variable index'!$J$54,SUM('Variable index'!$L$48:$M$48),Y26='Variable index'!$J$55,SUM('Variable index'!$M$48)),"")</f>
        <v/>
      </c>
      <c r="AA26" s="337" t="str" cm="1">
        <f t="array" ref="AA26">IFERROR(N26*(1+_xlfn.XLOOKUP(O26,'Rawlinsons regional indices'!$A$2:$A$63,'Rawlinsons regional indices'!$C$2:$C$63)+Q26+_xlfn.IFS(P26&lt;'Variable index'!$J$17,'Variable index'!$K$13,AND(P26&gt;='Variable index'!$J$17,P26&lt;'Variable index'!$J$18),'Variable index'!$L$13,P26&gt;='Variable index'!$J$18,'Variable index'!$M$13))+IF(R26&lt;&gt;"",INDEX('Variable index'!$E$57:$F$65,MATCH(R26,'Variable index'!$C$57:$C$65,0),$F$12)*S26)+IF(T26&lt;&gt;"",INDEX('Variable index'!$E$68:$F$73,MATCH(T26,'Variable index'!$C$68:$C$73,0),$F$12)*U26)+(N26*V26)+(N26*X26)+(N26*Z26),"")</f>
        <v/>
      </c>
      <c r="AB26" s="300"/>
      <c r="AC26" s="337" t="str">
        <f t="shared" si="1"/>
        <v/>
      </c>
      <c r="AD26" s="340" t="str">
        <f t="shared" si="2"/>
        <v/>
      </c>
    </row>
    <row r="27" spans="4:30" ht="12" x14ac:dyDescent="0.25">
      <c r="D27" s="216">
        <f t="shared" si="0"/>
        <v>11</v>
      </c>
      <c r="E27" s="312"/>
      <c r="F27" s="187"/>
      <c r="G27" s="185"/>
      <c r="H27" s="299">
        <f>IFERROR(_xlfn.XLOOKUP(F27,Lists!$C$10:$C$41,Lists!$D$10:$D$41),0)</f>
        <v>0</v>
      </c>
      <c r="I27" s="96"/>
      <c r="J27" s="185"/>
      <c r="K27" s="331" t="str" cm="1">
        <f t="array" ref="K27">IFERROR(IF($H27=0,INDEX('Variable index'!$E$6:$F$51,MATCH($F27,'Variable index'!$C$6:$C$51,0),$F$12),INDEX('Variable index'!$E$6:$F$51,MATCH(_xlfn.CONCAT($F27," - ",$G27),'Variable index'!$C$6:$C$51,0),$F$12)),"")</f>
        <v/>
      </c>
      <c r="L27" s="332" t="str">
        <f>IFERROR(_xlfn.CONCAT("$ per ",IF($H27=0,_xlfn.XLOOKUP($F27,'Variable index'!$C$6:$C$51,'Variable index'!$D$6:$D$51),_xlfn.XLOOKUP(_xlfn.CONCAT($F27," - ",$G27),'Variable index'!$C$6:$C$51,'Variable index'!$D$6:$D$51))),"")</f>
        <v/>
      </c>
      <c r="M27" s="140"/>
      <c r="N27" s="335" t="str">
        <f>IFERROR(IF(TableTransport[[#This Row],[Unit quantity]]="","",TableTransport[[#This Row],[Unit rate]]*TableTransport[[#This Row],[Unit quantity]]),"")</f>
        <v/>
      </c>
      <c r="O27" s="238" t="str">
        <f>IF(TableTransport[[#This Row],[Type of infrastructure]]&lt;&gt;"",Summary!$F$8,"")</f>
        <v/>
      </c>
      <c r="P27" s="239" t="str">
        <f>IF(TableTransport[[#This Row],[Type of infrastructure]]&lt;&gt;"",Summary!$F$9,"")</f>
        <v/>
      </c>
      <c r="Q27" s="241"/>
      <c r="R27" s="188"/>
      <c r="S27" s="140"/>
      <c r="T27" s="188"/>
      <c r="U27" s="140"/>
      <c r="V27" s="338" t="str" cm="1">
        <f t="array" ref="V27">IF(N27&lt;&gt;"",_xlfn.IFS(AND(N27&gt;='Variable index'!$K$35,N27&lt;'Variable index'!$K$36),'Variable index'!$L$35,AND(N27&gt;='Variable index'!$K$36,N27&lt;'Variable index'!$K$37),'Variable index'!$L$36,AND(N27&gt;='Variable index'!$K$37,N27&lt;'Variable index'!$K$38),'Variable index'!$L$37,N27&gt;='Variable index'!$K$38,'Variable index'!$L$38),"")</f>
        <v/>
      </c>
      <c r="W27" s="237"/>
      <c r="X27" s="336" t="str" cm="1">
        <f t="array" ref="X27">IF(AND(W27&lt;&gt;"",N27&lt;&gt;""),_xlfn.IFS(W27="Yes",_xlfn.IFS(AND(N27&gt;='Variable index'!$K$35,N27&lt;'Variable index'!$K$36),'Variable index'!$M$35,AND(N27&gt;='Variable index'!$K$36,N27&lt;'Variable index'!$K$37),'Variable index'!$M$36,AND(N27&gt;='Variable index'!$K$37,N27&lt;'Variable index'!$K$38),'Variable index'!$M$37,N27&gt;='Variable index'!$K$38,'Variable index'!$M$38),W27="No",0),"")</f>
        <v/>
      </c>
      <c r="Y27" s="188"/>
      <c r="Z27" s="338" t="str" cm="1">
        <f t="array" ref="Z27">IF(Y27&lt;&gt;"",_xlfn.IFS(Y27='Variable index'!$J$53,SUM('Variable index'!$K$48:$M$48),Y27='Variable index'!$J$54,SUM('Variable index'!$L$48:$M$48),Y27='Variable index'!$J$55,SUM('Variable index'!$M$48)),"")</f>
        <v/>
      </c>
      <c r="AA27" s="337" t="str" cm="1">
        <f t="array" ref="AA27">IFERROR(N27*(1+_xlfn.XLOOKUP(O27,'Rawlinsons regional indices'!$A$2:$A$63,'Rawlinsons regional indices'!$C$2:$C$63)+Q27+_xlfn.IFS(P27&lt;'Variable index'!$J$17,'Variable index'!$K$13,AND(P27&gt;='Variable index'!$J$17,P27&lt;'Variable index'!$J$18),'Variable index'!$L$13,P27&gt;='Variable index'!$J$18,'Variable index'!$M$13))+IF(R27&lt;&gt;"",INDEX('Variable index'!$E$57:$F$65,MATCH(R27,'Variable index'!$C$57:$C$65,0),$F$12)*S27)+IF(T27&lt;&gt;"",INDEX('Variable index'!$E$68:$F$73,MATCH(T27,'Variable index'!$C$68:$C$73,0),$F$12)*U27)+(N27*V27)+(N27*X27)+(N27*Z27),"")</f>
        <v/>
      </c>
      <c r="AB27" s="300"/>
      <c r="AC27" s="337" t="str">
        <f t="shared" si="1"/>
        <v/>
      </c>
      <c r="AD27" s="340" t="str">
        <f t="shared" si="2"/>
        <v/>
      </c>
    </row>
    <row r="28" spans="4:30" ht="12" x14ac:dyDescent="0.25">
      <c r="D28" s="216">
        <f t="shared" si="0"/>
        <v>12</v>
      </c>
      <c r="E28" s="312"/>
      <c r="F28" s="187"/>
      <c r="G28" s="185"/>
      <c r="H28" s="299">
        <f>IFERROR(_xlfn.XLOOKUP(F28,Lists!$C$10:$C$41,Lists!$D$10:$D$41),0)</f>
        <v>0</v>
      </c>
      <c r="I28" s="96"/>
      <c r="J28" s="185"/>
      <c r="K28" s="331" t="str" cm="1">
        <f t="array" ref="K28">IFERROR(IF($H28=0,INDEX('Variable index'!$E$6:$F$51,MATCH($F28,'Variable index'!$C$6:$C$51,0),$F$12),INDEX('Variable index'!$E$6:$F$51,MATCH(_xlfn.CONCAT($F28," - ",$G28),'Variable index'!$C$6:$C$51,0),$F$12)),"")</f>
        <v/>
      </c>
      <c r="L28" s="332" t="str">
        <f>IFERROR(_xlfn.CONCAT("$ per ",IF($H28=0,_xlfn.XLOOKUP($F28,'Variable index'!$C$6:$C$51,'Variable index'!$D$6:$D$51),_xlfn.XLOOKUP(_xlfn.CONCAT($F28," - ",$G28),'Variable index'!$C$6:$C$51,'Variable index'!$D$6:$D$51))),"")</f>
        <v/>
      </c>
      <c r="M28" s="140"/>
      <c r="N28" s="335" t="str">
        <f>IFERROR(IF(TableTransport[[#This Row],[Unit quantity]]="","",TableTransport[[#This Row],[Unit rate]]*TableTransport[[#This Row],[Unit quantity]]),"")</f>
        <v/>
      </c>
      <c r="O28" s="238" t="str">
        <f>IF(TableTransport[[#This Row],[Type of infrastructure]]&lt;&gt;"",Summary!$F$8,"")</f>
        <v/>
      </c>
      <c r="P28" s="239" t="str">
        <f>IF(TableTransport[[#This Row],[Type of infrastructure]]&lt;&gt;"",Summary!$F$9,"")</f>
        <v/>
      </c>
      <c r="Q28" s="241"/>
      <c r="R28" s="188"/>
      <c r="S28" s="140"/>
      <c r="T28" s="188"/>
      <c r="U28" s="140"/>
      <c r="V28" s="338" t="str" cm="1">
        <f t="array" ref="V28">IF(N28&lt;&gt;"",_xlfn.IFS(AND(N28&gt;='Variable index'!$K$35,N28&lt;'Variable index'!$K$36),'Variable index'!$L$35,AND(N28&gt;='Variable index'!$K$36,N28&lt;'Variable index'!$K$37),'Variable index'!$L$36,AND(N28&gt;='Variable index'!$K$37,N28&lt;'Variable index'!$K$38),'Variable index'!$L$37,N28&gt;='Variable index'!$K$38,'Variable index'!$L$38),"")</f>
        <v/>
      </c>
      <c r="W28" s="237"/>
      <c r="X28" s="336" t="str" cm="1">
        <f t="array" ref="X28">IF(AND(W28&lt;&gt;"",N28&lt;&gt;""),_xlfn.IFS(W28="Yes",_xlfn.IFS(AND(N28&gt;='Variable index'!$K$35,N28&lt;'Variable index'!$K$36),'Variable index'!$M$35,AND(N28&gt;='Variable index'!$K$36,N28&lt;'Variable index'!$K$37),'Variable index'!$M$36,AND(N28&gt;='Variable index'!$K$37,N28&lt;'Variable index'!$K$38),'Variable index'!$M$37,N28&gt;='Variable index'!$K$38,'Variable index'!$M$38),W28="No",0),"")</f>
        <v/>
      </c>
      <c r="Y28" s="188"/>
      <c r="Z28" s="338" t="str" cm="1">
        <f t="array" ref="Z28">IF(Y28&lt;&gt;"",_xlfn.IFS(Y28='Variable index'!$J$53,SUM('Variable index'!$K$48:$M$48),Y28='Variable index'!$J$54,SUM('Variable index'!$L$48:$M$48),Y28='Variable index'!$J$55,SUM('Variable index'!$M$48)),"")</f>
        <v/>
      </c>
      <c r="AA28" s="337" t="str" cm="1">
        <f t="array" ref="AA28">IFERROR(N28*(1+_xlfn.XLOOKUP(O28,'Rawlinsons regional indices'!$A$2:$A$63,'Rawlinsons regional indices'!$C$2:$C$63)+Q28+_xlfn.IFS(P28&lt;'Variable index'!$J$17,'Variable index'!$K$13,AND(P28&gt;='Variable index'!$J$17,P28&lt;'Variable index'!$J$18),'Variable index'!$L$13,P28&gt;='Variable index'!$J$18,'Variable index'!$M$13))+IF(R28&lt;&gt;"",INDEX('Variable index'!$E$57:$F$65,MATCH(R28,'Variable index'!$C$57:$C$65,0),$F$12)*S28)+IF(T28&lt;&gt;"",INDEX('Variable index'!$E$68:$F$73,MATCH(T28,'Variable index'!$C$68:$C$73,0),$F$12)*U28)+(N28*V28)+(N28*X28)+(N28*Z28),"")</f>
        <v/>
      </c>
      <c r="AB28" s="300"/>
      <c r="AC28" s="337" t="str">
        <f t="shared" si="1"/>
        <v/>
      </c>
      <c r="AD28" s="340" t="str">
        <f t="shared" si="2"/>
        <v/>
      </c>
    </row>
    <row r="29" spans="4:30" ht="12" x14ac:dyDescent="0.25">
      <c r="D29" s="216">
        <f t="shared" si="0"/>
        <v>13</v>
      </c>
      <c r="E29" s="312"/>
      <c r="F29" s="187"/>
      <c r="G29" s="185"/>
      <c r="H29" s="299">
        <f>IFERROR(_xlfn.XLOOKUP(F29,Lists!$C$10:$C$41,Lists!$D$10:$D$41),0)</f>
        <v>0</v>
      </c>
      <c r="I29" s="96"/>
      <c r="J29" s="185"/>
      <c r="K29" s="331" t="str" cm="1">
        <f t="array" ref="K29">IFERROR(IF($H29=0,INDEX('Variable index'!$E$6:$F$51,MATCH($F29,'Variable index'!$C$6:$C$51,0),$F$12),INDEX('Variable index'!$E$6:$F$51,MATCH(_xlfn.CONCAT($F29," - ",$G29),'Variable index'!$C$6:$C$51,0),$F$12)),"")</f>
        <v/>
      </c>
      <c r="L29" s="332" t="str">
        <f>IFERROR(_xlfn.CONCAT("$ per ",IF($H29=0,_xlfn.XLOOKUP($F29,'Variable index'!$C$6:$C$51,'Variable index'!$D$6:$D$51),_xlfn.XLOOKUP(_xlfn.CONCAT($F29," - ",$G29),'Variable index'!$C$6:$C$51,'Variable index'!$D$6:$D$51))),"")</f>
        <v/>
      </c>
      <c r="M29" s="140"/>
      <c r="N29" s="335" t="str">
        <f>IFERROR(IF(TableTransport[[#This Row],[Unit quantity]]="","",TableTransport[[#This Row],[Unit rate]]*TableTransport[[#This Row],[Unit quantity]]),"")</f>
        <v/>
      </c>
      <c r="O29" s="238" t="str">
        <f>IF(TableTransport[[#This Row],[Type of infrastructure]]&lt;&gt;"",Summary!$F$8,"")</f>
        <v/>
      </c>
      <c r="P29" s="239" t="str">
        <f>IF(TableTransport[[#This Row],[Type of infrastructure]]&lt;&gt;"",Summary!$F$9,"")</f>
        <v/>
      </c>
      <c r="Q29" s="241"/>
      <c r="R29" s="188"/>
      <c r="S29" s="140"/>
      <c r="T29" s="188"/>
      <c r="U29" s="140"/>
      <c r="V29" s="338" t="str" cm="1">
        <f t="array" ref="V29">IF(N29&lt;&gt;"",_xlfn.IFS(AND(N29&gt;='Variable index'!$K$35,N29&lt;'Variable index'!$K$36),'Variable index'!$L$35,AND(N29&gt;='Variable index'!$K$36,N29&lt;'Variable index'!$K$37),'Variable index'!$L$36,AND(N29&gt;='Variable index'!$K$37,N29&lt;'Variable index'!$K$38),'Variable index'!$L$37,N29&gt;='Variable index'!$K$38,'Variable index'!$L$38),"")</f>
        <v/>
      </c>
      <c r="W29" s="237"/>
      <c r="X29" s="336" t="str" cm="1">
        <f t="array" ref="X29">IF(AND(W29&lt;&gt;"",N29&lt;&gt;""),_xlfn.IFS(W29="Yes",_xlfn.IFS(AND(N29&gt;='Variable index'!$K$35,N29&lt;'Variable index'!$K$36),'Variable index'!$M$35,AND(N29&gt;='Variable index'!$K$36,N29&lt;'Variable index'!$K$37),'Variable index'!$M$36,AND(N29&gt;='Variable index'!$K$37,N29&lt;'Variable index'!$K$38),'Variable index'!$M$37,N29&gt;='Variable index'!$K$38,'Variable index'!$M$38),W29="No",0),"")</f>
        <v/>
      </c>
      <c r="Y29" s="188"/>
      <c r="Z29" s="338" t="str" cm="1">
        <f t="array" ref="Z29">IF(Y29&lt;&gt;"",_xlfn.IFS(Y29='Variable index'!$J$53,SUM('Variable index'!$K$48:$M$48),Y29='Variable index'!$J$54,SUM('Variable index'!$L$48:$M$48),Y29='Variable index'!$J$55,SUM('Variable index'!$M$48)),"")</f>
        <v/>
      </c>
      <c r="AA29" s="337" t="str" cm="1">
        <f t="array" ref="AA29">IFERROR(N29*(1+_xlfn.XLOOKUP(O29,'Rawlinsons regional indices'!$A$2:$A$63,'Rawlinsons regional indices'!$C$2:$C$63)+Q29+_xlfn.IFS(P29&lt;'Variable index'!$J$17,'Variable index'!$K$13,AND(P29&gt;='Variable index'!$J$17,P29&lt;'Variable index'!$J$18),'Variable index'!$L$13,P29&gt;='Variable index'!$J$18,'Variable index'!$M$13))+IF(R29&lt;&gt;"",INDEX('Variable index'!$E$57:$F$65,MATCH(R29,'Variable index'!$C$57:$C$65,0),$F$12)*S29)+IF(T29&lt;&gt;"",INDEX('Variable index'!$E$68:$F$73,MATCH(T29,'Variable index'!$C$68:$C$73,0),$F$12)*U29)+(N29*V29)+(N29*X29)+(N29*Z29),"")</f>
        <v/>
      </c>
      <c r="AB29" s="300"/>
      <c r="AC29" s="337" t="str">
        <f t="shared" si="1"/>
        <v/>
      </c>
      <c r="AD29" s="340" t="str">
        <f t="shared" si="2"/>
        <v/>
      </c>
    </row>
    <row r="30" spans="4:30" ht="12" x14ac:dyDescent="0.25">
      <c r="D30" s="216">
        <f t="shared" si="0"/>
        <v>14</v>
      </c>
      <c r="E30" s="312"/>
      <c r="F30" s="187"/>
      <c r="G30" s="185"/>
      <c r="H30" s="299">
        <f>IFERROR(_xlfn.XLOOKUP(F30,Lists!$C$10:$C$41,Lists!$D$10:$D$41),0)</f>
        <v>0</v>
      </c>
      <c r="I30" s="96"/>
      <c r="J30" s="185"/>
      <c r="K30" s="331" t="str" cm="1">
        <f t="array" ref="K30">IFERROR(IF($H30=0,INDEX('Variable index'!$E$6:$F$51,MATCH($F30,'Variable index'!$C$6:$C$51,0),$F$12),INDEX('Variable index'!$E$6:$F$51,MATCH(_xlfn.CONCAT($F30," - ",$G30),'Variable index'!$C$6:$C$51,0),$F$12)),"")</f>
        <v/>
      </c>
      <c r="L30" s="332" t="str">
        <f>IFERROR(_xlfn.CONCAT("$ per ",IF($H30=0,_xlfn.XLOOKUP($F30,'Variable index'!$C$6:$C$51,'Variable index'!$D$6:$D$51),_xlfn.XLOOKUP(_xlfn.CONCAT($F30," - ",$G30),'Variable index'!$C$6:$C$51,'Variable index'!$D$6:$D$51))),"")</f>
        <v/>
      </c>
      <c r="M30" s="140"/>
      <c r="N30" s="335" t="str">
        <f>IFERROR(IF(TableTransport[[#This Row],[Unit quantity]]="","",TableTransport[[#This Row],[Unit rate]]*TableTransport[[#This Row],[Unit quantity]]),"")</f>
        <v/>
      </c>
      <c r="O30" s="238" t="str">
        <f>IF(TableTransport[[#This Row],[Type of infrastructure]]&lt;&gt;"",Summary!$F$8,"")</f>
        <v/>
      </c>
      <c r="P30" s="239" t="str">
        <f>IF(TableTransport[[#This Row],[Type of infrastructure]]&lt;&gt;"",Summary!$F$9,"")</f>
        <v/>
      </c>
      <c r="Q30" s="241"/>
      <c r="R30" s="188"/>
      <c r="S30" s="140"/>
      <c r="T30" s="188"/>
      <c r="U30" s="140"/>
      <c r="V30" s="338" t="str" cm="1">
        <f t="array" ref="V30">IF(N30&lt;&gt;"",_xlfn.IFS(AND(N30&gt;='Variable index'!$K$35,N30&lt;'Variable index'!$K$36),'Variable index'!$L$35,AND(N30&gt;='Variable index'!$K$36,N30&lt;'Variable index'!$K$37),'Variable index'!$L$36,AND(N30&gt;='Variable index'!$K$37,N30&lt;'Variable index'!$K$38),'Variable index'!$L$37,N30&gt;='Variable index'!$K$38,'Variable index'!$L$38),"")</f>
        <v/>
      </c>
      <c r="W30" s="237"/>
      <c r="X30" s="336" t="str" cm="1">
        <f t="array" ref="X30">IF(AND(W30&lt;&gt;"",N30&lt;&gt;""),_xlfn.IFS(W30="Yes",_xlfn.IFS(AND(N30&gt;='Variable index'!$K$35,N30&lt;'Variable index'!$K$36),'Variable index'!$M$35,AND(N30&gt;='Variable index'!$K$36,N30&lt;'Variable index'!$K$37),'Variable index'!$M$36,AND(N30&gt;='Variable index'!$K$37,N30&lt;'Variable index'!$K$38),'Variable index'!$M$37,N30&gt;='Variable index'!$K$38,'Variable index'!$M$38),W30="No",0),"")</f>
        <v/>
      </c>
      <c r="Y30" s="188"/>
      <c r="Z30" s="338" t="str" cm="1">
        <f t="array" ref="Z30">IF(Y30&lt;&gt;"",_xlfn.IFS(Y30='Variable index'!$J$53,SUM('Variable index'!$K$48:$M$48),Y30='Variable index'!$J$54,SUM('Variable index'!$L$48:$M$48),Y30='Variable index'!$J$55,SUM('Variable index'!$M$48)),"")</f>
        <v/>
      </c>
      <c r="AA30" s="337" t="str" cm="1">
        <f t="array" ref="AA30">IFERROR(N30*(1+_xlfn.XLOOKUP(O30,'Rawlinsons regional indices'!$A$2:$A$63,'Rawlinsons regional indices'!$C$2:$C$63)+Q30+_xlfn.IFS(P30&lt;'Variable index'!$J$17,'Variable index'!$K$13,AND(P30&gt;='Variable index'!$J$17,P30&lt;'Variable index'!$J$18),'Variable index'!$L$13,P30&gt;='Variable index'!$J$18,'Variable index'!$M$13))+IF(R30&lt;&gt;"",INDEX('Variable index'!$E$57:$F$65,MATCH(R30,'Variable index'!$C$57:$C$65,0),$F$12)*S30)+IF(T30&lt;&gt;"",INDEX('Variable index'!$E$68:$F$73,MATCH(T30,'Variable index'!$C$68:$C$73,0),$F$12)*U30)+(N30*V30)+(N30*X30)+(N30*Z30),"")</f>
        <v/>
      </c>
      <c r="AB30" s="300"/>
      <c r="AC30" s="337" t="str">
        <f t="shared" si="1"/>
        <v/>
      </c>
      <c r="AD30" s="340" t="str">
        <f t="shared" si="2"/>
        <v/>
      </c>
    </row>
    <row r="31" spans="4:30" ht="12" x14ac:dyDescent="0.25">
      <c r="D31" s="216">
        <f t="shared" si="0"/>
        <v>15</v>
      </c>
      <c r="E31" s="312"/>
      <c r="F31" s="187"/>
      <c r="G31" s="185"/>
      <c r="H31" s="299">
        <f>IFERROR(_xlfn.XLOOKUP(F31,Lists!$C$10:$C$41,Lists!$D$10:$D$41),0)</f>
        <v>0</v>
      </c>
      <c r="I31" s="96"/>
      <c r="J31" s="185"/>
      <c r="K31" s="331" t="str" cm="1">
        <f t="array" ref="K31">IFERROR(IF($H31=0,INDEX('Variable index'!$E$6:$F$51,MATCH($F31,'Variable index'!$C$6:$C$51,0),$F$12),INDEX('Variable index'!$E$6:$F$51,MATCH(_xlfn.CONCAT($F31," - ",$G31),'Variable index'!$C$6:$C$51,0),$F$12)),"")</f>
        <v/>
      </c>
      <c r="L31" s="332" t="str">
        <f>IFERROR(_xlfn.CONCAT("$ per ",IF($H31=0,_xlfn.XLOOKUP($F31,'Variable index'!$C$6:$C$51,'Variable index'!$D$6:$D$51),_xlfn.XLOOKUP(_xlfn.CONCAT($F31," - ",$G31),'Variable index'!$C$6:$C$51,'Variable index'!$D$6:$D$51))),"")</f>
        <v/>
      </c>
      <c r="M31" s="140"/>
      <c r="N31" s="335" t="str">
        <f>IFERROR(IF(TableTransport[[#This Row],[Unit quantity]]="","",TableTransport[[#This Row],[Unit rate]]*TableTransport[[#This Row],[Unit quantity]]),"")</f>
        <v/>
      </c>
      <c r="O31" s="238" t="str">
        <f>IF(TableTransport[[#This Row],[Type of infrastructure]]&lt;&gt;"",Summary!$F$8,"")</f>
        <v/>
      </c>
      <c r="P31" s="239" t="str">
        <f>IF(TableTransport[[#This Row],[Type of infrastructure]]&lt;&gt;"",Summary!$F$9,"")</f>
        <v/>
      </c>
      <c r="Q31" s="241"/>
      <c r="R31" s="188"/>
      <c r="S31" s="140"/>
      <c r="T31" s="188"/>
      <c r="U31" s="140"/>
      <c r="V31" s="338" t="str" cm="1">
        <f t="array" ref="V31">IF(N31&lt;&gt;"",_xlfn.IFS(AND(N31&gt;='Variable index'!$K$35,N31&lt;'Variable index'!$K$36),'Variable index'!$L$35,AND(N31&gt;='Variable index'!$K$36,N31&lt;'Variable index'!$K$37),'Variable index'!$L$36,AND(N31&gt;='Variable index'!$K$37,N31&lt;'Variable index'!$K$38),'Variable index'!$L$37,N31&gt;='Variable index'!$K$38,'Variable index'!$L$38),"")</f>
        <v/>
      </c>
      <c r="W31" s="237"/>
      <c r="X31" s="336" t="str" cm="1">
        <f t="array" ref="X31">IF(AND(W31&lt;&gt;"",N31&lt;&gt;""),_xlfn.IFS(W31="Yes",_xlfn.IFS(AND(N31&gt;='Variable index'!$K$35,N31&lt;'Variable index'!$K$36),'Variable index'!$M$35,AND(N31&gt;='Variable index'!$K$36,N31&lt;'Variable index'!$K$37),'Variable index'!$M$36,AND(N31&gt;='Variable index'!$K$37,N31&lt;'Variable index'!$K$38),'Variable index'!$M$37,N31&gt;='Variable index'!$K$38,'Variable index'!$M$38),W31="No",0),"")</f>
        <v/>
      </c>
      <c r="Y31" s="188"/>
      <c r="Z31" s="338" t="str" cm="1">
        <f t="array" ref="Z31">IF(Y31&lt;&gt;"",_xlfn.IFS(Y31='Variable index'!$J$53,SUM('Variable index'!$K$48:$M$48),Y31='Variable index'!$J$54,SUM('Variable index'!$L$48:$M$48),Y31='Variable index'!$J$55,SUM('Variable index'!$M$48)),"")</f>
        <v/>
      </c>
      <c r="AA31" s="337" t="str" cm="1">
        <f t="array" ref="AA31">IFERROR(N31*(1+_xlfn.XLOOKUP(O31,'Rawlinsons regional indices'!$A$2:$A$63,'Rawlinsons regional indices'!$C$2:$C$63)+Q31+_xlfn.IFS(P31&lt;'Variable index'!$J$17,'Variable index'!$K$13,AND(P31&gt;='Variable index'!$J$17,P31&lt;'Variable index'!$J$18),'Variable index'!$L$13,P31&gt;='Variable index'!$J$18,'Variable index'!$M$13))+IF(R31&lt;&gt;"",INDEX('Variable index'!$E$57:$F$65,MATCH(R31,'Variable index'!$C$57:$C$65,0),$F$12)*S31)+IF(T31&lt;&gt;"",INDEX('Variable index'!$E$68:$F$73,MATCH(T31,'Variable index'!$C$68:$C$73,0),$F$12)*U31)+(N31*V31)+(N31*X31)+(N31*Z31),"")</f>
        <v/>
      </c>
      <c r="AB31" s="300"/>
      <c r="AC31" s="337" t="str">
        <f t="shared" si="1"/>
        <v/>
      </c>
      <c r="AD31" s="340" t="str">
        <f t="shared" si="2"/>
        <v/>
      </c>
    </row>
    <row r="32" spans="4:30" ht="12" x14ac:dyDescent="0.25">
      <c r="D32" s="216">
        <f t="shared" si="0"/>
        <v>16</v>
      </c>
      <c r="E32" s="312"/>
      <c r="F32" s="187"/>
      <c r="G32" s="185"/>
      <c r="H32" s="299">
        <f>IFERROR(_xlfn.XLOOKUP(F32,Lists!$C$10:$C$41,Lists!$D$10:$D$41),0)</f>
        <v>0</v>
      </c>
      <c r="I32" s="96"/>
      <c r="J32" s="185"/>
      <c r="K32" s="331" t="str" cm="1">
        <f t="array" ref="K32">IFERROR(IF($H32=0,INDEX('Variable index'!$E$6:$F$51,MATCH($F32,'Variable index'!$C$6:$C$51,0),$F$12),INDEX('Variable index'!$E$6:$F$51,MATCH(_xlfn.CONCAT($F32," - ",$G32),'Variable index'!$C$6:$C$51,0),$F$12)),"")</f>
        <v/>
      </c>
      <c r="L32" s="332" t="str">
        <f>IFERROR(_xlfn.CONCAT("$ per ",IF($H32=0,_xlfn.XLOOKUP($F32,'Variable index'!$C$6:$C$51,'Variable index'!$D$6:$D$51),_xlfn.XLOOKUP(_xlfn.CONCAT($F32," - ",$G32),'Variable index'!$C$6:$C$51,'Variable index'!$D$6:$D$51))),"")</f>
        <v/>
      </c>
      <c r="M32" s="140"/>
      <c r="N32" s="335" t="str">
        <f>IFERROR(IF(TableTransport[[#This Row],[Unit quantity]]="","",TableTransport[[#This Row],[Unit rate]]*TableTransport[[#This Row],[Unit quantity]]),"")</f>
        <v/>
      </c>
      <c r="O32" s="238" t="str">
        <f>IF(TableTransport[[#This Row],[Type of infrastructure]]&lt;&gt;"",Summary!$F$8,"")</f>
        <v/>
      </c>
      <c r="P32" s="239" t="str">
        <f>IF(TableTransport[[#This Row],[Type of infrastructure]]&lt;&gt;"",Summary!$F$9,"")</f>
        <v/>
      </c>
      <c r="Q32" s="241"/>
      <c r="R32" s="188"/>
      <c r="S32" s="140"/>
      <c r="T32" s="188"/>
      <c r="U32" s="140"/>
      <c r="V32" s="338" t="str" cm="1">
        <f t="array" ref="V32">IF(N32&lt;&gt;"",_xlfn.IFS(AND(N32&gt;='Variable index'!$K$35,N32&lt;'Variable index'!$K$36),'Variable index'!$L$35,AND(N32&gt;='Variable index'!$K$36,N32&lt;'Variable index'!$K$37),'Variable index'!$L$36,AND(N32&gt;='Variable index'!$K$37,N32&lt;'Variable index'!$K$38),'Variable index'!$L$37,N32&gt;='Variable index'!$K$38,'Variable index'!$L$38),"")</f>
        <v/>
      </c>
      <c r="W32" s="237"/>
      <c r="X32" s="336" t="str" cm="1">
        <f t="array" ref="X32">IF(AND(W32&lt;&gt;"",N32&lt;&gt;""),_xlfn.IFS(W32="Yes",_xlfn.IFS(AND(N32&gt;='Variable index'!$K$35,N32&lt;'Variable index'!$K$36),'Variable index'!$M$35,AND(N32&gt;='Variable index'!$K$36,N32&lt;'Variable index'!$K$37),'Variable index'!$M$36,AND(N32&gt;='Variable index'!$K$37,N32&lt;'Variable index'!$K$38),'Variable index'!$M$37,N32&gt;='Variable index'!$K$38,'Variable index'!$M$38),W32="No",0),"")</f>
        <v/>
      </c>
      <c r="Y32" s="188"/>
      <c r="Z32" s="338" t="str" cm="1">
        <f t="array" ref="Z32">IF(Y32&lt;&gt;"",_xlfn.IFS(Y32='Variable index'!$J$53,SUM('Variable index'!$K$48:$M$48),Y32='Variable index'!$J$54,SUM('Variable index'!$L$48:$M$48),Y32='Variable index'!$J$55,SUM('Variable index'!$M$48)),"")</f>
        <v/>
      </c>
      <c r="AA32" s="337" t="str" cm="1">
        <f t="array" ref="AA32">IFERROR(N32*(1+_xlfn.XLOOKUP(O32,'Rawlinsons regional indices'!$A$2:$A$63,'Rawlinsons regional indices'!$C$2:$C$63)+Q32+_xlfn.IFS(P32&lt;'Variable index'!$J$17,'Variable index'!$K$13,AND(P32&gt;='Variable index'!$J$17,P32&lt;'Variable index'!$J$18),'Variable index'!$L$13,P32&gt;='Variable index'!$J$18,'Variable index'!$M$13))+IF(R32&lt;&gt;"",INDEX('Variable index'!$E$57:$F$65,MATCH(R32,'Variable index'!$C$57:$C$65,0),$F$12)*S32)+IF(T32&lt;&gt;"",INDEX('Variable index'!$E$68:$F$73,MATCH(T32,'Variable index'!$C$68:$C$73,0),$F$12)*U32)+(N32*V32)+(N32*X32)+(N32*Z32),"")</f>
        <v/>
      </c>
      <c r="AB32" s="300"/>
      <c r="AC32" s="337" t="str">
        <f t="shared" si="1"/>
        <v/>
      </c>
      <c r="AD32" s="340" t="str">
        <f t="shared" si="2"/>
        <v/>
      </c>
    </row>
    <row r="33" spans="4:30" ht="12" x14ac:dyDescent="0.25">
      <c r="D33" s="216">
        <f t="shared" si="0"/>
        <v>17</v>
      </c>
      <c r="E33" s="312"/>
      <c r="F33" s="187"/>
      <c r="G33" s="185"/>
      <c r="H33" s="299">
        <f>IFERROR(_xlfn.XLOOKUP(F33,Lists!$C$10:$C$41,Lists!$D$10:$D$41),0)</f>
        <v>0</v>
      </c>
      <c r="I33" s="96"/>
      <c r="J33" s="185"/>
      <c r="K33" s="331" t="str" cm="1">
        <f t="array" ref="K33">IFERROR(IF($H33=0,INDEX('Variable index'!$E$6:$F$51,MATCH($F33,'Variable index'!$C$6:$C$51,0),$F$12),INDEX('Variable index'!$E$6:$F$51,MATCH(_xlfn.CONCAT($F33," - ",$G33),'Variable index'!$C$6:$C$51,0),$F$12)),"")</f>
        <v/>
      </c>
      <c r="L33" s="332" t="str">
        <f>IFERROR(_xlfn.CONCAT("$ per ",IF($H33=0,_xlfn.XLOOKUP($F33,'Variable index'!$C$6:$C$51,'Variable index'!$D$6:$D$51),_xlfn.XLOOKUP(_xlfn.CONCAT($F33," - ",$G33),'Variable index'!$C$6:$C$51,'Variable index'!$D$6:$D$51))),"")</f>
        <v/>
      </c>
      <c r="M33" s="140"/>
      <c r="N33" s="335" t="str">
        <f>IFERROR(IF(TableTransport[[#This Row],[Unit quantity]]="","",TableTransport[[#This Row],[Unit rate]]*TableTransport[[#This Row],[Unit quantity]]),"")</f>
        <v/>
      </c>
      <c r="O33" s="238" t="str">
        <f>IF(TableTransport[[#This Row],[Type of infrastructure]]&lt;&gt;"",Summary!$F$8,"")</f>
        <v/>
      </c>
      <c r="P33" s="239" t="str">
        <f>IF(TableTransport[[#This Row],[Type of infrastructure]]&lt;&gt;"",Summary!$F$9,"")</f>
        <v/>
      </c>
      <c r="Q33" s="241"/>
      <c r="R33" s="188"/>
      <c r="S33" s="140"/>
      <c r="T33" s="188"/>
      <c r="U33" s="140"/>
      <c r="V33" s="338" t="str" cm="1">
        <f t="array" ref="V33">IF(N33&lt;&gt;"",_xlfn.IFS(AND(N33&gt;='Variable index'!$K$35,N33&lt;'Variable index'!$K$36),'Variable index'!$L$35,AND(N33&gt;='Variable index'!$K$36,N33&lt;'Variable index'!$K$37),'Variable index'!$L$36,AND(N33&gt;='Variable index'!$K$37,N33&lt;'Variable index'!$K$38),'Variable index'!$L$37,N33&gt;='Variable index'!$K$38,'Variable index'!$L$38),"")</f>
        <v/>
      </c>
      <c r="W33" s="237"/>
      <c r="X33" s="336" t="str" cm="1">
        <f t="array" ref="X33">IF(AND(W33&lt;&gt;"",N33&lt;&gt;""),_xlfn.IFS(W33="Yes",_xlfn.IFS(AND(N33&gt;='Variable index'!$K$35,N33&lt;'Variable index'!$K$36),'Variable index'!$M$35,AND(N33&gt;='Variable index'!$K$36,N33&lt;'Variable index'!$K$37),'Variable index'!$M$36,AND(N33&gt;='Variable index'!$K$37,N33&lt;'Variable index'!$K$38),'Variable index'!$M$37,N33&gt;='Variable index'!$K$38,'Variable index'!$M$38),W33="No",0),"")</f>
        <v/>
      </c>
      <c r="Y33" s="188"/>
      <c r="Z33" s="338" t="str" cm="1">
        <f t="array" ref="Z33">IF(Y33&lt;&gt;"",_xlfn.IFS(Y33='Variable index'!$J$53,SUM('Variable index'!$K$48:$M$48),Y33='Variable index'!$J$54,SUM('Variable index'!$L$48:$M$48),Y33='Variable index'!$J$55,SUM('Variable index'!$M$48)),"")</f>
        <v/>
      </c>
      <c r="AA33" s="337" t="str" cm="1">
        <f t="array" ref="AA33">IFERROR(N33*(1+_xlfn.XLOOKUP(O33,'Rawlinsons regional indices'!$A$2:$A$63,'Rawlinsons regional indices'!$C$2:$C$63)+Q33+_xlfn.IFS(P33&lt;'Variable index'!$J$17,'Variable index'!$K$13,AND(P33&gt;='Variable index'!$J$17,P33&lt;'Variable index'!$J$18),'Variable index'!$L$13,P33&gt;='Variable index'!$J$18,'Variable index'!$M$13))+IF(R33&lt;&gt;"",INDEX('Variable index'!$E$57:$F$65,MATCH(R33,'Variable index'!$C$57:$C$65,0),$F$12)*S33)+IF(T33&lt;&gt;"",INDEX('Variable index'!$E$68:$F$73,MATCH(T33,'Variable index'!$C$68:$C$73,0),$F$12)*U33)+(N33*V33)+(N33*X33)+(N33*Z33),"")</f>
        <v/>
      </c>
      <c r="AB33" s="300"/>
      <c r="AC33" s="337" t="str">
        <f t="shared" si="1"/>
        <v/>
      </c>
      <c r="AD33" s="340" t="str">
        <f t="shared" si="2"/>
        <v/>
      </c>
    </row>
    <row r="34" spans="4:30" ht="12" x14ac:dyDescent="0.25">
      <c r="D34" s="216">
        <f t="shared" si="0"/>
        <v>18</v>
      </c>
      <c r="E34" s="312"/>
      <c r="F34" s="187"/>
      <c r="G34" s="185"/>
      <c r="H34" s="299">
        <f>IFERROR(_xlfn.XLOOKUP(F34,Lists!$C$10:$C$41,Lists!$D$10:$D$41),0)</f>
        <v>0</v>
      </c>
      <c r="I34" s="96"/>
      <c r="J34" s="185"/>
      <c r="K34" s="331" t="str" cm="1">
        <f t="array" ref="K34">IFERROR(IF($H34=0,INDEX('Variable index'!$E$6:$F$51,MATCH($F34,'Variable index'!$C$6:$C$51,0),$F$12),INDEX('Variable index'!$E$6:$F$51,MATCH(_xlfn.CONCAT($F34," - ",$G34),'Variable index'!$C$6:$C$51,0),$F$12)),"")</f>
        <v/>
      </c>
      <c r="L34" s="332" t="str">
        <f>IFERROR(_xlfn.CONCAT("$ per ",IF($H34=0,_xlfn.XLOOKUP($F34,'Variable index'!$C$6:$C$51,'Variable index'!$D$6:$D$51),_xlfn.XLOOKUP(_xlfn.CONCAT($F34," - ",$G34),'Variable index'!$C$6:$C$51,'Variable index'!$D$6:$D$51))),"")</f>
        <v/>
      </c>
      <c r="M34" s="140"/>
      <c r="N34" s="335" t="str">
        <f>IFERROR(IF(TableTransport[[#This Row],[Unit quantity]]="","",TableTransport[[#This Row],[Unit rate]]*TableTransport[[#This Row],[Unit quantity]]),"")</f>
        <v/>
      </c>
      <c r="O34" s="238" t="str">
        <f>IF(TableTransport[[#This Row],[Type of infrastructure]]&lt;&gt;"",Summary!$F$8,"")</f>
        <v/>
      </c>
      <c r="P34" s="239" t="str">
        <f>IF(TableTransport[[#This Row],[Type of infrastructure]]&lt;&gt;"",Summary!$F$9,"")</f>
        <v/>
      </c>
      <c r="Q34" s="241"/>
      <c r="R34" s="188"/>
      <c r="S34" s="140"/>
      <c r="T34" s="188"/>
      <c r="U34" s="140"/>
      <c r="V34" s="338" t="str" cm="1">
        <f t="array" ref="V34">IF(N34&lt;&gt;"",_xlfn.IFS(AND(N34&gt;='Variable index'!$K$35,N34&lt;'Variable index'!$K$36),'Variable index'!$L$35,AND(N34&gt;='Variable index'!$K$36,N34&lt;'Variable index'!$K$37),'Variable index'!$L$36,AND(N34&gt;='Variable index'!$K$37,N34&lt;'Variable index'!$K$38),'Variable index'!$L$37,N34&gt;='Variable index'!$K$38,'Variable index'!$L$38),"")</f>
        <v/>
      </c>
      <c r="W34" s="237"/>
      <c r="X34" s="336" t="str" cm="1">
        <f t="array" ref="X34">IF(AND(W34&lt;&gt;"",N34&lt;&gt;""),_xlfn.IFS(W34="Yes",_xlfn.IFS(AND(N34&gt;='Variable index'!$K$35,N34&lt;'Variable index'!$K$36),'Variable index'!$M$35,AND(N34&gt;='Variable index'!$K$36,N34&lt;'Variable index'!$K$37),'Variable index'!$M$36,AND(N34&gt;='Variable index'!$K$37,N34&lt;'Variable index'!$K$38),'Variable index'!$M$37,N34&gt;='Variable index'!$K$38,'Variable index'!$M$38),W34="No",0),"")</f>
        <v/>
      </c>
      <c r="Y34" s="188"/>
      <c r="Z34" s="338" t="str" cm="1">
        <f t="array" ref="Z34">IF(Y34&lt;&gt;"",_xlfn.IFS(Y34='Variable index'!$J$53,SUM('Variable index'!$K$48:$M$48),Y34='Variable index'!$J$54,SUM('Variable index'!$L$48:$M$48),Y34='Variable index'!$J$55,SUM('Variable index'!$M$48)),"")</f>
        <v/>
      </c>
      <c r="AA34" s="337" t="str" cm="1">
        <f t="array" ref="AA34">IFERROR(N34*(1+_xlfn.XLOOKUP(O34,'Rawlinsons regional indices'!$A$2:$A$63,'Rawlinsons regional indices'!$C$2:$C$63)+Q34+_xlfn.IFS(P34&lt;'Variable index'!$J$17,'Variable index'!$K$13,AND(P34&gt;='Variable index'!$J$17,P34&lt;'Variable index'!$J$18),'Variable index'!$L$13,P34&gt;='Variable index'!$J$18,'Variable index'!$M$13))+IF(R34&lt;&gt;"",INDEX('Variable index'!$E$57:$F$65,MATCH(R34,'Variable index'!$C$57:$C$65,0),$F$12)*S34)+IF(T34&lt;&gt;"",INDEX('Variable index'!$E$68:$F$73,MATCH(T34,'Variable index'!$C$68:$C$73,0),$F$12)*U34)+(N34*V34)+(N34*X34)+(N34*Z34),"")</f>
        <v/>
      </c>
      <c r="AB34" s="300"/>
      <c r="AC34" s="337" t="str">
        <f t="shared" si="1"/>
        <v/>
      </c>
      <c r="AD34" s="340" t="str">
        <f t="shared" si="2"/>
        <v/>
      </c>
    </row>
    <row r="35" spans="4:30" ht="12" x14ac:dyDescent="0.25">
      <c r="D35" s="216">
        <f t="shared" si="0"/>
        <v>19</v>
      </c>
      <c r="E35" s="312"/>
      <c r="F35" s="187"/>
      <c r="G35" s="185"/>
      <c r="H35" s="299">
        <f>IFERROR(_xlfn.XLOOKUP(F35,Lists!$C$10:$C$41,Lists!$D$10:$D$41),0)</f>
        <v>0</v>
      </c>
      <c r="I35" s="96"/>
      <c r="J35" s="185"/>
      <c r="K35" s="331" t="str" cm="1">
        <f t="array" ref="K35">IFERROR(IF($H35=0,INDEX('Variable index'!$E$6:$F$51,MATCH($F35,'Variable index'!$C$6:$C$51,0),$F$12),INDEX('Variable index'!$E$6:$F$51,MATCH(_xlfn.CONCAT($F35," - ",$G35),'Variable index'!$C$6:$C$51,0),$F$12)),"")</f>
        <v/>
      </c>
      <c r="L35" s="332" t="str">
        <f>IFERROR(_xlfn.CONCAT("$ per ",IF($H35=0,_xlfn.XLOOKUP($F35,'Variable index'!$C$6:$C$51,'Variable index'!$D$6:$D$51),_xlfn.XLOOKUP(_xlfn.CONCAT($F35," - ",$G35),'Variable index'!$C$6:$C$51,'Variable index'!$D$6:$D$51))),"")</f>
        <v/>
      </c>
      <c r="M35" s="140"/>
      <c r="N35" s="335" t="str">
        <f>IFERROR(IF(TableTransport[[#This Row],[Unit quantity]]="","",TableTransport[[#This Row],[Unit rate]]*TableTransport[[#This Row],[Unit quantity]]),"")</f>
        <v/>
      </c>
      <c r="O35" s="238" t="str">
        <f>IF(TableTransport[[#This Row],[Type of infrastructure]]&lt;&gt;"",Summary!$F$8,"")</f>
        <v/>
      </c>
      <c r="P35" s="239" t="str">
        <f>IF(TableTransport[[#This Row],[Type of infrastructure]]&lt;&gt;"",Summary!$F$9,"")</f>
        <v/>
      </c>
      <c r="Q35" s="241"/>
      <c r="R35" s="188"/>
      <c r="S35" s="140"/>
      <c r="T35" s="188"/>
      <c r="U35" s="140"/>
      <c r="V35" s="338" t="str" cm="1">
        <f t="array" ref="V35">IF(N35&lt;&gt;"",_xlfn.IFS(AND(N35&gt;='Variable index'!$K$35,N35&lt;'Variable index'!$K$36),'Variable index'!$L$35,AND(N35&gt;='Variable index'!$K$36,N35&lt;'Variable index'!$K$37),'Variable index'!$L$36,AND(N35&gt;='Variable index'!$K$37,N35&lt;'Variable index'!$K$38),'Variable index'!$L$37,N35&gt;='Variable index'!$K$38,'Variable index'!$L$38),"")</f>
        <v/>
      </c>
      <c r="W35" s="237"/>
      <c r="X35" s="336" t="str" cm="1">
        <f t="array" ref="X35">IF(AND(W35&lt;&gt;"",N35&lt;&gt;""),_xlfn.IFS(W35="Yes",_xlfn.IFS(AND(N35&gt;='Variable index'!$K$35,N35&lt;'Variable index'!$K$36),'Variable index'!$M$35,AND(N35&gt;='Variable index'!$K$36,N35&lt;'Variable index'!$K$37),'Variable index'!$M$36,AND(N35&gt;='Variable index'!$K$37,N35&lt;'Variable index'!$K$38),'Variable index'!$M$37,N35&gt;='Variable index'!$K$38,'Variable index'!$M$38),W35="No",0),"")</f>
        <v/>
      </c>
      <c r="Y35" s="188"/>
      <c r="Z35" s="338" t="str" cm="1">
        <f t="array" ref="Z35">IF(Y35&lt;&gt;"",_xlfn.IFS(Y35='Variable index'!$J$53,SUM('Variable index'!$K$48:$M$48),Y35='Variable index'!$J$54,SUM('Variable index'!$L$48:$M$48),Y35='Variable index'!$J$55,SUM('Variable index'!$M$48)),"")</f>
        <v/>
      </c>
      <c r="AA35" s="337" t="str" cm="1">
        <f t="array" ref="AA35">IFERROR(N35*(1+_xlfn.XLOOKUP(O35,'Rawlinsons regional indices'!$A$2:$A$63,'Rawlinsons regional indices'!$C$2:$C$63)+Q35+_xlfn.IFS(P35&lt;'Variable index'!$J$17,'Variable index'!$K$13,AND(P35&gt;='Variable index'!$J$17,P35&lt;'Variable index'!$J$18),'Variable index'!$L$13,P35&gt;='Variable index'!$J$18,'Variable index'!$M$13))+IF(R35&lt;&gt;"",INDEX('Variable index'!$E$57:$F$65,MATCH(R35,'Variable index'!$C$57:$C$65,0),$F$12)*S35)+IF(T35&lt;&gt;"",INDEX('Variable index'!$E$68:$F$73,MATCH(T35,'Variable index'!$C$68:$C$73,0),$F$12)*U35)+(N35*V35)+(N35*X35)+(N35*Z35),"")</f>
        <v/>
      </c>
      <c r="AB35" s="300"/>
      <c r="AC35" s="337" t="str">
        <f t="shared" si="1"/>
        <v/>
      </c>
      <c r="AD35" s="340" t="str">
        <f t="shared" si="2"/>
        <v/>
      </c>
    </row>
    <row r="36" spans="4:30" ht="12" x14ac:dyDescent="0.25">
      <c r="D36" s="216">
        <f t="shared" si="0"/>
        <v>20</v>
      </c>
      <c r="E36" s="312"/>
      <c r="F36" s="187"/>
      <c r="G36" s="185"/>
      <c r="H36" s="299">
        <f>IFERROR(_xlfn.XLOOKUP(F36,Lists!$C$10:$C$41,Lists!$D$10:$D$41),0)</f>
        <v>0</v>
      </c>
      <c r="I36" s="96"/>
      <c r="J36" s="185"/>
      <c r="K36" s="331" t="str" cm="1">
        <f t="array" ref="K36">IFERROR(IF($H36=0,INDEX('Variable index'!$E$6:$F$51,MATCH($F36,'Variable index'!$C$6:$C$51,0),$F$12),INDEX('Variable index'!$E$6:$F$51,MATCH(_xlfn.CONCAT($F36," - ",$G36),'Variable index'!$C$6:$C$51,0),$F$12)),"")</f>
        <v/>
      </c>
      <c r="L36" s="332" t="str">
        <f>IFERROR(_xlfn.CONCAT("$ per ",IF($H36=0,_xlfn.XLOOKUP($F36,'Variable index'!$C$6:$C$51,'Variable index'!$D$6:$D$51),_xlfn.XLOOKUP(_xlfn.CONCAT($F36," - ",$G36),'Variable index'!$C$6:$C$51,'Variable index'!$D$6:$D$51))),"")</f>
        <v/>
      </c>
      <c r="M36" s="140"/>
      <c r="N36" s="335" t="str">
        <f>IFERROR(IF(TableTransport[[#This Row],[Unit quantity]]="","",TableTransport[[#This Row],[Unit rate]]*TableTransport[[#This Row],[Unit quantity]]),"")</f>
        <v/>
      </c>
      <c r="O36" s="238" t="str">
        <f>IF(TableTransport[[#This Row],[Type of infrastructure]]&lt;&gt;"",Summary!$F$8,"")</f>
        <v/>
      </c>
      <c r="P36" s="239" t="str">
        <f>IF(TableTransport[[#This Row],[Type of infrastructure]]&lt;&gt;"",Summary!$F$9,"")</f>
        <v/>
      </c>
      <c r="Q36" s="241"/>
      <c r="R36" s="188"/>
      <c r="S36" s="140"/>
      <c r="T36" s="188"/>
      <c r="U36" s="140"/>
      <c r="V36" s="338" t="str" cm="1">
        <f t="array" ref="V36">IF(N36&lt;&gt;"",_xlfn.IFS(AND(N36&gt;='Variable index'!$K$35,N36&lt;'Variable index'!$K$36),'Variable index'!$L$35,AND(N36&gt;='Variable index'!$K$36,N36&lt;'Variable index'!$K$37),'Variable index'!$L$36,AND(N36&gt;='Variable index'!$K$37,N36&lt;'Variable index'!$K$38),'Variable index'!$L$37,N36&gt;='Variable index'!$K$38,'Variable index'!$L$38),"")</f>
        <v/>
      </c>
      <c r="W36" s="237"/>
      <c r="X36" s="336" t="str" cm="1">
        <f t="array" ref="X36">IF(AND(W36&lt;&gt;"",N36&lt;&gt;""),_xlfn.IFS(W36="Yes",_xlfn.IFS(AND(N36&gt;='Variable index'!$K$35,N36&lt;'Variable index'!$K$36),'Variable index'!$M$35,AND(N36&gt;='Variable index'!$K$36,N36&lt;'Variable index'!$K$37),'Variable index'!$M$36,AND(N36&gt;='Variable index'!$K$37,N36&lt;'Variable index'!$K$38),'Variable index'!$M$37,N36&gt;='Variable index'!$K$38,'Variable index'!$M$38),W36="No",0),"")</f>
        <v/>
      </c>
      <c r="Y36" s="188"/>
      <c r="Z36" s="338" t="str" cm="1">
        <f t="array" ref="Z36">IF(Y36&lt;&gt;"",_xlfn.IFS(Y36='Variable index'!$J$53,SUM('Variable index'!$K$48:$M$48),Y36='Variable index'!$J$54,SUM('Variable index'!$L$48:$M$48),Y36='Variable index'!$J$55,SUM('Variable index'!$M$48)),"")</f>
        <v/>
      </c>
      <c r="AA36" s="337" t="str" cm="1">
        <f t="array" ref="AA36">IFERROR(N36*(1+_xlfn.XLOOKUP(O36,'Rawlinsons regional indices'!$A$2:$A$63,'Rawlinsons regional indices'!$C$2:$C$63)+Q36+_xlfn.IFS(P36&lt;'Variable index'!$J$17,'Variable index'!$K$13,AND(P36&gt;='Variable index'!$J$17,P36&lt;'Variable index'!$J$18),'Variable index'!$L$13,P36&gt;='Variable index'!$J$18,'Variable index'!$M$13))+IF(R36&lt;&gt;"",INDEX('Variable index'!$E$57:$F$65,MATCH(R36,'Variable index'!$C$57:$C$65,0),$F$12)*S36)+IF(T36&lt;&gt;"",INDEX('Variable index'!$E$68:$F$73,MATCH(T36,'Variable index'!$C$68:$C$73,0),$F$12)*U36)+(N36*V36)+(N36*X36)+(N36*Z36),"")</f>
        <v/>
      </c>
      <c r="AB36" s="300"/>
      <c r="AC36" s="337" t="str">
        <f t="shared" si="1"/>
        <v/>
      </c>
      <c r="AD36" s="340" t="str">
        <f t="shared" si="2"/>
        <v/>
      </c>
    </row>
    <row r="37" spans="4:30" ht="12" x14ac:dyDescent="0.25">
      <c r="D37" s="216">
        <f t="shared" si="0"/>
        <v>21</v>
      </c>
      <c r="E37" s="312"/>
      <c r="F37" s="187"/>
      <c r="G37" s="185"/>
      <c r="H37" s="299">
        <f>IFERROR(_xlfn.XLOOKUP(F37,Lists!$C$10:$C$41,Lists!$D$10:$D$41),0)</f>
        <v>0</v>
      </c>
      <c r="I37" s="96"/>
      <c r="J37" s="185"/>
      <c r="K37" s="331" t="str" cm="1">
        <f t="array" ref="K37">IFERROR(IF($H37=0,INDEX('Variable index'!$E$6:$F$51,MATCH($F37,'Variable index'!$C$6:$C$51,0),$F$12),INDEX('Variable index'!$E$6:$F$51,MATCH(_xlfn.CONCAT($F37," - ",$G37),'Variable index'!$C$6:$C$51,0),$F$12)),"")</f>
        <v/>
      </c>
      <c r="L37" s="332" t="str">
        <f>IFERROR(_xlfn.CONCAT("$ per ",IF($H37=0,_xlfn.XLOOKUP($F37,'Variable index'!$C$6:$C$51,'Variable index'!$D$6:$D$51),_xlfn.XLOOKUP(_xlfn.CONCAT($F37," - ",$G37),'Variable index'!$C$6:$C$51,'Variable index'!$D$6:$D$51))),"")</f>
        <v/>
      </c>
      <c r="M37" s="140"/>
      <c r="N37" s="335" t="str">
        <f>IFERROR(IF(TableTransport[[#This Row],[Unit quantity]]="","",TableTransport[[#This Row],[Unit rate]]*TableTransport[[#This Row],[Unit quantity]]),"")</f>
        <v/>
      </c>
      <c r="O37" s="238" t="str">
        <f>IF(TableTransport[[#This Row],[Type of infrastructure]]&lt;&gt;"",Summary!$F$8,"")</f>
        <v/>
      </c>
      <c r="P37" s="239" t="str">
        <f>IF(TableTransport[[#This Row],[Type of infrastructure]]&lt;&gt;"",Summary!$F$9,"")</f>
        <v/>
      </c>
      <c r="Q37" s="241"/>
      <c r="R37" s="188"/>
      <c r="S37" s="140"/>
      <c r="T37" s="188"/>
      <c r="U37" s="140"/>
      <c r="V37" s="338" t="str" cm="1">
        <f t="array" ref="V37">IF(N37&lt;&gt;"",_xlfn.IFS(AND(N37&gt;='Variable index'!$K$35,N37&lt;'Variable index'!$K$36),'Variable index'!$L$35,AND(N37&gt;='Variable index'!$K$36,N37&lt;'Variable index'!$K$37),'Variable index'!$L$36,AND(N37&gt;='Variable index'!$K$37,N37&lt;'Variable index'!$K$38),'Variable index'!$L$37,N37&gt;='Variable index'!$K$38,'Variable index'!$L$38),"")</f>
        <v/>
      </c>
      <c r="W37" s="237"/>
      <c r="X37" s="336" t="str" cm="1">
        <f t="array" ref="X37">IF(AND(W37&lt;&gt;"",N37&lt;&gt;""),_xlfn.IFS(W37="Yes",_xlfn.IFS(AND(N37&gt;='Variable index'!$K$35,N37&lt;'Variable index'!$K$36),'Variable index'!$M$35,AND(N37&gt;='Variable index'!$K$36,N37&lt;'Variable index'!$K$37),'Variable index'!$M$36,AND(N37&gt;='Variable index'!$K$37,N37&lt;'Variable index'!$K$38),'Variable index'!$M$37,N37&gt;='Variable index'!$K$38,'Variable index'!$M$38),W37="No",0),"")</f>
        <v/>
      </c>
      <c r="Y37" s="188"/>
      <c r="Z37" s="338" t="str" cm="1">
        <f t="array" ref="Z37">IF(Y37&lt;&gt;"",_xlfn.IFS(Y37='Variable index'!$J$53,SUM('Variable index'!$K$48:$M$48),Y37='Variable index'!$J$54,SUM('Variable index'!$L$48:$M$48),Y37='Variable index'!$J$55,SUM('Variable index'!$M$48)),"")</f>
        <v/>
      </c>
      <c r="AA37" s="337" t="str" cm="1">
        <f t="array" ref="AA37">IFERROR(N37*(1+_xlfn.XLOOKUP(O37,'Rawlinsons regional indices'!$A$2:$A$63,'Rawlinsons regional indices'!$C$2:$C$63)+Q37+_xlfn.IFS(P37&lt;'Variable index'!$J$17,'Variable index'!$K$13,AND(P37&gt;='Variable index'!$J$17,P37&lt;'Variable index'!$J$18),'Variable index'!$L$13,P37&gt;='Variable index'!$J$18,'Variable index'!$M$13))+IF(R37&lt;&gt;"",INDEX('Variable index'!$E$57:$F$65,MATCH(R37,'Variable index'!$C$57:$C$65,0),$F$12)*S37)+IF(T37&lt;&gt;"",INDEX('Variable index'!$E$68:$F$73,MATCH(T37,'Variable index'!$C$68:$C$73,0),$F$12)*U37)+(N37*V37)+(N37*X37)+(N37*Z37),"")</f>
        <v/>
      </c>
      <c r="AB37" s="300"/>
      <c r="AC37" s="337" t="str">
        <f t="shared" si="1"/>
        <v/>
      </c>
      <c r="AD37" s="340" t="str">
        <f t="shared" si="2"/>
        <v/>
      </c>
    </row>
    <row r="38" spans="4:30" ht="12" x14ac:dyDescent="0.25">
      <c r="D38" s="216">
        <f t="shared" si="0"/>
        <v>22</v>
      </c>
      <c r="E38" s="312"/>
      <c r="F38" s="187"/>
      <c r="G38" s="185"/>
      <c r="H38" s="299">
        <f>IFERROR(_xlfn.XLOOKUP(F38,Lists!$C$10:$C$41,Lists!$D$10:$D$41),0)</f>
        <v>0</v>
      </c>
      <c r="I38" s="96"/>
      <c r="J38" s="185"/>
      <c r="K38" s="331" t="str" cm="1">
        <f t="array" ref="K38">IFERROR(IF($H38=0,INDEX('Variable index'!$E$6:$F$51,MATCH($F38,'Variable index'!$C$6:$C$51,0),$F$12),INDEX('Variable index'!$E$6:$F$51,MATCH(_xlfn.CONCAT($F38," - ",$G38),'Variable index'!$C$6:$C$51,0),$F$12)),"")</f>
        <v/>
      </c>
      <c r="L38" s="332" t="str">
        <f>IFERROR(_xlfn.CONCAT("$ per ",IF($H38=0,_xlfn.XLOOKUP($F38,'Variable index'!$C$6:$C$51,'Variable index'!$D$6:$D$51),_xlfn.XLOOKUP(_xlfn.CONCAT($F38," - ",$G38),'Variable index'!$C$6:$C$51,'Variable index'!$D$6:$D$51))),"")</f>
        <v/>
      </c>
      <c r="M38" s="140"/>
      <c r="N38" s="335" t="str">
        <f>IFERROR(IF(TableTransport[[#This Row],[Unit quantity]]="","",TableTransport[[#This Row],[Unit rate]]*TableTransport[[#This Row],[Unit quantity]]),"")</f>
        <v/>
      </c>
      <c r="O38" s="238" t="str">
        <f>IF(TableTransport[[#This Row],[Type of infrastructure]]&lt;&gt;"",Summary!$F$8,"")</f>
        <v/>
      </c>
      <c r="P38" s="239" t="str">
        <f>IF(TableTransport[[#This Row],[Type of infrastructure]]&lt;&gt;"",Summary!$F$9,"")</f>
        <v/>
      </c>
      <c r="Q38" s="241"/>
      <c r="R38" s="188"/>
      <c r="S38" s="140"/>
      <c r="T38" s="188"/>
      <c r="U38" s="140"/>
      <c r="V38" s="338" t="str" cm="1">
        <f t="array" ref="V38">IF(N38&lt;&gt;"",_xlfn.IFS(AND(N38&gt;='Variable index'!$K$35,N38&lt;'Variable index'!$K$36),'Variable index'!$L$35,AND(N38&gt;='Variable index'!$K$36,N38&lt;'Variable index'!$K$37),'Variable index'!$L$36,AND(N38&gt;='Variable index'!$K$37,N38&lt;'Variable index'!$K$38),'Variable index'!$L$37,N38&gt;='Variable index'!$K$38,'Variable index'!$L$38),"")</f>
        <v/>
      </c>
      <c r="W38" s="237"/>
      <c r="X38" s="336" t="str" cm="1">
        <f t="array" ref="X38">IF(AND(W38&lt;&gt;"",N38&lt;&gt;""),_xlfn.IFS(W38="Yes",_xlfn.IFS(AND(N38&gt;='Variable index'!$K$35,N38&lt;'Variable index'!$K$36),'Variable index'!$M$35,AND(N38&gt;='Variable index'!$K$36,N38&lt;'Variable index'!$K$37),'Variable index'!$M$36,AND(N38&gt;='Variable index'!$K$37,N38&lt;'Variable index'!$K$38),'Variable index'!$M$37,N38&gt;='Variable index'!$K$38,'Variable index'!$M$38),W38="No",0),"")</f>
        <v/>
      </c>
      <c r="Y38" s="188"/>
      <c r="Z38" s="338" t="str" cm="1">
        <f t="array" ref="Z38">IF(Y38&lt;&gt;"",_xlfn.IFS(Y38='Variable index'!$J$53,SUM('Variable index'!$K$48:$M$48),Y38='Variable index'!$J$54,SUM('Variable index'!$L$48:$M$48),Y38='Variable index'!$J$55,SUM('Variable index'!$M$48)),"")</f>
        <v/>
      </c>
      <c r="AA38" s="337" t="str" cm="1">
        <f t="array" ref="AA38">IFERROR(N38*(1+_xlfn.XLOOKUP(O38,'Rawlinsons regional indices'!$A$2:$A$63,'Rawlinsons regional indices'!$C$2:$C$63)+Q38+_xlfn.IFS(P38&lt;'Variable index'!$J$17,'Variable index'!$K$13,AND(P38&gt;='Variable index'!$J$17,P38&lt;'Variable index'!$J$18),'Variable index'!$L$13,P38&gt;='Variable index'!$J$18,'Variable index'!$M$13))+IF(R38&lt;&gt;"",INDEX('Variable index'!$E$57:$F$65,MATCH(R38,'Variable index'!$C$57:$C$65,0),$F$12)*S38)+IF(T38&lt;&gt;"",INDEX('Variable index'!$E$68:$F$73,MATCH(T38,'Variable index'!$C$68:$C$73,0),$F$12)*U38)+(N38*V38)+(N38*X38)+(N38*Z38),"")</f>
        <v/>
      </c>
      <c r="AB38" s="300"/>
      <c r="AC38" s="337" t="str">
        <f t="shared" si="1"/>
        <v/>
      </c>
      <c r="AD38" s="340" t="str">
        <f t="shared" si="2"/>
        <v/>
      </c>
    </row>
    <row r="39" spans="4:30" ht="12" x14ac:dyDescent="0.25">
      <c r="D39" s="216">
        <f t="shared" si="0"/>
        <v>23</v>
      </c>
      <c r="E39" s="312"/>
      <c r="F39" s="187"/>
      <c r="G39" s="185"/>
      <c r="H39" s="299">
        <f>IFERROR(_xlfn.XLOOKUP(F39,Lists!$C$10:$C$41,Lists!$D$10:$D$41),0)</f>
        <v>0</v>
      </c>
      <c r="I39" s="96"/>
      <c r="J39" s="185"/>
      <c r="K39" s="331" t="str" cm="1">
        <f t="array" ref="K39">IFERROR(IF($H39=0,INDEX('Variable index'!$E$6:$F$51,MATCH($F39,'Variable index'!$C$6:$C$51,0),$F$12),INDEX('Variable index'!$E$6:$F$51,MATCH(_xlfn.CONCAT($F39," - ",$G39),'Variable index'!$C$6:$C$51,0),$F$12)),"")</f>
        <v/>
      </c>
      <c r="L39" s="332" t="str">
        <f>IFERROR(_xlfn.CONCAT("$ per ",IF($H39=0,_xlfn.XLOOKUP($F39,'Variable index'!$C$6:$C$51,'Variable index'!$D$6:$D$51),_xlfn.XLOOKUP(_xlfn.CONCAT($F39," - ",$G39),'Variable index'!$C$6:$C$51,'Variable index'!$D$6:$D$51))),"")</f>
        <v/>
      </c>
      <c r="M39" s="140"/>
      <c r="N39" s="335" t="str">
        <f>IFERROR(IF(TableTransport[[#This Row],[Unit quantity]]="","",TableTransport[[#This Row],[Unit rate]]*TableTransport[[#This Row],[Unit quantity]]),"")</f>
        <v/>
      </c>
      <c r="O39" s="238" t="str">
        <f>IF(TableTransport[[#This Row],[Type of infrastructure]]&lt;&gt;"",Summary!$F$8,"")</f>
        <v/>
      </c>
      <c r="P39" s="239" t="str">
        <f>IF(TableTransport[[#This Row],[Type of infrastructure]]&lt;&gt;"",Summary!$F$9,"")</f>
        <v/>
      </c>
      <c r="Q39" s="241"/>
      <c r="R39" s="188"/>
      <c r="S39" s="140"/>
      <c r="T39" s="188"/>
      <c r="U39" s="140"/>
      <c r="V39" s="338" t="str" cm="1">
        <f t="array" ref="V39">IF(N39&lt;&gt;"",_xlfn.IFS(AND(N39&gt;='Variable index'!$K$35,N39&lt;'Variable index'!$K$36),'Variable index'!$L$35,AND(N39&gt;='Variable index'!$K$36,N39&lt;'Variable index'!$K$37),'Variable index'!$L$36,AND(N39&gt;='Variable index'!$K$37,N39&lt;'Variable index'!$K$38),'Variable index'!$L$37,N39&gt;='Variable index'!$K$38,'Variable index'!$L$38),"")</f>
        <v/>
      </c>
      <c r="W39" s="237"/>
      <c r="X39" s="336" t="str" cm="1">
        <f t="array" ref="X39">IF(AND(W39&lt;&gt;"",N39&lt;&gt;""),_xlfn.IFS(W39="Yes",_xlfn.IFS(AND(N39&gt;='Variable index'!$K$35,N39&lt;'Variable index'!$K$36),'Variable index'!$M$35,AND(N39&gt;='Variable index'!$K$36,N39&lt;'Variable index'!$K$37),'Variable index'!$M$36,AND(N39&gt;='Variable index'!$K$37,N39&lt;'Variable index'!$K$38),'Variable index'!$M$37,N39&gt;='Variable index'!$K$38,'Variable index'!$M$38),W39="No",0),"")</f>
        <v/>
      </c>
      <c r="Y39" s="188"/>
      <c r="Z39" s="338" t="str" cm="1">
        <f t="array" ref="Z39">IF(Y39&lt;&gt;"",_xlfn.IFS(Y39='Variable index'!$J$53,SUM('Variable index'!$K$48:$M$48),Y39='Variable index'!$J$54,SUM('Variable index'!$L$48:$M$48),Y39='Variable index'!$J$55,SUM('Variable index'!$M$48)),"")</f>
        <v/>
      </c>
      <c r="AA39" s="337" t="str" cm="1">
        <f t="array" ref="AA39">IFERROR(N39*(1+_xlfn.XLOOKUP(O39,'Rawlinsons regional indices'!$A$2:$A$63,'Rawlinsons regional indices'!$C$2:$C$63)+Q39+_xlfn.IFS(P39&lt;'Variable index'!$J$17,'Variable index'!$K$13,AND(P39&gt;='Variable index'!$J$17,P39&lt;'Variable index'!$J$18),'Variable index'!$L$13,P39&gt;='Variable index'!$J$18,'Variable index'!$M$13))+IF(R39&lt;&gt;"",INDEX('Variable index'!$E$57:$F$65,MATCH(R39,'Variable index'!$C$57:$C$65,0),$F$12)*S39)+IF(T39&lt;&gt;"",INDEX('Variable index'!$E$68:$F$73,MATCH(T39,'Variable index'!$C$68:$C$73,0),$F$12)*U39)+(N39*V39)+(N39*X39)+(N39*Z39),"")</f>
        <v/>
      </c>
      <c r="AB39" s="300"/>
      <c r="AC39" s="337" t="str">
        <f t="shared" si="1"/>
        <v/>
      </c>
      <c r="AD39" s="340" t="str">
        <f t="shared" si="2"/>
        <v/>
      </c>
    </row>
    <row r="40" spans="4:30" ht="12" x14ac:dyDescent="0.25">
      <c r="D40" s="216">
        <f t="shared" si="0"/>
        <v>24</v>
      </c>
      <c r="E40" s="312"/>
      <c r="F40" s="187"/>
      <c r="G40" s="185"/>
      <c r="H40" s="299">
        <f>IFERROR(_xlfn.XLOOKUP(F40,Lists!$C$10:$C$41,Lists!$D$10:$D$41),0)</f>
        <v>0</v>
      </c>
      <c r="I40" s="96"/>
      <c r="J40" s="185"/>
      <c r="K40" s="331" t="str" cm="1">
        <f t="array" ref="K40">IFERROR(IF($H40=0,INDEX('Variable index'!$E$6:$F$51,MATCH($F40,'Variable index'!$C$6:$C$51,0),$F$12),INDEX('Variable index'!$E$6:$F$51,MATCH(_xlfn.CONCAT($F40," - ",$G40),'Variable index'!$C$6:$C$51,0),$F$12)),"")</f>
        <v/>
      </c>
      <c r="L40" s="332" t="str">
        <f>IFERROR(_xlfn.CONCAT("$ per ",IF($H40=0,_xlfn.XLOOKUP($F40,'Variable index'!$C$6:$C$51,'Variable index'!$D$6:$D$51),_xlfn.XLOOKUP(_xlfn.CONCAT($F40," - ",$G40),'Variable index'!$C$6:$C$51,'Variable index'!$D$6:$D$51))),"")</f>
        <v/>
      </c>
      <c r="M40" s="140"/>
      <c r="N40" s="335" t="str">
        <f>IFERROR(IF(TableTransport[[#This Row],[Unit quantity]]="","",TableTransport[[#This Row],[Unit rate]]*TableTransport[[#This Row],[Unit quantity]]),"")</f>
        <v/>
      </c>
      <c r="O40" s="238" t="str">
        <f>IF(TableTransport[[#This Row],[Type of infrastructure]]&lt;&gt;"",Summary!$F$8,"")</f>
        <v/>
      </c>
      <c r="P40" s="239" t="str">
        <f>IF(TableTransport[[#This Row],[Type of infrastructure]]&lt;&gt;"",Summary!$F$9,"")</f>
        <v/>
      </c>
      <c r="Q40" s="241"/>
      <c r="R40" s="188"/>
      <c r="S40" s="140"/>
      <c r="T40" s="188"/>
      <c r="U40" s="140"/>
      <c r="V40" s="338" t="str" cm="1">
        <f t="array" ref="V40">IF(N40&lt;&gt;"",_xlfn.IFS(AND(N40&gt;='Variable index'!$K$35,N40&lt;'Variable index'!$K$36),'Variable index'!$L$35,AND(N40&gt;='Variable index'!$K$36,N40&lt;'Variable index'!$K$37),'Variable index'!$L$36,AND(N40&gt;='Variable index'!$K$37,N40&lt;'Variable index'!$K$38),'Variable index'!$L$37,N40&gt;='Variable index'!$K$38,'Variable index'!$L$38),"")</f>
        <v/>
      </c>
      <c r="W40" s="237"/>
      <c r="X40" s="336" t="str" cm="1">
        <f t="array" ref="X40">IF(AND(W40&lt;&gt;"",N40&lt;&gt;""),_xlfn.IFS(W40="Yes",_xlfn.IFS(AND(N40&gt;='Variable index'!$K$35,N40&lt;'Variable index'!$K$36),'Variable index'!$M$35,AND(N40&gt;='Variable index'!$K$36,N40&lt;'Variable index'!$K$37),'Variable index'!$M$36,AND(N40&gt;='Variable index'!$K$37,N40&lt;'Variable index'!$K$38),'Variable index'!$M$37,N40&gt;='Variable index'!$K$38,'Variable index'!$M$38),W40="No",0),"")</f>
        <v/>
      </c>
      <c r="Y40" s="188"/>
      <c r="Z40" s="338" t="str" cm="1">
        <f t="array" ref="Z40">IF(Y40&lt;&gt;"",_xlfn.IFS(Y40='Variable index'!$J$53,SUM('Variable index'!$K$48:$M$48),Y40='Variable index'!$J$54,SUM('Variable index'!$L$48:$M$48),Y40='Variable index'!$J$55,SUM('Variable index'!$M$48)),"")</f>
        <v/>
      </c>
      <c r="AA40" s="337" t="str" cm="1">
        <f t="array" ref="AA40">IFERROR(N40*(1+_xlfn.XLOOKUP(O40,'Rawlinsons regional indices'!$A$2:$A$63,'Rawlinsons regional indices'!$C$2:$C$63)+Q40+_xlfn.IFS(P40&lt;'Variable index'!$J$17,'Variable index'!$K$13,AND(P40&gt;='Variable index'!$J$17,P40&lt;'Variable index'!$J$18),'Variable index'!$L$13,P40&gt;='Variable index'!$J$18,'Variable index'!$M$13))+IF(R40&lt;&gt;"",INDEX('Variable index'!$E$57:$F$65,MATCH(R40,'Variable index'!$C$57:$C$65,0),$F$12)*S40)+IF(T40&lt;&gt;"",INDEX('Variable index'!$E$68:$F$73,MATCH(T40,'Variable index'!$C$68:$C$73,0),$F$12)*U40)+(N40*V40)+(N40*X40)+(N40*Z40),"")</f>
        <v/>
      </c>
      <c r="AB40" s="300"/>
      <c r="AC40" s="337" t="str">
        <f t="shared" si="1"/>
        <v/>
      </c>
      <c r="AD40" s="340" t="str">
        <f t="shared" si="2"/>
        <v/>
      </c>
    </row>
    <row r="41" spans="4:30" ht="12" x14ac:dyDescent="0.25">
      <c r="D41" s="216">
        <f t="shared" si="0"/>
        <v>25</v>
      </c>
      <c r="E41" s="312"/>
      <c r="F41" s="187"/>
      <c r="G41" s="185"/>
      <c r="H41" s="299">
        <f>IFERROR(_xlfn.XLOOKUP(F41,Lists!$C$10:$C$41,Lists!$D$10:$D$41),0)</f>
        <v>0</v>
      </c>
      <c r="I41" s="96"/>
      <c r="J41" s="185"/>
      <c r="K41" s="331" t="str" cm="1">
        <f t="array" ref="K41">IFERROR(IF($H41=0,INDEX('Variable index'!$E$6:$F$51,MATCH($F41,'Variable index'!$C$6:$C$51,0),$F$12),INDEX('Variable index'!$E$6:$F$51,MATCH(_xlfn.CONCAT($F41," - ",$G41),'Variable index'!$C$6:$C$51,0),$F$12)),"")</f>
        <v/>
      </c>
      <c r="L41" s="332" t="str">
        <f>IFERROR(_xlfn.CONCAT("$ per ",IF($H41=0,_xlfn.XLOOKUP($F41,'Variable index'!$C$6:$C$51,'Variable index'!$D$6:$D$51),_xlfn.XLOOKUP(_xlfn.CONCAT($F41," - ",$G41),'Variable index'!$C$6:$C$51,'Variable index'!$D$6:$D$51))),"")</f>
        <v/>
      </c>
      <c r="M41" s="140"/>
      <c r="N41" s="335" t="str">
        <f>IFERROR(IF(TableTransport[[#This Row],[Unit quantity]]="","",TableTransport[[#This Row],[Unit rate]]*TableTransport[[#This Row],[Unit quantity]]),"")</f>
        <v/>
      </c>
      <c r="O41" s="238" t="str">
        <f>IF(TableTransport[[#This Row],[Type of infrastructure]]&lt;&gt;"",Summary!$F$8,"")</f>
        <v/>
      </c>
      <c r="P41" s="239" t="str">
        <f>IF(TableTransport[[#This Row],[Type of infrastructure]]&lt;&gt;"",Summary!$F$9,"")</f>
        <v/>
      </c>
      <c r="Q41" s="241"/>
      <c r="R41" s="188"/>
      <c r="S41" s="140"/>
      <c r="T41" s="188"/>
      <c r="U41" s="140"/>
      <c r="V41" s="338" t="str" cm="1">
        <f t="array" ref="V41">IF(N41&lt;&gt;"",_xlfn.IFS(AND(N41&gt;='Variable index'!$K$35,N41&lt;'Variable index'!$K$36),'Variable index'!$L$35,AND(N41&gt;='Variable index'!$K$36,N41&lt;'Variable index'!$K$37),'Variable index'!$L$36,AND(N41&gt;='Variable index'!$K$37,N41&lt;'Variable index'!$K$38),'Variable index'!$L$37,N41&gt;='Variable index'!$K$38,'Variable index'!$L$38),"")</f>
        <v/>
      </c>
      <c r="W41" s="237"/>
      <c r="X41" s="336" t="str" cm="1">
        <f t="array" ref="X41">IF(AND(W41&lt;&gt;"",N41&lt;&gt;""),_xlfn.IFS(W41="Yes",_xlfn.IFS(AND(N41&gt;='Variable index'!$K$35,N41&lt;'Variable index'!$K$36),'Variable index'!$M$35,AND(N41&gt;='Variable index'!$K$36,N41&lt;'Variable index'!$K$37),'Variable index'!$M$36,AND(N41&gt;='Variable index'!$K$37,N41&lt;'Variable index'!$K$38),'Variable index'!$M$37,N41&gt;='Variable index'!$K$38,'Variable index'!$M$38),W41="No",0),"")</f>
        <v/>
      </c>
      <c r="Y41" s="188"/>
      <c r="Z41" s="338" t="str" cm="1">
        <f t="array" ref="Z41">IF(Y41&lt;&gt;"",_xlfn.IFS(Y41='Variable index'!$J$53,SUM('Variable index'!$K$48:$M$48),Y41='Variable index'!$J$54,SUM('Variable index'!$L$48:$M$48),Y41='Variable index'!$J$55,SUM('Variable index'!$M$48)),"")</f>
        <v/>
      </c>
      <c r="AA41" s="337" t="str" cm="1">
        <f t="array" ref="AA41">IFERROR(N41*(1+_xlfn.XLOOKUP(O41,'Rawlinsons regional indices'!$A$2:$A$63,'Rawlinsons regional indices'!$C$2:$C$63)+Q41+_xlfn.IFS(P41&lt;'Variable index'!$J$17,'Variable index'!$K$13,AND(P41&gt;='Variable index'!$J$17,P41&lt;'Variable index'!$J$18),'Variable index'!$L$13,P41&gt;='Variable index'!$J$18,'Variable index'!$M$13))+IF(R41&lt;&gt;"",INDEX('Variable index'!$E$57:$F$65,MATCH(R41,'Variable index'!$C$57:$C$65,0),$F$12)*S41)+IF(T41&lt;&gt;"",INDEX('Variable index'!$E$68:$F$73,MATCH(T41,'Variable index'!$C$68:$C$73,0),$F$12)*U41)+(N41*V41)+(N41*X41)+(N41*Z41),"")</f>
        <v/>
      </c>
      <c r="AB41" s="300"/>
      <c r="AC41" s="337" t="str">
        <f t="shared" si="1"/>
        <v/>
      </c>
      <c r="AD41" s="340" t="str">
        <f t="shared" si="2"/>
        <v/>
      </c>
    </row>
    <row r="42" spans="4:30" ht="12" x14ac:dyDescent="0.25">
      <c r="D42" s="216">
        <f t="shared" si="0"/>
        <v>26</v>
      </c>
      <c r="E42" s="312"/>
      <c r="F42" s="187"/>
      <c r="G42" s="185"/>
      <c r="H42" s="299">
        <f>IFERROR(_xlfn.XLOOKUP(F42,Lists!$C$10:$C$41,Lists!$D$10:$D$41),0)</f>
        <v>0</v>
      </c>
      <c r="I42" s="96"/>
      <c r="J42" s="185"/>
      <c r="K42" s="331" t="str" cm="1">
        <f t="array" ref="K42">IFERROR(IF($H42=0,INDEX('Variable index'!$E$6:$F$51,MATCH($F42,'Variable index'!$C$6:$C$51,0),$F$12),INDEX('Variable index'!$E$6:$F$51,MATCH(_xlfn.CONCAT($F42," - ",$G42),'Variable index'!$C$6:$C$51,0),$F$12)),"")</f>
        <v/>
      </c>
      <c r="L42" s="332" t="str">
        <f>IFERROR(_xlfn.CONCAT("$ per ",IF($H42=0,_xlfn.XLOOKUP($F42,'Variable index'!$C$6:$C$51,'Variable index'!$D$6:$D$51),_xlfn.XLOOKUP(_xlfn.CONCAT($F42," - ",$G42),'Variable index'!$C$6:$C$51,'Variable index'!$D$6:$D$51))),"")</f>
        <v/>
      </c>
      <c r="M42" s="140"/>
      <c r="N42" s="335" t="str">
        <f>IFERROR(IF(TableTransport[[#This Row],[Unit quantity]]="","",TableTransport[[#This Row],[Unit rate]]*TableTransport[[#This Row],[Unit quantity]]),"")</f>
        <v/>
      </c>
      <c r="O42" s="238" t="str">
        <f>IF(TableTransport[[#This Row],[Type of infrastructure]]&lt;&gt;"",Summary!$F$8,"")</f>
        <v/>
      </c>
      <c r="P42" s="239" t="str">
        <f>IF(TableTransport[[#This Row],[Type of infrastructure]]&lt;&gt;"",Summary!$F$9,"")</f>
        <v/>
      </c>
      <c r="Q42" s="241"/>
      <c r="R42" s="188"/>
      <c r="S42" s="140"/>
      <c r="T42" s="188"/>
      <c r="U42" s="140"/>
      <c r="V42" s="338" t="str" cm="1">
        <f t="array" ref="V42">IF(N42&lt;&gt;"",_xlfn.IFS(AND(N42&gt;='Variable index'!$K$35,N42&lt;'Variable index'!$K$36),'Variable index'!$L$35,AND(N42&gt;='Variable index'!$K$36,N42&lt;'Variable index'!$K$37),'Variable index'!$L$36,AND(N42&gt;='Variable index'!$K$37,N42&lt;'Variable index'!$K$38),'Variable index'!$L$37,N42&gt;='Variable index'!$K$38,'Variable index'!$L$38),"")</f>
        <v/>
      </c>
      <c r="W42" s="237"/>
      <c r="X42" s="336" t="str" cm="1">
        <f t="array" ref="X42">IF(AND(W42&lt;&gt;"",N42&lt;&gt;""),_xlfn.IFS(W42="Yes",_xlfn.IFS(AND(N42&gt;='Variable index'!$K$35,N42&lt;'Variable index'!$K$36),'Variable index'!$M$35,AND(N42&gt;='Variable index'!$K$36,N42&lt;'Variable index'!$K$37),'Variable index'!$M$36,AND(N42&gt;='Variable index'!$K$37,N42&lt;'Variable index'!$K$38),'Variable index'!$M$37,N42&gt;='Variable index'!$K$38,'Variable index'!$M$38),W42="No",0),"")</f>
        <v/>
      </c>
      <c r="Y42" s="188"/>
      <c r="Z42" s="338" t="str" cm="1">
        <f t="array" ref="Z42">IF(Y42&lt;&gt;"",_xlfn.IFS(Y42='Variable index'!$J$53,SUM('Variable index'!$K$48:$M$48),Y42='Variable index'!$J$54,SUM('Variable index'!$L$48:$M$48),Y42='Variable index'!$J$55,SUM('Variable index'!$M$48)),"")</f>
        <v/>
      </c>
      <c r="AA42" s="337" t="str" cm="1">
        <f t="array" ref="AA42">IFERROR(N42*(1+_xlfn.XLOOKUP(O42,'Rawlinsons regional indices'!$A$2:$A$63,'Rawlinsons regional indices'!$C$2:$C$63)+Q42+_xlfn.IFS(P42&lt;'Variable index'!$J$17,'Variable index'!$K$13,AND(P42&gt;='Variable index'!$J$17,P42&lt;'Variable index'!$J$18),'Variable index'!$L$13,P42&gt;='Variable index'!$J$18,'Variable index'!$M$13))+IF(R42&lt;&gt;"",INDEX('Variable index'!$E$57:$F$65,MATCH(R42,'Variable index'!$C$57:$C$65,0),$F$12)*S42)+IF(T42&lt;&gt;"",INDEX('Variable index'!$E$68:$F$73,MATCH(T42,'Variable index'!$C$68:$C$73,0),$F$12)*U42)+(N42*V42)+(N42*X42)+(N42*Z42),"")</f>
        <v/>
      </c>
      <c r="AB42" s="300"/>
      <c r="AC42" s="337" t="str">
        <f t="shared" si="1"/>
        <v/>
      </c>
      <c r="AD42" s="340" t="str">
        <f t="shared" si="2"/>
        <v/>
      </c>
    </row>
    <row r="43" spans="4:30" ht="12" x14ac:dyDescent="0.25">
      <c r="D43" s="216">
        <f t="shared" si="0"/>
        <v>27</v>
      </c>
      <c r="E43" s="312"/>
      <c r="F43" s="187"/>
      <c r="G43" s="185"/>
      <c r="H43" s="299">
        <f>IFERROR(_xlfn.XLOOKUP(F43,Lists!$C$10:$C$41,Lists!$D$10:$D$41),0)</f>
        <v>0</v>
      </c>
      <c r="I43" s="96"/>
      <c r="J43" s="185"/>
      <c r="K43" s="331" t="str" cm="1">
        <f t="array" ref="K43">IFERROR(IF($H43=0,INDEX('Variable index'!$E$6:$F$51,MATCH($F43,'Variable index'!$C$6:$C$51,0),$F$12),INDEX('Variable index'!$E$6:$F$51,MATCH(_xlfn.CONCAT($F43," - ",$G43),'Variable index'!$C$6:$C$51,0),$F$12)),"")</f>
        <v/>
      </c>
      <c r="L43" s="332" t="str">
        <f>IFERROR(_xlfn.CONCAT("$ per ",IF($H43=0,_xlfn.XLOOKUP($F43,'Variable index'!$C$6:$C$51,'Variable index'!$D$6:$D$51),_xlfn.XLOOKUP(_xlfn.CONCAT($F43," - ",$G43),'Variable index'!$C$6:$C$51,'Variable index'!$D$6:$D$51))),"")</f>
        <v/>
      </c>
      <c r="M43" s="140"/>
      <c r="N43" s="335" t="str">
        <f>IFERROR(IF(TableTransport[[#This Row],[Unit quantity]]="","",TableTransport[[#This Row],[Unit rate]]*TableTransport[[#This Row],[Unit quantity]]),"")</f>
        <v/>
      </c>
      <c r="O43" s="238" t="str">
        <f>IF(TableTransport[[#This Row],[Type of infrastructure]]&lt;&gt;"",Summary!$F$8,"")</f>
        <v/>
      </c>
      <c r="P43" s="239" t="str">
        <f>IF(TableTransport[[#This Row],[Type of infrastructure]]&lt;&gt;"",Summary!$F$9,"")</f>
        <v/>
      </c>
      <c r="Q43" s="241"/>
      <c r="R43" s="188"/>
      <c r="S43" s="140"/>
      <c r="T43" s="188"/>
      <c r="U43" s="140"/>
      <c r="V43" s="338" t="str" cm="1">
        <f t="array" ref="V43">IF(N43&lt;&gt;"",_xlfn.IFS(AND(N43&gt;='Variable index'!$K$35,N43&lt;'Variable index'!$K$36),'Variable index'!$L$35,AND(N43&gt;='Variable index'!$K$36,N43&lt;'Variable index'!$K$37),'Variable index'!$L$36,AND(N43&gt;='Variable index'!$K$37,N43&lt;'Variable index'!$K$38),'Variable index'!$L$37,N43&gt;='Variable index'!$K$38,'Variable index'!$L$38),"")</f>
        <v/>
      </c>
      <c r="W43" s="237"/>
      <c r="X43" s="336" t="str" cm="1">
        <f t="array" ref="X43">IF(AND(W43&lt;&gt;"",N43&lt;&gt;""),_xlfn.IFS(W43="Yes",_xlfn.IFS(AND(N43&gt;='Variable index'!$K$35,N43&lt;'Variable index'!$K$36),'Variable index'!$M$35,AND(N43&gt;='Variable index'!$K$36,N43&lt;'Variable index'!$K$37),'Variable index'!$M$36,AND(N43&gt;='Variable index'!$K$37,N43&lt;'Variable index'!$K$38),'Variable index'!$M$37,N43&gt;='Variable index'!$K$38,'Variable index'!$M$38),W43="No",0),"")</f>
        <v/>
      </c>
      <c r="Y43" s="188"/>
      <c r="Z43" s="338" t="str" cm="1">
        <f t="array" ref="Z43">IF(Y43&lt;&gt;"",_xlfn.IFS(Y43='Variable index'!$J$53,SUM('Variable index'!$K$48:$M$48),Y43='Variable index'!$J$54,SUM('Variable index'!$L$48:$M$48),Y43='Variable index'!$J$55,SUM('Variable index'!$M$48)),"")</f>
        <v/>
      </c>
      <c r="AA43" s="337" t="str" cm="1">
        <f t="array" ref="AA43">IFERROR(N43*(1+_xlfn.XLOOKUP(O43,'Rawlinsons regional indices'!$A$2:$A$63,'Rawlinsons regional indices'!$C$2:$C$63)+Q43+_xlfn.IFS(P43&lt;'Variable index'!$J$17,'Variable index'!$K$13,AND(P43&gt;='Variable index'!$J$17,P43&lt;'Variable index'!$J$18),'Variable index'!$L$13,P43&gt;='Variable index'!$J$18,'Variable index'!$M$13))+IF(R43&lt;&gt;"",INDEX('Variable index'!$E$57:$F$65,MATCH(R43,'Variable index'!$C$57:$C$65,0),$F$12)*S43)+IF(T43&lt;&gt;"",INDEX('Variable index'!$E$68:$F$73,MATCH(T43,'Variable index'!$C$68:$C$73,0),$F$12)*U43)+(N43*V43)+(N43*X43)+(N43*Z43),"")</f>
        <v/>
      </c>
      <c r="AB43" s="300"/>
      <c r="AC43" s="337" t="str">
        <f t="shared" si="1"/>
        <v/>
      </c>
      <c r="AD43" s="340" t="str">
        <f t="shared" si="2"/>
        <v/>
      </c>
    </row>
    <row r="44" spans="4:30" ht="12" x14ac:dyDescent="0.25">
      <c r="D44" s="216">
        <f t="shared" si="0"/>
        <v>28</v>
      </c>
      <c r="E44" s="312"/>
      <c r="F44" s="187"/>
      <c r="G44" s="185"/>
      <c r="H44" s="299">
        <f>IFERROR(_xlfn.XLOOKUP(F44,Lists!$C$10:$C$41,Lists!$D$10:$D$41),0)</f>
        <v>0</v>
      </c>
      <c r="I44" s="96"/>
      <c r="J44" s="185"/>
      <c r="K44" s="331" t="str" cm="1">
        <f t="array" ref="K44">IFERROR(IF($H44=0,INDEX('Variable index'!$E$6:$F$51,MATCH($F44,'Variable index'!$C$6:$C$51,0),$F$12),INDEX('Variable index'!$E$6:$F$51,MATCH(_xlfn.CONCAT($F44," - ",$G44),'Variable index'!$C$6:$C$51,0),$F$12)),"")</f>
        <v/>
      </c>
      <c r="L44" s="332" t="str">
        <f>IFERROR(_xlfn.CONCAT("$ per ",IF($H44=0,_xlfn.XLOOKUP($F44,'Variable index'!$C$6:$C$51,'Variable index'!$D$6:$D$51),_xlfn.XLOOKUP(_xlfn.CONCAT($F44," - ",$G44),'Variable index'!$C$6:$C$51,'Variable index'!$D$6:$D$51))),"")</f>
        <v/>
      </c>
      <c r="M44" s="140"/>
      <c r="N44" s="335" t="str">
        <f>IFERROR(IF(TableTransport[[#This Row],[Unit quantity]]="","",TableTransport[[#This Row],[Unit rate]]*TableTransport[[#This Row],[Unit quantity]]),"")</f>
        <v/>
      </c>
      <c r="O44" s="238" t="str">
        <f>IF(TableTransport[[#This Row],[Type of infrastructure]]&lt;&gt;"",Summary!$F$8,"")</f>
        <v/>
      </c>
      <c r="P44" s="239" t="str">
        <f>IF(TableTransport[[#This Row],[Type of infrastructure]]&lt;&gt;"",Summary!$F$9,"")</f>
        <v/>
      </c>
      <c r="Q44" s="241"/>
      <c r="R44" s="188"/>
      <c r="S44" s="140"/>
      <c r="T44" s="188"/>
      <c r="U44" s="140"/>
      <c r="V44" s="338" t="str" cm="1">
        <f t="array" ref="V44">IF(N44&lt;&gt;"",_xlfn.IFS(AND(N44&gt;='Variable index'!$K$35,N44&lt;'Variable index'!$K$36),'Variable index'!$L$35,AND(N44&gt;='Variable index'!$K$36,N44&lt;'Variable index'!$K$37),'Variable index'!$L$36,AND(N44&gt;='Variable index'!$K$37,N44&lt;'Variable index'!$K$38),'Variable index'!$L$37,N44&gt;='Variable index'!$K$38,'Variable index'!$L$38),"")</f>
        <v/>
      </c>
      <c r="W44" s="237"/>
      <c r="X44" s="336" t="str" cm="1">
        <f t="array" ref="X44">IF(AND(W44&lt;&gt;"",N44&lt;&gt;""),_xlfn.IFS(W44="Yes",_xlfn.IFS(AND(N44&gt;='Variable index'!$K$35,N44&lt;'Variable index'!$K$36),'Variable index'!$M$35,AND(N44&gt;='Variable index'!$K$36,N44&lt;'Variable index'!$K$37),'Variable index'!$M$36,AND(N44&gt;='Variable index'!$K$37,N44&lt;'Variable index'!$K$38),'Variable index'!$M$37,N44&gt;='Variable index'!$K$38,'Variable index'!$M$38),W44="No",0),"")</f>
        <v/>
      </c>
      <c r="Y44" s="188"/>
      <c r="Z44" s="338" t="str" cm="1">
        <f t="array" ref="Z44">IF(Y44&lt;&gt;"",_xlfn.IFS(Y44='Variable index'!$J$53,SUM('Variable index'!$K$48:$M$48),Y44='Variable index'!$J$54,SUM('Variable index'!$L$48:$M$48),Y44='Variable index'!$J$55,SUM('Variable index'!$M$48)),"")</f>
        <v/>
      </c>
      <c r="AA44" s="337" t="str" cm="1">
        <f t="array" ref="AA44">IFERROR(N44*(1+_xlfn.XLOOKUP(O44,'Rawlinsons regional indices'!$A$2:$A$63,'Rawlinsons regional indices'!$C$2:$C$63)+Q44+_xlfn.IFS(P44&lt;'Variable index'!$J$17,'Variable index'!$K$13,AND(P44&gt;='Variable index'!$J$17,P44&lt;'Variable index'!$J$18),'Variable index'!$L$13,P44&gt;='Variable index'!$J$18,'Variable index'!$M$13))+IF(R44&lt;&gt;"",INDEX('Variable index'!$E$57:$F$65,MATCH(R44,'Variable index'!$C$57:$C$65,0),$F$12)*S44)+IF(T44&lt;&gt;"",INDEX('Variable index'!$E$68:$F$73,MATCH(T44,'Variable index'!$C$68:$C$73,0),$F$12)*U44)+(N44*V44)+(N44*X44)+(N44*Z44),"")</f>
        <v/>
      </c>
      <c r="AB44" s="300"/>
      <c r="AC44" s="337" t="str">
        <f t="shared" si="1"/>
        <v/>
      </c>
      <c r="AD44" s="340" t="str">
        <f t="shared" si="2"/>
        <v/>
      </c>
    </row>
    <row r="45" spans="4:30" ht="12" x14ac:dyDescent="0.25">
      <c r="D45" s="216">
        <f t="shared" si="0"/>
        <v>29</v>
      </c>
      <c r="E45" s="312"/>
      <c r="F45" s="187"/>
      <c r="G45" s="185"/>
      <c r="H45" s="299">
        <f>IFERROR(_xlfn.XLOOKUP(F45,Lists!$C$10:$C$41,Lists!$D$10:$D$41),0)</f>
        <v>0</v>
      </c>
      <c r="I45" s="96"/>
      <c r="J45" s="185"/>
      <c r="K45" s="331" t="str" cm="1">
        <f t="array" ref="K45">IFERROR(IF($H45=0,INDEX('Variable index'!$E$6:$F$51,MATCH($F45,'Variable index'!$C$6:$C$51,0),$F$12),INDEX('Variable index'!$E$6:$F$51,MATCH(_xlfn.CONCAT($F45," - ",$G45),'Variable index'!$C$6:$C$51,0),$F$12)),"")</f>
        <v/>
      </c>
      <c r="L45" s="332" t="str">
        <f>IFERROR(_xlfn.CONCAT("$ per ",IF($H45=0,_xlfn.XLOOKUP($F45,'Variable index'!$C$6:$C$51,'Variable index'!$D$6:$D$51),_xlfn.XLOOKUP(_xlfn.CONCAT($F45," - ",$G45),'Variable index'!$C$6:$C$51,'Variable index'!$D$6:$D$51))),"")</f>
        <v/>
      </c>
      <c r="M45" s="140"/>
      <c r="N45" s="335" t="str">
        <f>IFERROR(IF(TableTransport[[#This Row],[Unit quantity]]="","",TableTransport[[#This Row],[Unit rate]]*TableTransport[[#This Row],[Unit quantity]]),"")</f>
        <v/>
      </c>
      <c r="O45" s="238" t="str">
        <f>IF(TableTransport[[#This Row],[Type of infrastructure]]&lt;&gt;"",Summary!$F$8,"")</f>
        <v/>
      </c>
      <c r="P45" s="239" t="str">
        <f>IF(TableTransport[[#This Row],[Type of infrastructure]]&lt;&gt;"",Summary!$F$9,"")</f>
        <v/>
      </c>
      <c r="Q45" s="241"/>
      <c r="R45" s="188"/>
      <c r="S45" s="140"/>
      <c r="T45" s="188"/>
      <c r="U45" s="140"/>
      <c r="V45" s="338" t="str" cm="1">
        <f t="array" ref="V45">IF(N45&lt;&gt;"",_xlfn.IFS(AND(N45&gt;='Variable index'!$K$35,N45&lt;'Variable index'!$K$36),'Variable index'!$L$35,AND(N45&gt;='Variable index'!$K$36,N45&lt;'Variable index'!$K$37),'Variable index'!$L$36,AND(N45&gt;='Variable index'!$K$37,N45&lt;'Variable index'!$K$38),'Variable index'!$L$37,N45&gt;='Variable index'!$K$38,'Variable index'!$L$38),"")</f>
        <v/>
      </c>
      <c r="W45" s="237"/>
      <c r="X45" s="336" t="str" cm="1">
        <f t="array" ref="X45">IF(AND(W45&lt;&gt;"",N45&lt;&gt;""),_xlfn.IFS(W45="Yes",_xlfn.IFS(AND(N45&gt;='Variable index'!$K$35,N45&lt;'Variable index'!$K$36),'Variable index'!$M$35,AND(N45&gt;='Variable index'!$K$36,N45&lt;'Variable index'!$K$37),'Variable index'!$M$36,AND(N45&gt;='Variable index'!$K$37,N45&lt;'Variable index'!$K$38),'Variable index'!$M$37,N45&gt;='Variable index'!$K$38,'Variable index'!$M$38),W45="No",0),"")</f>
        <v/>
      </c>
      <c r="Y45" s="188"/>
      <c r="Z45" s="338" t="str" cm="1">
        <f t="array" ref="Z45">IF(Y45&lt;&gt;"",_xlfn.IFS(Y45='Variable index'!$J$53,SUM('Variable index'!$K$48:$M$48),Y45='Variable index'!$J$54,SUM('Variable index'!$L$48:$M$48),Y45='Variable index'!$J$55,SUM('Variable index'!$M$48)),"")</f>
        <v/>
      </c>
      <c r="AA45" s="337" t="str" cm="1">
        <f t="array" ref="AA45">IFERROR(N45*(1+_xlfn.XLOOKUP(O45,'Rawlinsons regional indices'!$A$2:$A$63,'Rawlinsons regional indices'!$C$2:$C$63)+Q45+_xlfn.IFS(P45&lt;'Variable index'!$J$17,'Variable index'!$K$13,AND(P45&gt;='Variable index'!$J$17,P45&lt;'Variable index'!$J$18),'Variable index'!$L$13,P45&gt;='Variable index'!$J$18,'Variable index'!$M$13))+IF(R45&lt;&gt;"",INDEX('Variable index'!$E$57:$F$65,MATCH(R45,'Variable index'!$C$57:$C$65,0),$F$12)*S45)+IF(T45&lt;&gt;"",INDEX('Variable index'!$E$68:$F$73,MATCH(T45,'Variable index'!$C$68:$C$73,0),$F$12)*U45)+(N45*V45)+(N45*X45)+(N45*Z45),"")</f>
        <v/>
      </c>
      <c r="AB45" s="300"/>
      <c r="AC45" s="337" t="str">
        <f t="shared" si="1"/>
        <v/>
      </c>
      <c r="AD45" s="340" t="str">
        <f t="shared" si="2"/>
        <v/>
      </c>
    </row>
    <row r="46" spans="4:30" ht="12" x14ac:dyDescent="0.25">
      <c r="D46" s="216">
        <f t="shared" si="0"/>
        <v>30</v>
      </c>
      <c r="E46" s="312"/>
      <c r="F46" s="187"/>
      <c r="G46" s="185"/>
      <c r="H46" s="299">
        <f>IFERROR(_xlfn.XLOOKUP(F46,Lists!$C$10:$C$41,Lists!$D$10:$D$41),0)</f>
        <v>0</v>
      </c>
      <c r="I46" s="96"/>
      <c r="J46" s="185"/>
      <c r="K46" s="331" t="str" cm="1">
        <f t="array" ref="K46">IFERROR(IF($H46=0,INDEX('Variable index'!$E$6:$F$51,MATCH($F46,'Variable index'!$C$6:$C$51,0),$F$12),INDEX('Variable index'!$E$6:$F$51,MATCH(_xlfn.CONCAT($F46," - ",$G46),'Variable index'!$C$6:$C$51,0),$F$12)),"")</f>
        <v/>
      </c>
      <c r="L46" s="332" t="str">
        <f>IFERROR(_xlfn.CONCAT("$ per ",IF($H46=0,_xlfn.XLOOKUP($F46,'Variable index'!$C$6:$C$51,'Variable index'!$D$6:$D$51),_xlfn.XLOOKUP(_xlfn.CONCAT($F46," - ",$G46),'Variable index'!$C$6:$C$51,'Variable index'!$D$6:$D$51))),"")</f>
        <v/>
      </c>
      <c r="M46" s="140"/>
      <c r="N46" s="335" t="str">
        <f>IFERROR(IF(TableTransport[[#This Row],[Unit quantity]]="","",TableTransport[[#This Row],[Unit rate]]*TableTransport[[#This Row],[Unit quantity]]),"")</f>
        <v/>
      </c>
      <c r="O46" s="238" t="str">
        <f>IF(TableTransport[[#This Row],[Type of infrastructure]]&lt;&gt;"",Summary!$F$8,"")</f>
        <v/>
      </c>
      <c r="P46" s="239" t="str">
        <f>IF(TableTransport[[#This Row],[Type of infrastructure]]&lt;&gt;"",Summary!$F$9,"")</f>
        <v/>
      </c>
      <c r="Q46" s="241"/>
      <c r="R46" s="188"/>
      <c r="S46" s="140"/>
      <c r="T46" s="188"/>
      <c r="U46" s="140"/>
      <c r="V46" s="338" t="str" cm="1">
        <f t="array" ref="V46">IF(N46&lt;&gt;"",_xlfn.IFS(AND(N46&gt;='Variable index'!$K$35,N46&lt;'Variable index'!$K$36),'Variable index'!$L$35,AND(N46&gt;='Variable index'!$K$36,N46&lt;'Variable index'!$K$37),'Variable index'!$L$36,AND(N46&gt;='Variable index'!$K$37,N46&lt;'Variable index'!$K$38),'Variable index'!$L$37,N46&gt;='Variable index'!$K$38,'Variable index'!$L$38),"")</f>
        <v/>
      </c>
      <c r="W46" s="237"/>
      <c r="X46" s="336" t="str" cm="1">
        <f t="array" ref="X46">IF(AND(W46&lt;&gt;"",N46&lt;&gt;""),_xlfn.IFS(W46="Yes",_xlfn.IFS(AND(N46&gt;='Variable index'!$K$35,N46&lt;'Variable index'!$K$36),'Variable index'!$M$35,AND(N46&gt;='Variable index'!$K$36,N46&lt;'Variable index'!$K$37),'Variable index'!$M$36,AND(N46&gt;='Variable index'!$K$37,N46&lt;'Variable index'!$K$38),'Variable index'!$M$37,N46&gt;='Variable index'!$K$38,'Variable index'!$M$38),W46="No",0),"")</f>
        <v/>
      </c>
      <c r="Y46" s="188"/>
      <c r="Z46" s="338" t="str" cm="1">
        <f t="array" ref="Z46">IF(Y46&lt;&gt;"",_xlfn.IFS(Y46='Variable index'!$J$53,SUM('Variable index'!$K$48:$M$48),Y46='Variable index'!$J$54,SUM('Variable index'!$L$48:$M$48),Y46='Variable index'!$J$55,SUM('Variable index'!$M$48)),"")</f>
        <v/>
      </c>
      <c r="AA46" s="337" t="str" cm="1">
        <f t="array" ref="AA46">IFERROR(N46*(1+_xlfn.XLOOKUP(O46,'Rawlinsons regional indices'!$A$2:$A$63,'Rawlinsons regional indices'!$C$2:$C$63)+Q46+_xlfn.IFS(P46&lt;'Variable index'!$J$17,'Variable index'!$K$13,AND(P46&gt;='Variable index'!$J$17,P46&lt;'Variable index'!$J$18),'Variable index'!$L$13,P46&gt;='Variable index'!$J$18,'Variable index'!$M$13))+IF(R46&lt;&gt;"",INDEX('Variable index'!$E$57:$F$65,MATCH(R46,'Variable index'!$C$57:$C$65,0),$F$12)*S46)+IF(T46&lt;&gt;"",INDEX('Variable index'!$E$68:$F$73,MATCH(T46,'Variable index'!$C$68:$C$73,0),$F$12)*U46)+(N46*V46)+(N46*X46)+(N46*Z46),"")</f>
        <v/>
      </c>
      <c r="AB46" s="300"/>
      <c r="AC46" s="337" t="str">
        <f t="shared" si="1"/>
        <v/>
      </c>
      <c r="AD46" s="340" t="str">
        <f t="shared" si="2"/>
        <v/>
      </c>
    </row>
    <row r="47" spans="4:30" ht="12" x14ac:dyDescent="0.25">
      <c r="D47" s="216">
        <f t="shared" si="0"/>
        <v>31</v>
      </c>
      <c r="E47" s="312"/>
      <c r="F47" s="187"/>
      <c r="G47" s="185"/>
      <c r="H47" s="299">
        <f>IFERROR(_xlfn.XLOOKUP(F47,Lists!$C$10:$C$41,Lists!$D$10:$D$41),0)</f>
        <v>0</v>
      </c>
      <c r="I47" s="96"/>
      <c r="J47" s="185"/>
      <c r="K47" s="331" t="str" cm="1">
        <f t="array" ref="K47">IFERROR(IF($H47=0,INDEX('Variable index'!$E$6:$F$51,MATCH($F47,'Variable index'!$C$6:$C$51,0),$F$12),INDEX('Variable index'!$E$6:$F$51,MATCH(_xlfn.CONCAT($F47," - ",$G47),'Variable index'!$C$6:$C$51,0),$F$12)),"")</f>
        <v/>
      </c>
      <c r="L47" s="332" t="str">
        <f>IFERROR(_xlfn.CONCAT("$ per ",IF($H47=0,_xlfn.XLOOKUP($F47,'Variable index'!$C$6:$C$51,'Variable index'!$D$6:$D$51),_xlfn.XLOOKUP(_xlfn.CONCAT($F47," - ",$G47),'Variable index'!$C$6:$C$51,'Variable index'!$D$6:$D$51))),"")</f>
        <v/>
      </c>
      <c r="M47" s="140"/>
      <c r="N47" s="335" t="str">
        <f>IFERROR(IF(TableTransport[[#This Row],[Unit quantity]]="","",TableTransport[[#This Row],[Unit rate]]*TableTransport[[#This Row],[Unit quantity]]),"")</f>
        <v/>
      </c>
      <c r="O47" s="238" t="str">
        <f>IF(TableTransport[[#This Row],[Type of infrastructure]]&lt;&gt;"",Summary!$F$8,"")</f>
        <v/>
      </c>
      <c r="P47" s="239" t="str">
        <f>IF(TableTransport[[#This Row],[Type of infrastructure]]&lt;&gt;"",Summary!$F$9,"")</f>
        <v/>
      </c>
      <c r="Q47" s="241"/>
      <c r="R47" s="188"/>
      <c r="S47" s="140"/>
      <c r="T47" s="188"/>
      <c r="U47" s="140"/>
      <c r="V47" s="338" t="str" cm="1">
        <f t="array" ref="V47">IF(N47&lt;&gt;"",_xlfn.IFS(AND(N47&gt;='Variable index'!$K$35,N47&lt;'Variable index'!$K$36),'Variable index'!$L$35,AND(N47&gt;='Variable index'!$K$36,N47&lt;'Variable index'!$K$37),'Variable index'!$L$36,AND(N47&gt;='Variable index'!$K$37,N47&lt;'Variable index'!$K$38),'Variable index'!$L$37,N47&gt;='Variable index'!$K$38,'Variable index'!$L$38),"")</f>
        <v/>
      </c>
      <c r="W47" s="237"/>
      <c r="X47" s="336" t="str" cm="1">
        <f t="array" ref="X47">IF(AND(W47&lt;&gt;"",N47&lt;&gt;""),_xlfn.IFS(W47="Yes",_xlfn.IFS(AND(N47&gt;='Variable index'!$K$35,N47&lt;'Variable index'!$K$36),'Variable index'!$M$35,AND(N47&gt;='Variable index'!$K$36,N47&lt;'Variable index'!$K$37),'Variable index'!$M$36,AND(N47&gt;='Variable index'!$K$37,N47&lt;'Variable index'!$K$38),'Variable index'!$M$37,N47&gt;='Variable index'!$K$38,'Variable index'!$M$38),W47="No",0),"")</f>
        <v/>
      </c>
      <c r="Y47" s="188"/>
      <c r="Z47" s="338" t="str" cm="1">
        <f t="array" ref="Z47">IF(Y47&lt;&gt;"",_xlfn.IFS(Y47='Variable index'!$J$53,SUM('Variable index'!$K$48:$M$48),Y47='Variable index'!$J$54,SUM('Variable index'!$L$48:$M$48),Y47='Variable index'!$J$55,SUM('Variable index'!$M$48)),"")</f>
        <v/>
      </c>
      <c r="AA47" s="337" t="str" cm="1">
        <f t="array" ref="AA47">IFERROR(N47*(1+_xlfn.XLOOKUP(O47,'Rawlinsons regional indices'!$A$2:$A$63,'Rawlinsons regional indices'!$C$2:$C$63)+Q47+_xlfn.IFS(P47&lt;'Variable index'!$J$17,'Variable index'!$K$13,AND(P47&gt;='Variable index'!$J$17,P47&lt;'Variable index'!$J$18),'Variable index'!$L$13,P47&gt;='Variable index'!$J$18,'Variable index'!$M$13))+IF(R47&lt;&gt;"",INDEX('Variable index'!$E$57:$F$65,MATCH(R47,'Variable index'!$C$57:$C$65,0),$F$12)*S47)+IF(T47&lt;&gt;"",INDEX('Variable index'!$E$68:$F$73,MATCH(T47,'Variable index'!$C$68:$C$73,0),$F$12)*U47)+(N47*V47)+(N47*X47)+(N47*Z47),"")</f>
        <v/>
      </c>
      <c r="AB47" s="300"/>
      <c r="AC47" s="337" t="str">
        <f t="shared" si="1"/>
        <v/>
      </c>
      <c r="AD47" s="340" t="str">
        <f t="shared" si="2"/>
        <v/>
      </c>
    </row>
    <row r="48" spans="4:30" ht="12" x14ac:dyDescent="0.25">
      <c r="D48" s="216">
        <f t="shared" si="0"/>
        <v>32</v>
      </c>
      <c r="E48" s="312"/>
      <c r="F48" s="187"/>
      <c r="G48" s="185"/>
      <c r="H48" s="299">
        <f>IFERROR(_xlfn.XLOOKUP(F48,Lists!$C$10:$C$41,Lists!$D$10:$D$41),0)</f>
        <v>0</v>
      </c>
      <c r="I48" s="96"/>
      <c r="J48" s="185"/>
      <c r="K48" s="331" t="str" cm="1">
        <f t="array" ref="K48">IFERROR(IF($H48=0,INDEX('Variable index'!$E$6:$F$51,MATCH($F48,'Variable index'!$C$6:$C$51,0),$F$12),INDEX('Variable index'!$E$6:$F$51,MATCH(_xlfn.CONCAT($F48," - ",$G48),'Variable index'!$C$6:$C$51,0),$F$12)),"")</f>
        <v/>
      </c>
      <c r="L48" s="332" t="str">
        <f>IFERROR(_xlfn.CONCAT("$ per ",IF($H48=0,_xlfn.XLOOKUP($F48,'Variable index'!$C$6:$C$51,'Variable index'!$D$6:$D$51),_xlfn.XLOOKUP(_xlfn.CONCAT($F48," - ",$G48),'Variable index'!$C$6:$C$51,'Variable index'!$D$6:$D$51))),"")</f>
        <v/>
      </c>
      <c r="M48" s="140"/>
      <c r="N48" s="335" t="str">
        <f>IFERROR(IF(TableTransport[[#This Row],[Unit quantity]]="","",TableTransport[[#This Row],[Unit rate]]*TableTransport[[#This Row],[Unit quantity]]),"")</f>
        <v/>
      </c>
      <c r="O48" s="238" t="str">
        <f>IF(TableTransport[[#This Row],[Type of infrastructure]]&lt;&gt;"",Summary!$F$8,"")</f>
        <v/>
      </c>
      <c r="P48" s="239" t="str">
        <f>IF(TableTransport[[#This Row],[Type of infrastructure]]&lt;&gt;"",Summary!$F$9,"")</f>
        <v/>
      </c>
      <c r="Q48" s="241"/>
      <c r="R48" s="188"/>
      <c r="S48" s="140"/>
      <c r="T48" s="188"/>
      <c r="U48" s="140"/>
      <c r="V48" s="338" t="str" cm="1">
        <f t="array" ref="V48">IF(N48&lt;&gt;"",_xlfn.IFS(AND(N48&gt;='Variable index'!$K$35,N48&lt;'Variable index'!$K$36),'Variable index'!$L$35,AND(N48&gt;='Variable index'!$K$36,N48&lt;'Variable index'!$K$37),'Variable index'!$L$36,AND(N48&gt;='Variable index'!$K$37,N48&lt;'Variable index'!$K$38),'Variable index'!$L$37,N48&gt;='Variable index'!$K$38,'Variable index'!$L$38),"")</f>
        <v/>
      </c>
      <c r="W48" s="237"/>
      <c r="X48" s="336" t="str" cm="1">
        <f t="array" ref="X48">IF(AND(W48&lt;&gt;"",N48&lt;&gt;""),_xlfn.IFS(W48="Yes",_xlfn.IFS(AND(N48&gt;='Variable index'!$K$35,N48&lt;'Variable index'!$K$36),'Variable index'!$M$35,AND(N48&gt;='Variable index'!$K$36,N48&lt;'Variable index'!$K$37),'Variable index'!$M$36,AND(N48&gt;='Variable index'!$K$37,N48&lt;'Variable index'!$K$38),'Variable index'!$M$37,N48&gt;='Variable index'!$K$38,'Variable index'!$M$38),W48="No",0),"")</f>
        <v/>
      </c>
      <c r="Y48" s="188"/>
      <c r="Z48" s="338" t="str" cm="1">
        <f t="array" ref="Z48">IF(Y48&lt;&gt;"",_xlfn.IFS(Y48='Variable index'!$J$53,SUM('Variable index'!$K$48:$M$48),Y48='Variable index'!$J$54,SUM('Variable index'!$L$48:$M$48),Y48='Variable index'!$J$55,SUM('Variable index'!$M$48)),"")</f>
        <v/>
      </c>
      <c r="AA48" s="337" t="str" cm="1">
        <f t="array" ref="AA48">IFERROR(N48*(1+_xlfn.XLOOKUP(O48,'Rawlinsons regional indices'!$A$2:$A$63,'Rawlinsons regional indices'!$C$2:$C$63)+Q48+_xlfn.IFS(P48&lt;'Variable index'!$J$17,'Variable index'!$K$13,AND(P48&gt;='Variable index'!$J$17,P48&lt;'Variable index'!$J$18),'Variable index'!$L$13,P48&gt;='Variable index'!$J$18,'Variable index'!$M$13))+IF(R48&lt;&gt;"",INDEX('Variable index'!$E$57:$F$65,MATCH(R48,'Variable index'!$C$57:$C$65,0),$F$12)*S48)+IF(T48&lt;&gt;"",INDEX('Variable index'!$E$68:$F$73,MATCH(T48,'Variable index'!$C$68:$C$73,0),$F$12)*U48)+(N48*V48)+(N48*X48)+(N48*Z48),"")</f>
        <v/>
      </c>
      <c r="AB48" s="300"/>
      <c r="AC48" s="337" t="str">
        <f t="shared" si="1"/>
        <v/>
      </c>
      <c r="AD48" s="340" t="str">
        <f t="shared" si="2"/>
        <v/>
      </c>
    </row>
    <row r="49" spans="4:30" ht="12" x14ac:dyDescent="0.25">
      <c r="D49" s="216">
        <f t="shared" si="0"/>
        <v>33</v>
      </c>
      <c r="E49" s="312"/>
      <c r="F49" s="187"/>
      <c r="G49" s="185"/>
      <c r="H49" s="299">
        <f>IFERROR(_xlfn.XLOOKUP(F49,Lists!$C$10:$C$41,Lists!$D$10:$D$41),0)</f>
        <v>0</v>
      </c>
      <c r="I49" s="96"/>
      <c r="J49" s="185"/>
      <c r="K49" s="331" t="str" cm="1">
        <f t="array" ref="K49">IFERROR(IF($H49=0,INDEX('Variable index'!$E$6:$F$51,MATCH($F49,'Variable index'!$C$6:$C$51,0),$F$12),INDEX('Variable index'!$E$6:$F$51,MATCH(_xlfn.CONCAT($F49," - ",$G49),'Variable index'!$C$6:$C$51,0),$F$12)),"")</f>
        <v/>
      </c>
      <c r="L49" s="332" t="str">
        <f>IFERROR(_xlfn.CONCAT("$ per ",IF($H49=0,_xlfn.XLOOKUP($F49,'Variable index'!$C$6:$C$51,'Variable index'!$D$6:$D$51),_xlfn.XLOOKUP(_xlfn.CONCAT($F49," - ",$G49),'Variable index'!$C$6:$C$51,'Variable index'!$D$6:$D$51))),"")</f>
        <v/>
      </c>
      <c r="M49" s="140"/>
      <c r="N49" s="335" t="str">
        <f>IFERROR(IF(TableTransport[[#This Row],[Unit quantity]]="","",TableTransport[[#This Row],[Unit rate]]*TableTransport[[#This Row],[Unit quantity]]),"")</f>
        <v/>
      </c>
      <c r="O49" s="238" t="str">
        <f>IF(TableTransport[[#This Row],[Type of infrastructure]]&lt;&gt;"",Summary!$F$8,"")</f>
        <v/>
      </c>
      <c r="P49" s="239" t="str">
        <f>IF(TableTransport[[#This Row],[Type of infrastructure]]&lt;&gt;"",Summary!$F$9,"")</f>
        <v/>
      </c>
      <c r="Q49" s="241"/>
      <c r="R49" s="188"/>
      <c r="S49" s="140"/>
      <c r="T49" s="188"/>
      <c r="U49" s="140"/>
      <c r="V49" s="338" t="str" cm="1">
        <f t="array" ref="V49">IF(N49&lt;&gt;"",_xlfn.IFS(AND(N49&gt;='Variable index'!$K$35,N49&lt;'Variable index'!$K$36),'Variable index'!$L$35,AND(N49&gt;='Variable index'!$K$36,N49&lt;'Variable index'!$K$37),'Variable index'!$L$36,AND(N49&gt;='Variable index'!$K$37,N49&lt;'Variable index'!$K$38),'Variable index'!$L$37,N49&gt;='Variable index'!$K$38,'Variable index'!$L$38),"")</f>
        <v/>
      </c>
      <c r="W49" s="237"/>
      <c r="X49" s="336" t="str" cm="1">
        <f t="array" ref="X49">IF(AND(W49&lt;&gt;"",N49&lt;&gt;""),_xlfn.IFS(W49="Yes",_xlfn.IFS(AND(N49&gt;='Variable index'!$K$35,N49&lt;'Variable index'!$K$36),'Variable index'!$M$35,AND(N49&gt;='Variable index'!$K$36,N49&lt;'Variable index'!$K$37),'Variable index'!$M$36,AND(N49&gt;='Variable index'!$K$37,N49&lt;'Variable index'!$K$38),'Variable index'!$M$37,N49&gt;='Variable index'!$K$38,'Variable index'!$M$38),W49="No",0),"")</f>
        <v/>
      </c>
      <c r="Y49" s="188"/>
      <c r="Z49" s="338" t="str" cm="1">
        <f t="array" ref="Z49">IF(Y49&lt;&gt;"",_xlfn.IFS(Y49='Variable index'!$J$53,SUM('Variable index'!$K$48:$M$48),Y49='Variable index'!$J$54,SUM('Variable index'!$L$48:$M$48),Y49='Variable index'!$J$55,SUM('Variable index'!$M$48)),"")</f>
        <v/>
      </c>
      <c r="AA49" s="337" t="str" cm="1">
        <f t="array" ref="AA49">IFERROR(N49*(1+_xlfn.XLOOKUP(O49,'Rawlinsons regional indices'!$A$2:$A$63,'Rawlinsons regional indices'!$C$2:$C$63)+Q49+_xlfn.IFS(P49&lt;'Variable index'!$J$17,'Variable index'!$K$13,AND(P49&gt;='Variable index'!$J$17,P49&lt;'Variable index'!$J$18),'Variable index'!$L$13,P49&gt;='Variable index'!$J$18,'Variable index'!$M$13))+IF(R49&lt;&gt;"",INDEX('Variable index'!$E$57:$F$65,MATCH(R49,'Variable index'!$C$57:$C$65,0),$F$12)*S49)+IF(T49&lt;&gt;"",INDEX('Variable index'!$E$68:$F$73,MATCH(T49,'Variable index'!$C$68:$C$73,0),$F$12)*U49)+(N49*V49)+(N49*X49)+(N49*Z49),"")</f>
        <v/>
      </c>
      <c r="AB49" s="300"/>
      <c r="AC49" s="337" t="str">
        <f t="shared" si="1"/>
        <v/>
      </c>
      <c r="AD49" s="340" t="str">
        <f t="shared" si="2"/>
        <v/>
      </c>
    </row>
    <row r="50" spans="4:30" ht="12" x14ac:dyDescent="0.25">
      <c r="D50" s="216">
        <f t="shared" si="0"/>
        <v>34</v>
      </c>
      <c r="E50" s="312"/>
      <c r="F50" s="187"/>
      <c r="G50" s="185"/>
      <c r="H50" s="299">
        <f>IFERROR(_xlfn.XLOOKUP(F50,Lists!$C$10:$C$41,Lists!$D$10:$D$41),0)</f>
        <v>0</v>
      </c>
      <c r="I50" s="96"/>
      <c r="J50" s="185"/>
      <c r="K50" s="331" t="str" cm="1">
        <f t="array" ref="K50">IFERROR(IF($H50=0,INDEX('Variable index'!$E$6:$F$51,MATCH($F50,'Variable index'!$C$6:$C$51,0),$F$12),INDEX('Variable index'!$E$6:$F$51,MATCH(_xlfn.CONCAT($F50," - ",$G50),'Variable index'!$C$6:$C$51,0),$F$12)),"")</f>
        <v/>
      </c>
      <c r="L50" s="332" t="str">
        <f>IFERROR(_xlfn.CONCAT("$ per ",IF($H50=0,_xlfn.XLOOKUP($F50,'Variable index'!$C$6:$C$51,'Variable index'!$D$6:$D$51),_xlfn.XLOOKUP(_xlfn.CONCAT($F50," - ",$G50),'Variable index'!$C$6:$C$51,'Variable index'!$D$6:$D$51))),"")</f>
        <v/>
      </c>
      <c r="M50" s="140"/>
      <c r="N50" s="335" t="str">
        <f>IFERROR(IF(TableTransport[[#This Row],[Unit quantity]]="","",TableTransport[[#This Row],[Unit rate]]*TableTransport[[#This Row],[Unit quantity]]),"")</f>
        <v/>
      </c>
      <c r="O50" s="238" t="str">
        <f>IF(TableTransport[[#This Row],[Type of infrastructure]]&lt;&gt;"",Summary!$F$8,"")</f>
        <v/>
      </c>
      <c r="P50" s="239" t="str">
        <f>IF(TableTransport[[#This Row],[Type of infrastructure]]&lt;&gt;"",Summary!$F$9,"")</f>
        <v/>
      </c>
      <c r="Q50" s="241"/>
      <c r="R50" s="188"/>
      <c r="S50" s="140"/>
      <c r="T50" s="188"/>
      <c r="U50" s="140"/>
      <c r="V50" s="338" t="str" cm="1">
        <f t="array" ref="V50">IF(N50&lt;&gt;"",_xlfn.IFS(AND(N50&gt;='Variable index'!$K$35,N50&lt;'Variable index'!$K$36),'Variable index'!$L$35,AND(N50&gt;='Variable index'!$K$36,N50&lt;'Variable index'!$K$37),'Variable index'!$L$36,AND(N50&gt;='Variable index'!$K$37,N50&lt;'Variable index'!$K$38),'Variable index'!$L$37,N50&gt;='Variable index'!$K$38,'Variable index'!$L$38),"")</f>
        <v/>
      </c>
      <c r="W50" s="237"/>
      <c r="X50" s="336" t="str" cm="1">
        <f t="array" ref="X50">IF(AND(W50&lt;&gt;"",N50&lt;&gt;""),_xlfn.IFS(W50="Yes",_xlfn.IFS(AND(N50&gt;='Variable index'!$K$35,N50&lt;'Variable index'!$K$36),'Variable index'!$M$35,AND(N50&gt;='Variable index'!$K$36,N50&lt;'Variable index'!$K$37),'Variable index'!$M$36,AND(N50&gt;='Variable index'!$K$37,N50&lt;'Variable index'!$K$38),'Variable index'!$M$37,N50&gt;='Variable index'!$K$38,'Variable index'!$M$38),W50="No",0),"")</f>
        <v/>
      </c>
      <c r="Y50" s="188"/>
      <c r="Z50" s="338" t="str" cm="1">
        <f t="array" ref="Z50">IF(Y50&lt;&gt;"",_xlfn.IFS(Y50='Variable index'!$J$53,SUM('Variable index'!$K$48:$M$48),Y50='Variable index'!$J$54,SUM('Variable index'!$L$48:$M$48),Y50='Variable index'!$J$55,SUM('Variable index'!$M$48)),"")</f>
        <v/>
      </c>
      <c r="AA50" s="337" t="str" cm="1">
        <f t="array" ref="AA50">IFERROR(N50*(1+_xlfn.XLOOKUP(O50,'Rawlinsons regional indices'!$A$2:$A$63,'Rawlinsons regional indices'!$C$2:$C$63)+Q50+_xlfn.IFS(P50&lt;'Variable index'!$J$17,'Variable index'!$K$13,AND(P50&gt;='Variable index'!$J$17,P50&lt;'Variable index'!$J$18),'Variable index'!$L$13,P50&gt;='Variable index'!$J$18,'Variable index'!$M$13))+IF(R50&lt;&gt;"",INDEX('Variable index'!$E$57:$F$65,MATCH(R50,'Variable index'!$C$57:$C$65,0),$F$12)*S50)+IF(T50&lt;&gt;"",INDEX('Variable index'!$E$68:$F$73,MATCH(T50,'Variable index'!$C$68:$C$73,0),$F$12)*U50)+(N50*V50)+(N50*X50)+(N50*Z50),"")</f>
        <v/>
      </c>
      <c r="AB50" s="300"/>
      <c r="AC50" s="337" t="str">
        <f t="shared" si="1"/>
        <v/>
      </c>
      <c r="AD50" s="340" t="str">
        <f t="shared" si="2"/>
        <v/>
      </c>
    </row>
    <row r="51" spans="4:30" ht="12" x14ac:dyDescent="0.25">
      <c r="D51" s="216">
        <f t="shared" si="0"/>
        <v>35</v>
      </c>
      <c r="E51" s="312"/>
      <c r="F51" s="187"/>
      <c r="G51" s="185"/>
      <c r="H51" s="299">
        <f>IFERROR(_xlfn.XLOOKUP(F51,Lists!$C$10:$C$41,Lists!$D$10:$D$41),0)</f>
        <v>0</v>
      </c>
      <c r="I51" s="96"/>
      <c r="J51" s="185"/>
      <c r="K51" s="331" t="str" cm="1">
        <f t="array" ref="K51">IFERROR(IF($H51=0,INDEX('Variable index'!$E$6:$F$51,MATCH($F51,'Variable index'!$C$6:$C$51,0),$F$12),INDEX('Variable index'!$E$6:$F$51,MATCH(_xlfn.CONCAT($F51," - ",$G51),'Variable index'!$C$6:$C$51,0),$F$12)),"")</f>
        <v/>
      </c>
      <c r="L51" s="332" t="str">
        <f>IFERROR(_xlfn.CONCAT("$ per ",IF($H51=0,_xlfn.XLOOKUP($F51,'Variable index'!$C$6:$C$51,'Variable index'!$D$6:$D$51),_xlfn.XLOOKUP(_xlfn.CONCAT($F51," - ",$G51),'Variable index'!$C$6:$C$51,'Variable index'!$D$6:$D$51))),"")</f>
        <v/>
      </c>
      <c r="M51" s="140"/>
      <c r="N51" s="335" t="str">
        <f>IFERROR(IF(TableTransport[[#This Row],[Unit quantity]]="","",TableTransport[[#This Row],[Unit rate]]*TableTransport[[#This Row],[Unit quantity]]),"")</f>
        <v/>
      </c>
      <c r="O51" s="238" t="str">
        <f>IF(TableTransport[[#This Row],[Type of infrastructure]]&lt;&gt;"",Summary!$F$8,"")</f>
        <v/>
      </c>
      <c r="P51" s="239" t="str">
        <f>IF(TableTransport[[#This Row],[Type of infrastructure]]&lt;&gt;"",Summary!$F$9,"")</f>
        <v/>
      </c>
      <c r="Q51" s="241"/>
      <c r="R51" s="188"/>
      <c r="S51" s="140"/>
      <c r="T51" s="188"/>
      <c r="U51" s="140"/>
      <c r="V51" s="338" t="str" cm="1">
        <f t="array" ref="V51">IF(N51&lt;&gt;"",_xlfn.IFS(AND(N51&gt;='Variable index'!$K$35,N51&lt;'Variable index'!$K$36),'Variable index'!$L$35,AND(N51&gt;='Variable index'!$K$36,N51&lt;'Variable index'!$K$37),'Variable index'!$L$36,AND(N51&gt;='Variable index'!$K$37,N51&lt;'Variable index'!$K$38),'Variable index'!$L$37,N51&gt;='Variable index'!$K$38,'Variable index'!$L$38),"")</f>
        <v/>
      </c>
      <c r="W51" s="237"/>
      <c r="X51" s="336" t="str" cm="1">
        <f t="array" ref="X51">IF(AND(W51&lt;&gt;"",N51&lt;&gt;""),_xlfn.IFS(W51="Yes",_xlfn.IFS(AND(N51&gt;='Variable index'!$K$35,N51&lt;'Variable index'!$K$36),'Variable index'!$M$35,AND(N51&gt;='Variable index'!$K$36,N51&lt;'Variable index'!$K$37),'Variable index'!$M$36,AND(N51&gt;='Variable index'!$K$37,N51&lt;'Variable index'!$K$38),'Variable index'!$M$37,N51&gt;='Variable index'!$K$38,'Variable index'!$M$38),W51="No",0),"")</f>
        <v/>
      </c>
      <c r="Y51" s="188"/>
      <c r="Z51" s="338" t="str" cm="1">
        <f t="array" ref="Z51">IF(Y51&lt;&gt;"",_xlfn.IFS(Y51='Variable index'!$J$53,SUM('Variable index'!$K$48:$M$48),Y51='Variable index'!$J$54,SUM('Variable index'!$L$48:$M$48),Y51='Variable index'!$J$55,SUM('Variable index'!$M$48)),"")</f>
        <v/>
      </c>
      <c r="AA51" s="337" t="str" cm="1">
        <f t="array" ref="AA51">IFERROR(N51*(1+_xlfn.XLOOKUP(O51,'Rawlinsons regional indices'!$A$2:$A$63,'Rawlinsons regional indices'!$C$2:$C$63)+Q51+_xlfn.IFS(P51&lt;'Variable index'!$J$17,'Variable index'!$K$13,AND(P51&gt;='Variable index'!$J$17,P51&lt;'Variable index'!$J$18),'Variable index'!$L$13,P51&gt;='Variable index'!$J$18,'Variable index'!$M$13))+IF(R51&lt;&gt;"",INDEX('Variable index'!$E$57:$F$65,MATCH(R51,'Variable index'!$C$57:$C$65,0),$F$12)*S51)+IF(T51&lt;&gt;"",INDEX('Variable index'!$E$68:$F$73,MATCH(T51,'Variable index'!$C$68:$C$73,0),$F$12)*U51)+(N51*V51)+(N51*X51)+(N51*Z51),"")</f>
        <v/>
      </c>
      <c r="AB51" s="300"/>
      <c r="AC51" s="337" t="str">
        <f t="shared" si="1"/>
        <v/>
      </c>
      <c r="AD51" s="340" t="str">
        <f t="shared" si="2"/>
        <v/>
      </c>
    </row>
    <row r="52" spans="4:30" ht="12" x14ac:dyDescent="0.25">
      <c r="D52" s="216">
        <f t="shared" si="0"/>
        <v>36</v>
      </c>
      <c r="E52" s="312"/>
      <c r="F52" s="187"/>
      <c r="G52" s="185"/>
      <c r="H52" s="243">
        <f>IFERROR(_xlfn.XLOOKUP(F52,Lists!$C$10:$C$41,Lists!$D$10:$D$41),0)</f>
        <v>0</v>
      </c>
      <c r="I52" s="96"/>
      <c r="J52" s="185"/>
      <c r="K52" s="331" t="str" cm="1">
        <f t="array" ref="K52">IFERROR(IF($H52=0,INDEX('Variable index'!$E$6:$F$51,MATCH($F52,'Variable index'!$C$6:$C$51,0),$F$12),INDEX('Variable index'!$E$6:$F$51,MATCH(_xlfn.CONCAT($F52," - ",$G52),'Variable index'!$C$6:$C$51,0),$F$12)),"")</f>
        <v/>
      </c>
      <c r="L52" s="332" t="str">
        <f>IFERROR(_xlfn.CONCAT("$ per ",IF($H52=0,_xlfn.XLOOKUP($F52,'Variable index'!$C$6:$C$51,'Variable index'!$D$6:$D$51),_xlfn.XLOOKUP(_xlfn.CONCAT($F52," - ",$G52),'Variable index'!$C$6:$C$51,'Variable index'!$D$6:$D$51))),"")</f>
        <v/>
      </c>
      <c r="M52" s="140"/>
      <c r="N52" s="335" t="str">
        <f>IFERROR(IF(TableTransport[[#This Row],[Unit quantity]]="","",TableTransport[[#This Row],[Unit rate]]*TableTransport[[#This Row],[Unit quantity]]),"")</f>
        <v/>
      </c>
      <c r="O52" s="238" t="str">
        <f>IF(TableTransport[[#This Row],[Type of infrastructure]]&lt;&gt;"",Summary!$F$8,"")</f>
        <v/>
      </c>
      <c r="P52" s="239" t="str">
        <f>IF(TableTransport[[#This Row],[Type of infrastructure]]&lt;&gt;"",Summary!$F$9,"")</f>
        <v/>
      </c>
      <c r="Q52" s="241"/>
      <c r="R52" s="188"/>
      <c r="S52" s="140"/>
      <c r="T52" s="188"/>
      <c r="U52" s="140"/>
      <c r="V52" s="338" t="str" cm="1">
        <f t="array" ref="V52">IF(N52&lt;&gt;"",_xlfn.IFS(AND(N52&gt;='Variable index'!$K$35,N52&lt;'Variable index'!$K$36),'Variable index'!$L$35,AND(N52&gt;='Variable index'!$K$36,N52&lt;'Variable index'!$K$37),'Variable index'!$L$36,AND(N52&gt;='Variable index'!$K$37,N52&lt;'Variable index'!$K$38),'Variable index'!$L$37,N52&gt;='Variable index'!$K$38,'Variable index'!$L$38),"")</f>
        <v/>
      </c>
      <c r="W52" s="237"/>
      <c r="X52" s="336" t="str" cm="1">
        <f t="array" ref="X52">IF(AND(W52&lt;&gt;"",N52&lt;&gt;""),_xlfn.IFS(W52="Yes",_xlfn.IFS(AND(N52&gt;='Variable index'!$K$35,N52&lt;'Variable index'!$K$36),'Variable index'!$M$35,AND(N52&gt;='Variable index'!$K$36,N52&lt;'Variable index'!$K$37),'Variable index'!$M$36,AND(N52&gt;='Variable index'!$K$37,N52&lt;'Variable index'!$K$38),'Variable index'!$M$37,N52&gt;='Variable index'!$K$38,'Variable index'!$M$38),W52="No",0),"")</f>
        <v/>
      </c>
      <c r="Y52" s="188"/>
      <c r="Z52" s="338" t="str" cm="1">
        <f t="array" ref="Z52">IF(Y52&lt;&gt;"",_xlfn.IFS(Y52='Variable index'!$J$53,SUM('Variable index'!$K$48:$M$48),Y52='Variable index'!$J$54,SUM('Variable index'!$L$48:$M$48),Y52='Variable index'!$J$55,SUM('Variable index'!$M$48)),"")</f>
        <v/>
      </c>
      <c r="AA52" s="337" t="str" cm="1">
        <f t="array" ref="AA52">IFERROR(N52*(1+_xlfn.XLOOKUP(O52,'Rawlinsons regional indices'!$A$2:$A$63,'Rawlinsons regional indices'!$C$2:$C$63)+Q52+_xlfn.IFS(P52&lt;'Variable index'!$J$17,'Variable index'!$K$13,AND(P52&gt;='Variable index'!$J$17,P52&lt;'Variable index'!$J$18),'Variable index'!$L$13,P52&gt;='Variable index'!$J$18,'Variable index'!$M$13))+IF(R52&lt;&gt;"",INDEX('Variable index'!$E$57:$F$65,MATCH(R52,'Variable index'!$C$57:$C$65,0),$F$12)*S52)+IF(T52&lt;&gt;"",INDEX('Variable index'!$E$68:$F$73,MATCH(T52,'Variable index'!$C$68:$C$73,0),$F$12)*U52)+(N52*V52)+(N52*X52)+(N52*Z52),"")</f>
        <v/>
      </c>
      <c r="AB52" s="300"/>
      <c r="AC52" s="337" t="str">
        <f t="shared" si="1"/>
        <v/>
      </c>
      <c r="AD52" s="340" t="str">
        <f t="shared" si="2"/>
        <v/>
      </c>
    </row>
    <row r="53" spans="4:30" ht="12" x14ac:dyDescent="0.25">
      <c r="D53" s="216">
        <f t="shared" si="0"/>
        <v>37</v>
      </c>
      <c r="E53" s="312"/>
      <c r="F53" s="187"/>
      <c r="G53" s="185"/>
      <c r="H53" s="243">
        <f>IFERROR(_xlfn.XLOOKUP(F53,Lists!$C$10:$C$41,Lists!$D$10:$D$41),0)</f>
        <v>0</v>
      </c>
      <c r="I53" s="96"/>
      <c r="J53" s="185"/>
      <c r="K53" s="331" t="str" cm="1">
        <f t="array" ref="K53">IFERROR(IF($H53=0,INDEX('Variable index'!$E$6:$F$51,MATCH($F53,'Variable index'!$C$6:$C$51,0),$F$12),INDEX('Variable index'!$E$6:$F$51,MATCH(_xlfn.CONCAT($F53," - ",$G53),'Variable index'!$C$6:$C$51,0),$F$12)),"")</f>
        <v/>
      </c>
      <c r="L53" s="332" t="str">
        <f>IFERROR(_xlfn.CONCAT("$ per ",IF($H53=0,_xlfn.XLOOKUP($F53,'Variable index'!$C$6:$C$51,'Variable index'!$D$6:$D$51),_xlfn.XLOOKUP(_xlfn.CONCAT($F53," - ",$G53),'Variable index'!$C$6:$C$51,'Variable index'!$D$6:$D$51))),"")</f>
        <v/>
      </c>
      <c r="M53" s="140"/>
      <c r="N53" s="335" t="str">
        <f>IFERROR(IF(TableTransport[[#This Row],[Unit quantity]]="","",TableTransport[[#This Row],[Unit rate]]*TableTransport[[#This Row],[Unit quantity]]),"")</f>
        <v/>
      </c>
      <c r="O53" s="238" t="str">
        <f>IF(TableTransport[[#This Row],[Type of infrastructure]]&lt;&gt;"",Summary!$F$8,"")</f>
        <v/>
      </c>
      <c r="P53" s="239" t="str">
        <f>IF(TableTransport[[#This Row],[Type of infrastructure]]&lt;&gt;"",Summary!$F$9,"")</f>
        <v/>
      </c>
      <c r="Q53" s="241"/>
      <c r="R53" s="188"/>
      <c r="S53" s="140"/>
      <c r="T53" s="188"/>
      <c r="U53" s="140"/>
      <c r="V53" s="338" t="str" cm="1">
        <f t="array" ref="V53">IF(N53&lt;&gt;"",_xlfn.IFS(AND(N53&gt;='Variable index'!$K$35,N53&lt;'Variable index'!$K$36),'Variable index'!$L$35,AND(N53&gt;='Variable index'!$K$36,N53&lt;'Variable index'!$K$37),'Variable index'!$L$36,AND(N53&gt;='Variable index'!$K$37,N53&lt;'Variable index'!$K$38),'Variable index'!$L$37,N53&gt;='Variable index'!$K$38,'Variable index'!$L$38),"")</f>
        <v/>
      </c>
      <c r="W53" s="237"/>
      <c r="X53" s="336" t="str" cm="1">
        <f t="array" ref="X53">IF(AND(W53&lt;&gt;"",N53&lt;&gt;""),_xlfn.IFS(W53="Yes",_xlfn.IFS(AND(N53&gt;='Variable index'!$K$35,N53&lt;'Variable index'!$K$36),'Variable index'!$M$35,AND(N53&gt;='Variable index'!$K$36,N53&lt;'Variable index'!$K$37),'Variable index'!$M$36,AND(N53&gt;='Variable index'!$K$37,N53&lt;'Variable index'!$K$38),'Variable index'!$M$37,N53&gt;='Variable index'!$K$38,'Variable index'!$M$38),W53="No",0),"")</f>
        <v/>
      </c>
      <c r="Y53" s="188"/>
      <c r="Z53" s="338" t="str" cm="1">
        <f t="array" ref="Z53">IF(Y53&lt;&gt;"",_xlfn.IFS(Y53='Variable index'!$J$53,SUM('Variable index'!$K$48:$M$48),Y53='Variable index'!$J$54,SUM('Variable index'!$L$48:$M$48),Y53='Variable index'!$J$55,SUM('Variable index'!$M$48)),"")</f>
        <v/>
      </c>
      <c r="AA53" s="337" t="str" cm="1">
        <f t="array" ref="AA53">IFERROR(N53*(1+_xlfn.XLOOKUP(O53,'Rawlinsons regional indices'!$A$2:$A$63,'Rawlinsons regional indices'!$C$2:$C$63)+Q53+_xlfn.IFS(P53&lt;'Variable index'!$J$17,'Variable index'!$K$13,AND(P53&gt;='Variable index'!$J$17,P53&lt;'Variable index'!$J$18),'Variable index'!$L$13,P53&gt;='Variable index'!$J$18,'Variable index'!$M$13))+IF(R53&lt;&gt;"",INDEX('Variable index'!$E$57:$F$65,MATCH(R53,'Variable index'!$C$57:$C$65,0),$F$12)*S53)+IF(T53&lt;&gt;"",INDEX('Variable index'!$E$68:$F$73,MATCH(T53,'Variable index'!$C$68:$C$73,0),$F$12)*U53)+(N53*V53)+(N53*X53)+(N53*Z53),"")</f>
        <v/>
      </c>
      <c r="AB53" s="300"/>
      <c r="AC53" s="337" t="str">
        <f t="shared" si="1"/>
        <v/>
      </c>
      <c r="AD53" s="340" t="str">
        <f t="shared" si="2"/>
        <v/>
      </c>
    </row>
    <row r="54" spans="4:30" ht="12" x14ac:dyDescent="0.25">
      <c r="D54" s="216">
        <f t="shared" si="0"/>
        <v>38</v>
      </c>
      <c r="E54" s="312"/>
      <c r="F54" s="187"/>
      <c r="G54" s="185"/>
      <c r="H54" s="243">
        <f>IFERROR(_xlfn.XLOOKUP(F54,Lists!$C$10:$C$41,Lists!$D$10:$D$41),0)</f>
        <v>0</v>
      </c>
      <c r="I54" s="96"/>
      <c r="J54" s="185"/>
      <c r="K54" s="331" t="str" cm="1">
        <f t="array" ref="K54">IFERROR(IF($H54=0,INDEX('Variable index'!$E$6:$F$51,MATCH($F54,'Variable index'!$C$6:$C$51,0),$F$12),INDEX('Variable index'!$E$6:$F$51,MATCH(_xlfn.CONCAT($F54," - ",$G54),'Variable index'!$C$6:$C$51,0),$F$12)),"")</f>
        <v/>
      </c>
      <c r="L54" s="332" t="str">
        <f>IFERROR(_xlfn.CONCAT("$ per ",IF($H54=0,_xlfn.XLOOKUP($F54,'Variable index'!$C$6:$C$51,'Variable index'!$D$6:$D$51),_xlfn.XLOOKUP(_xlfn.CONCAT($F54," - ",$G54),'Variable index'!$C$6:$C$51,'Variable index'!$D$6:$D$51))),"")</f>
        <v/>
      </c>
      <c r="M54" s="140"/>
      <c r="N54" s="335" t="str">
        <f>IFERROR(IF(TableTransport[[#This Row],[Unit quantity]]="","",TableTransport[[#This Row],[Unit rate]]*TableTransport[[#This Row],[Unit quantity]]),"")</f>
        <v/>
      </c>
      <c r="O54" s="238" t="str">
        <f>IF(TableTransport[[#This Row],[Type of infrastructure]]&lt;&gt;"",Summary!$F$8,"")</f>
        <v/>
      </c>
      <c r="P54" s="239" t="str">
        <f>IF(TableTransport[[#This Row],[Type of infrastructure]]&lt;&gt;"",Summary!$F$9,"")</f>
        <v/>
      </c>
      <c r="Q54" s="241"/>
      <c r="R54" s="188"/>
      <c r="S54" s="140"/>
      <c r="T54" s="188"/>
      <c r="U54" s="140"/>
      <c r="V54" s="338" t="str" cm="1">
        <f t="array" ref="V54">IF(N54&lt;&gt;"",_xlfn.IFS(AND(N54&gt;='Variable index'!$K$35,N54&lt;'Variable index'!$K$36),'Variable index'!$L$35,AND(N54&gt;='Variable index'!$K$36,N54&lt;'Variable index'!$K$37),'Variable index'!$L$36,AND(N54&gt;='Variable index'!$K$37,N54&lt;'Variable index'!$K$38),'Variable index'!$L$37,N54&gt;='Variable index'!$K$38,'Variable index'!$L$38),"")</f>
        <v/>
      </c>
      <c r="W54" s="237"/>
      <c r="X54" s="336" t="str" cm="1">
        <f t="array" ref="X54">IF(AND(W54&lt;&gt;"",N54&lt;&gt;""),_xlfn.IFS(W54="Yes",_xlfn.IFS(AND(N54&gt;='Variable index'!$K$35,N54&lt;'Variable index'!$K$36),'Variable index'!$M$35,AND(N54&gt;='Variable index'!$K$36,N54&lt;'Variable index'!$K$37),'Variable index'!$M$36,AND(N54&gt;='Variable index'!$K$37,N54&lt;'Variable index'!$K$38),'Variable index'!$M$37,N54&gt;='Variable index'!$K$38,'Variable index'!$M$38),W54="No",0),"")</f>
        <v/>
      </c>
      <c r="Y54" s="188"/>
      <c r="Z54" s="338" t="str" cm="1">
        <f t="array" ref="Z54">IF(Y54&lt;&gt;"",_xlfn.IFS(Y54='Variable index'!$J$53,SUM('Variable index'!$K$48:$M$48),Y54='Variable index'!$J$54,SUM('Variable index'!$L$48:$M$48),Y54='Variable index'!$J$55,SUM('Variable index'!$M$48)),"")</f>
        <v/>
      </c>
      <c r="AA54" s="337" t="str" cm="1">
        <f t="array" ref="AA54">IFERROR(N54*(1+_xlfn.XLOOKUP(O54,'Rawlinsons regional indices'!$A$2:$A$63,'Rawlinsons regional indices'!$C$2:$C$63)+Q54+_xlfn.IFS(P54&lt;'Variable index'!$J$17,'Variable index'!$K$13,AND(P54&gt;='Variable index'!$J$17,P54&lt;'Variable index'!$J$18),'Variable index'!$L$13,P54&gt;='Variable index'!$J$18,'Variable index'!$M$13))+IF(R54&lt;&gt;"",INDEX('Variable index'!$E$57:$F$65,MATCH(R54,'Variable index'!$C$57:$C$65,0),$F$12)*S54)+IF(T54&lt;&gt;"",INDEX('Variable index'!$E$68:$F$73,MATCH(T54,'Variable index'!$C$68:$C$73,0),$F$12)*U54)+(N54*V54)+(N54*X54)+(N54*Z54),"")</f>
        <v/>
      </c>
      <c r="AB54" s="300"/>
      <c r="AC54" s="337" t="str">
        <f t="shared" si="1"/>
        <v/>
      </c>
      <c r="AD54" s="340" t="str">
        <f t="shared" si="2"/>
        <v/>
      </c>
    </row>
    <row r="55" spans="4:30" ht="12" x14ac:dyDescent="0.25">
      <c r="D55" s="216">
        <f t="shared" si="0"/>
        <v>39</v>
      </c>
      <c r="E55" s="312"/>
      <c r="F55" s="187"/>
      <c r="G55" s="185"/>
      <c r="H55" s="243">
        <f>IFERROR(_xlfn.XLOOKUP(F55,Lists!$C$10:$C$41,Lists!$D$10:$D$41),0)</f>
        <v>0</v>
      </c>
      <c r="I55" s="96"/>
      <c r="J55" s="185"/>
      <c r="K55" s="331" t="str" cm="1">
        <f t="array" ref="K55">IFERROR(IF($H55=0,INDEX('Variable index'!$E$6:$F$51,MATCH($F55,'Variable index'!$C$6:$C$51,0),$F$12),INDEX('Variable index'!$E$6:$F$51,MATCH(_xlfn.CONCAT($F55," - ",$G55),'Variable index'!$C$6:$C$51,0),$F$12)),"")</f>
        <v/>
      </c>
      <c r="L55" s="332" t="str">
        <f>IFERROR(_xlfn.CONCAT("$ per ",IF($H55=0,_xlfn.XLOOKUP($F55,'Variable index'!$C$6:$C$51,'Variable index'!$D$6:$D$51),_xlfn.XLOOKUP(_xlfn.CONCAT($F55," - ",$G55),'Variable index'!$C$6:$C$51,'Variable index'!$D$6:$D$51))),"")</f>
        <v/>
      </c>
      <c r="M55" s="140"/>
      <c r="N55" s="335" t="str">
        <f>IFERROR(IF(TableTransport[[#This Row],[Unit quantity]]="","",TableTransport[[#This Row],[Unit rate]]*TableTransport[[#This Row],[Unit quantity]]),"")</f>
        <v/>
      </c>
      <c r="O55" s="238" t="str">
        <f>IF(TableTransport[[#This Row],[Type of infrastructure]]&lt;&gt;"",Summary!$F$8,"")</f>
        <v/>
      </c>
      <c r="P55" s="239" t="str">
        <f>IF(TableTransport[[#This Row],[Type of infrastructure]]&lt;&gt;"",Summary!$F$9,"")</f>
        <v/>
      </c>
      <c r="Q55" s="241"/>
      <c r="R55" s="188"/>
      <c r="S55" s="140"/>
      <c r="T55" s="188"/>
      <c r="U55" s="140"/>
      <c r="V55" s="338" t="str" cm="1">
        <f t="array" ref="V55">IF(N55&lt;&gt;"",_xlfn.IFS(AND(N55&gt;='Variable index'!$K$35,N55&lt;'Variable index'!$K$36),'Variable index'!$L$35,AND(N55&gt;='Variable index'!$K$36,N55&lt;'Variable index'!$K$37),'Variable index'!$L$36,AND(N55&gt;='Variable index'!$K$37,N55&lt;'Variable index'!$K$38),'Variable index'!$L$37,N55&gt;='Variable index'!$K$38,'Variable index'!$L$38),"")</f>
        <v/>
      </c>
      <c r="W55" s="237"/>
      <c r="X55" s="336" t="str" cm="1">
        <f t="array" ref="X55">IF(AND(W55&lt;&gt;"",N55&lt;&gt;""),_xlfn.IFS(W55="Yes",_xlfn.IFS(AND(N55&gt;='Variable index'!$K$35,N55&lt;'Variable index'!$K$36),'Variable index'!$M$35,AND(N55&gt;='Variable index'!$K$36,N55&lt;'Variable index'!$K$37),'Variable index'!$M$36,AND(N55&gt;='Variable index'!$K$37,N55&lt;'Variable index'!$K$38),'Variable index'!$M$37,N55&gt;='Variable index'!$K$38,'Variable index'!$M$38),W55="No",0),"")</f>
        <v/>
      </c>
      <c r="Y55" s="188"/>
      <c r="Z55" s="338" t="str" cm="1">
        <f t="array" ref="Z55">IF(Y55&lt;&gt;"",_xlfn.IFS(Y55='Variable index'!$J$53,SUM('Variable index'!$K$48:$M$48),Y55='Variable index'!$J$54,SUM('Variable index'!$L$48:$M$48),Y55='Variable index'!$J$55,SUM('Variable index'!$M$48)),"")</f>
        <v/>
      </c>
      <c r="AA55" s="337" t="str" cm="1">
        <f t="array" ref="AA55">IFERROR(N55*(1+_xlfn.XLOOKUP(O55,'Rawlinsons regional indices'!$A$2:$A$63,'Rawlinsons regional indices'!$C$2:$C$63)+Q55+_xlfn.IFS(P55&lt;'Variable index'!$J$17,'Variable index'!$K$13,AND(P55&gt;='Variable index'!$J$17,P55&lt;'Variable index'!$J$18),'Variable index'!$L$13,P55&gt;='Variable index'!$J$18,'Variable index'!$M$13))+IF(R55&lt;&gt;"",INDEX('Variable index'!$E$57:$F$65,MATCH(R55,'Variable index'!$C$57:$C$65,0),$F$12)*S55)+IF(T55&lt;&gt;"",INDEX('Variable index'!$E$68:$F$73,MATCH(T55,'Variable index'!$C$68:$C$73,0),$F$12)*U55)+(N55*V55)+(N55*X55)+(N55*Z55),"")</f>
        <v/>
      </c>
      <c r="AB55" s="300"/>
      <c r="AC55" s="337" t="str">
        <f t="shared" si="1"/>
        <v/>
      </c>
      <c r="AD55" s="340" t="str">
        <f t="shared" si="2"/>
        <v/>
      </c>
    </row>
    <row r="56" spans="4:30" ht="12" x14ac:dyDescent="0.25">
      <c r="D56" s="216">
        <f t="shared" si="0"/>
        <v>40</v>
      </c>
      <c r="E56" s="312"/>
      <c r="F56" s="187"/>
      <c r="G56" s="185"/>
      <c r="H56" s="244">
        <f>IFERROR(_xlfn.XLOOKUP(F56,Lists!$C$10:$C$41,Lists!$D$10:$D$41),0)</f>
        <v>0</v>
      </c>
      <c r="I56" s="96"/>
      <c r="J56" s="185"/>
      <c r="K56" s="331" t="str" cm="1">
        <f t="array" ref="K56">IFERROR(IF($H56=0,INDEX('Variable index'!$E$6:$F$51,MATCH($F56,'Variable index'!$C$6:$C$51,0),$F$12),INDEX('Variable index'!$E$6:$F$51,MATCH(_xlfn.CONCAT($F56," - ",$G56),'Variable index'!$C$6:$C$51,0),$F$12)),"")</f>
        <v/>
      </c>
      <c r="L56" s="332" t="str">
        <f>IFERROR(_xlfn.CONCAT("$ per ",IF($H56=0,_xlfn.XLOOKUP($F56,'Variable index'!$C$6:$C$51,'Variable index'!$D$6:$D$51),_xlfn.XLOOKUP(_xlfn.CONCAT($F56," - ",$G56),'Variable index'!$C$6:$C$51,'Variable index'!$D$6:$D$51))),"")</f>
        <v/>
      </c>
      <c r="M56" s="140"/>
      <c r="N56" s="335" t="str">
        <f>IFERROR(IF(TableTransport[[#This Row],[Unit quantity]]="","",TableTransport[[#This Row],[Unit rate]]*TableTransport[[#This Row],[Unit quantity]]),"")</f>
        <v/>
      </c>
      <c r="O56" s="238" t="str">
        <f>IF(TableTransport[[#This Row],[Type of infrastructure]]&lt;&gt;"",Summary!$F$8,"")</f>
        <v/>
      </c>
      <c r="P56" s="239" t="str">
        <f>IF(TableTransport[[#This Row],[Type of infrastructure]]&lt;&gt;"",Summary!$F$9,"")</f>
        <v/>
      </c>
      <c r="Q56" s="241"/>
      <c r="R56" s="188"/>
      <c r="S56" s="140"/>
      <c r="T56" s="188"/>
      <c r="U56" s="140"/>
      <c r="V56" s="338" t="str" cm="1">
        <f t="array" ref="V56">IF(N56&lt;&gt;"",_xlfn.IFS(AND(N56&gt;='Variable index'!$K$35,N56&lt;'Variable index'!$K$36),'Variable index'!$L$35,AND(N56&gt;='Variable index'!$K$36,N56&lt;'Variable index'!$K$37),'Variable index'!$L$36,AND(N56&gt;='Variable index'!$K$37,N56&lt;'Variable index'!$K$38),'Variable index'!$L$37,N56&gt;='Variable index'!$K$38,'Variable index'!$L$38),"")</f>
        <v/>
      </c>
      <c r="W56" s="237"/>
      <c r="X56" s="336" t="str" cm="1">
        <f t="array" ref="X56">IF(AND(W56&lt;&gt;"",N56&lt;&gt;""),_xlfn.IFS(W56="Yes",_xlfn.IFS(AND(N56&gt;='Variable index'!$K$35,N56&lt;'Variable index'!$K$36),'Variable index'!$M$35,AND(N56&gt;='Variable index'!$K$36,N56&lt;'Variable index'!$K$37),'Variable index'!$M$36,AND(N56&gt;='Variable index'!$K$37,N56&lt;'Variable index'!$K$38),'Variable index'!$M$37,N56&gt;='Variable index'!$K$38,'Variable index'!$M$38),W56="No",0),"")</f>
        <v/>
      </c>
      <c r="Y56" s="188"/>
      <c r="Z56" s="338" t="str" cm="1">
        <f t="array" ref="Z56">IF(Y56&lt;&gt;"",_xlfn.IFS(Y56='Variable index'!$J$53,SUM('Variable index'!$K$48:$M$48),Y56='Variable index'!$J$54,SUM('Variable index'!$L$48:$M$48),Y56='Variable index'!$J$55,SUM('Variable index'!$M$48)),"")</f>
        <v/>
      </c>
      <c r="AA56" s="337" t="str" cm="1">
        <f t="array" ref="AA56">IFERROR(N56*(1+_xlfn.XLOOKUP(O56,'Rawlinsons regional indices'!$A$2:$A$63,'Rawlinsons regional indices'!$C$2:$C$63)+Q56+_xlfn.IFS(P56&lt;'Variable index'!$J$17,'Variable index'!$K$13,AND(P56&gt;='Variable index'!$J$17,P56&lt;'Variable index'!$J$18),'Variable index'!$L$13,P56&gt;='Variable index'!$J$18,'Variable index'!$M$13))+IF(R56&lt;&gt;"",INDEX('Variable index'!$E$57:$F$65,MATCH(R56,'Variable index'!$C$57:$C$65,0),$F$12)*S56)+IF(T56&lt;&gt;"",INDEX('Variable index'!$E$68:$F$73,MATCH(T56,'Variable index'!$C$68:$C$73,0),$F$12)*U56)+(N56*V56)+(N56*X56)+(N56*Z56),"")</f>
        <v/>
      </c>
      <c r="AB56" s="300"/>
      <c r="AC56" s="337" t="str">
        <f t="shared" si="1"/>
        <v/>
      </c>
      <c r="AD56" s="340" t="str">
        <f t="shared" si="2"/>
        <v/>
      </c>
    </row>
    <row r="57" spans="4:30" ht="12" x14ac:dyDescent="0.25">
      <c r="D57" s="216">
        <f t="shared" si="0"/>
        <v>41</v>
      </c>
      <c r="E57" s="312"/>
      <c r="F57" s="187"/>
      <c r="G57" s="185"/>
      <c r="H57" s="244">
        <f>IFERROR(_xlfn.XLOOKUP(F57,Lists!$C$10:$C$41,Lists!$D$10:$D$41),0)</f>
        <v>0</v>
      </c>
      <c r="I57" s="96"/>
      <c r="J57" s="185"/>
      <c r="K57" s="331" t="str" cm="1">
        <f t="array" ref="K57">IFERROR(IF($H57=0,INDEX('Variable index'!$E$6:$F$51,MATCH($F57,'Variable index'!$C$6:$C$51,0),$F$12),INDEX('Variable index'!$E$6:$F$51,MATCH(_xlfn.CONCAT($F57," - ",$G57),'Variable index'!$C$6:$C$51,0),$F$12)),"")</f>
        <v/>
      </c>
      <c r="L57" s="332" t="str">
        <f>IFERROR(_xlfn.CONCAT("$ per ",IF($H57=0,_xlfn.XLOOKUP($F57,'Variable index'!$C$6:$C$51,'Variable index'!$D$6:$D$51),_xlfn.XLOOKUP(_xlfn.CONCAT($F57," - ",$G57),'Variable index'!$C$6:$C$51,'Variable index'!$D$6:$D$51))),"")</f>
        <v/>
      </c>
      <c r="M57" s="140"/>
      <c r="N57" s="335" t="str">
        <f>IFERROR(IF(TableTransport[[#This Row],[Unit quantity]]="","",TableTransport[[#This Row],[Unit rate]]*TableTransport[[#This Row],[Unit quantity]]),"")</f>
        <v/>
      </c>
      <c r="O57" s="238" t="str">
        <f>IF(TableTransport[[#This Row],[Type of infrastructure]]&lt;&gt;"",Summary!$F$8,"")</f>
        <v/>
      </c>
      <c r="P57" s="239" t="str">
        <f>IF(TableTransport[[#This Row],[Type of infrastructure]]&lt;&gt;"",Summary!$F$9,"")</f>
        <v/>
      </c>
      <c r="Q57" s="241"/>
      <c r="R57" s="188"/>
      <c r="S57" s="140"/>
      <c r="T57" s="188"/>
      <c r="U57" s="140"/>
      <c r="V57" s="338" t="str" cm="1">
        <f t="array" ref="V57">IF(N57&lt;&gt;"",_xlfn.IFS(AND(N57&gt;='Variable index'!$K$35,N57&lt;'Variable index'!$K$36),'Variable index'!$L$35,AND(N57&gt;='Variable index'!$K$36,N57&lt;'Variable index'!$K$37),'Variable index'!$L$36,AND(N57&gt;='Variable index'!$K$37,N57&lt;'Variable index'!$K$38),'Variable index'!$L$37,N57&gt;='Variable index'!$K$38,'Variable index'!$L$38),"")</f>
        <v/>
      </c>
      <c r="W57" s="237"/>
      <c r="X57" s="336" t="str" cm="1">
        <f t="array" ref="X57">IF(AND(W57&lt;&gt;"",N57&lt;&gt;""),_xlfn.IFS(W57="Yes",_xlfn.IFS(AND(N57&gt;='Variable index'!$K$35,N57&lt;'Variable index'!$K$36),'Variable index'!$M$35,AND(N57&gt;='Variable index'!$K$36,N57&lt;'Variable index'!$K$37),'Variable index'!$M$36,AND(N57&gt;='Variable index'!$K$37,N57&lt;'Variable index'!$K$38),'Variable index'!$M$37,N57&gt;='Variable index'!$K$38,'Variable index'!$M$38),W57="No",0),"")</f>
        <v/>
      </c>
      <c r="Y57" s="188"/>
      <c r="Z57" s="338" t="str" cm="1">
        <f t="array" ref="Z57">IF(Y57&lt;&gt;"",_xlfn.IFS(Y57='Variable index'!$J$53,SUM('Variable index'!$K$48:$M$48),Y57='Variable index'!$J$54,SUM('Variable index'!$L$48:$M$48),Y57='Variable index'!$J$55,SUM('Variable index'!$M$48)),"")</f>
        <v/>
      </c>
      <c r="AA57" s="337" t="str" cm="1">
        <f t="array" ref="AA57">IFERROR(N57*(1+_xlfn.XLOOKUP(O57,'Rawlinsons regional indices'!$A$2:$A$63,'Rawlinsons regional indices'!$C$2:$C$63)+Q57+_xlfn.IFS(P57&lt;'Variable index'!$J$17,'Variable index'!$K$13,AND(P57&gt;='Variable index'!$J$17,P57&lt;'Variable index'!$J$18),'Variable index'!$L$13,P57&gt;='Variable index'!$J$18,'Variable index'!$M$13))+IF(R57&lt;&gt;"",INDEX('Variable index'!$E$57:$F$65,MATCH(R57,'Variable index'!$C$57:$C$65,0),$F$12)*S57)+IF(T57&lt;&gt;"",INDEX('Variable index'!$E$68:$F$73,MATCH(T57,'Variable index'!$C$68:$C$73,0),$F$12)*U57)+(N57*V57)+(N57*X57)+(N57*Z57),"")</f>
        <v/>
      </c>
      <c r="AB57" s="300"/>
      <c r="AC57" s="337" t="str">
        <f t="shared" si="1"/>
        <v/>
      </c>
      <c r="AD57" s="340" t="str">
        <f t="shared" si="2"/>
        <v/>
      </c>
    </row>
    <row r="58" spans="4:30" ht="12" x14ac:dyDescent="0.25">
      <c r="D58" s="216">
        <f t="shared" si="0"/>
        <v>42</v>
      </c>
      <c r="E58" s="312"/>
      <c r="F58" s="187"/>
      <c r="G58" s="185"/>
      <c r="H58" s="244">
        <f>IFERROR(_xlfn.XLOOKUP(F58,Lists!$C$10:$C$41,Lists!$D$10:$D$41),0)</f>
        <v>0</v>
      </c>
      <c r="I58" s="96"/>
      <c r="J58" s="185"/>
      <c r="K58" s="331" t="str" cm="1">
        <f t="array" ref="K58">IFERROR(IF($H58=0,INDEX('Variable index'!$E$6:$F$51,MATCH($F58,'Variable index'!$C$6:$C$51,0),$F$12),INDEX('Variable index'!$E$6:$F$51,MATCH(_xlfn.CONCAT($F58," - ",$G58),'Variable index'!$C$6:$C$51,0),$F$12)),"")</f>
        <v/>
      </c>
      <c r="L58" s="332" t="str">
        <f>IFERROR(_xlfn.CONCAT("$ per ",IF($H58=0,_xlfn.XLOOKUP($F58,'Variable index'!$C$6:$C$51,'Variable index'!$D$6:$D$51),_xlfn.XLOOKUP(_xlfn.CONCAT($F58," - ",$G58),'Variable index'!$C$6:$C$51,'Variable index'!$D$6:$D$51))),"")</f>
        <v/>
      </c>
      <c r="M58" s="140"/>
      <c r="N58" s="335" t="str">
        <f>IFERROR(IF(TableTransport[[#This Row],[Unit quantity]]="","",TableTransport[[#This Row],[Unit rate]]*TableTransport[[#This Row],[Unit quantity]]),"")</f>
        <v/>
      </c>
      <c r="O58" s="238" t="str">
        <f>IF(TableTransport[[#This Row],[Type of infrastructure]]&lt;&gt;"",Summary!$F$8,"")</f>
        <v/>
      </c>
      <c r="P58" s="239" t="str">
        <f>IF(TableTransport[[#This Row],[Type of infrastructure]]&lt;&gt;"",Summary!$F$9,"")</f>
        <v/>
      </c>
      <c r="Q58" s="241"/>
      <c r="R58" s="188"/>
      <c r="S58" s="140"/>
      <c r="T58" s="188"/>
      <c r="U58" s="140"/>
      <c r="V58" s="338" t="str" cm="1">
        <f t="array" ref="V58">IF(N58&lt;&gt;"",_xlfn.IFS(AND(N58&gt;='Variable index'!$K$35,N58&lt;'Variable index'!$K$36),'Variable index'!$L$35,AND(N58&gt;='Variable index'!$K$36,N58&lt;'Variable index'!$K$37),'Variable index'!$L$36,AND(N58&gt;='Variable index'!$K$37,N58&lt;'Variable index'!$K$38),'Variable index'!$L$37,N58&gt;='Variable index'!$K$38,'Variable index'!$L$38),"")</f>
        <v/>
      </c>
      <c r="W58" s="237"/>
      <c r="X58" s="336" t="str" cm="1">
        <f t="array" ref="X58">IF(AND(W58&lt;&gt;"",N58&lt;&gt;""),_xlfn.IFS(W58="Yes",_xlfn.IFS(AND(N58&gt;='Variable index'!$K$35,N58&lt;'Variable index'!$K$36),'Variable index'!$M$35,AND(N58&gt;='Variable index'!$K$36,N58&lt;'Variable index'!$K$37),'Variable index'!$M$36,AND(N58&gt;='Variable index'!$K$37,N58&lt;'Variable index'!$K$38),'Variable index'!$M$37,N58&gt;='Variable index'!$K$38,'Variable index'!$M$38),W58="No",0),"")</f>
        <v/>
      </c>
      <c r="Y58" s="188"/>
      <c r="Z58" s="338" t="str" cm="1">
        <f t="array" ref="Z58">IF(Y58&lt;&gt;"",_xlfn.IFS(Y58='Variable index'!$J$53,SUM('Variable index'!$K$48:$M$48),Y58='Variable index'!$J$54,SUM('Variable index'!$L$48:$M$48),Y58='Variable index'!$J$55,SUM('Variable index'!$M$48)),"")</f>
        <v/>
      </c>
      <c r="AA58" s="337" t="str" cm="1">
        <f t="array" ref="AA58">IFERROR(N58*(1+_xlfn.XLOOKUP(O58,'Rawlinsons regional indices'!$A$2:$A$63,'Rawlinsons regional indices'!$C$2:$C$63)+Q58+_xlfn.IFS(P58&lt;'Variable index'!$J$17,'Variable index'!$K$13,AND(P58&gt;='Variable index'!$J$17,P58&lt;'Variable index'!$J$18),'Variable index'!$L$13,P58&gt;='Variable index'!$J$18,'Variable index'!$M$13))+IF(R58&lt;&gt;"",INDEX('Variable index'!$E$57:$F$65,MATCH(R58,'Variable index'!$C$57:$C$65,0),$F$12)*S58)+IF(T58&lt;&gt;"",INDEX('Variable index'!$E$68:$F$73,MATCH(T58,'Variable index'!$C$68:$C$73,0),$F$12)*U58)+(N58*V58)+(N58*X58)+(N58*Z58),"")</f>
        <v/>
      </c>
      <c r="AB58" s="300"/>
      <c r="AC58" s="337" t="str">
        <f t="shared" si="1"/>
        <v/>
      </c>
      <c r="AD58" s="340" t="str">
        <f t="shared" si="2"/>
        <v/>
      </c>
    </row>
    <row r="59" spans="4:30" ht="12" x14ac:dyDescent="0.25">
      <c r="D59" s="216">
        <f t="shared" si="0"/>
        <v>43</v>
      </c>
      <c r="E59" s="312"/>
      <c r="F59" s="187"/>
      <c r="G59" s="185"/>
      <c r="H59" s="244">
        <f>IFERROR(_xlfn.XLOOKUP(F59,Lists!$C$10:$C$41,Lists!$D$10:$D$41),0)</f>
        <v>0</v>
      </c>
      <c r="I59" s="96"/>
      <c r="J59" s="185"/>
      <c r="K59" s="331" t="str" cm="1">
        <f t="array" ref="K59">IFERROR(IF($H59=0,INDEX('Variable index'!$E$6:$F$51,MATCH($F59,'Variable index'!$C$6:$C$51,0),$F$12),INDEX('Variable index'!$E$6:$F$51,MATCH(_xlfn.CONCAT($F59," - ",$G59),'Variable index'!$C$6:$C$51,0),$F$12)),"")</f>
        <v/>
      </c>
      <c r="L59" s="332" t="str">
        <f>IFERROR(_xlfn.CONCAT("$ per ",IF($H59=0,_xlfn.XLOOKUP($F59,'Variable index'!$C$6:$C$51,'Variable index'!$D$6:$D$51),_xlfn.XLOOKUP(_xlfn.CONCAT($F59," - ",$G59),'Variable index'!$C$6:$C$51,'Variable index'!$D$6:$D$51))),"")</f>
        <v/>
      </c>
      <c r="M59" s="140"/>
      <c r="N59" s="335" t="str">
        <f>IFERROR(IF(TableTransport[[#This Row],[Unit quantity]]="","",TableTransport[[#This Row],[Unit rate]]*TableTransport[[#This Row],[Unit quantity]]),"")</f>
        <v/>
      </c>
      <c r="O59" s="238" t="str">
        <f>IF(TableTransport[[#This Row],[Type of infrastructure]]&lt;&gt;"",Summary!$F$8,"")</f>
        <v/>
      </c>
      <c r="P59" s="239" t="str">
        <f>IF(TableTransport[[#This Row],[Type of infrastructure]]&lt;&gt;"",Summary!$F$9,"")</f>
        <v/>
      </c>
      <c r="Q59" s="241"/>
      <c r="R59" s="188"/>
      <c r="S59" s="140"/>
      <c r="T59" s="188"/>
      <c r="U59" s="140"/>
      <c r="V59" s="338" t="str" cm="1">
        <f t="array" ref="V59">IF(N59&lt;&gt;"",_xlfn.IFS(AND(N59&gt;='Variable index'!$K$35,N59&lt;'Variable index'!$K$36),'Variable index'!$L$35,AND(N59&gt;='Variable index'!$K$36,N59&lt;'Variable index'!$K$37),'Variable index'!$L$36,AND(N59&gt;='Variable index'!$K$37,N59&lt;'Variable index'!$K$38),'Variable index'!$L$37,N59&gt;='Variable index'!$K$38,'Variable index'!$L$38),"")</f>
        <v/>
      </c>
      <c r="W59" s="237"/>
      <c r="X59" s="336" t="str" cm="1">
        <f t="array" ref="X59">IF(AND(W59&lt;&gt;"",N59&lt;&gt;""),_xlfn.IFS(W59="Yes",_xlfn.IFS(AND(N59&gt;='Variable index'!$K$35,N59&lt;'Variable index'!$K$36),'Variable index'!$M$35,AND(N59&gt;='Variable index'!$K$36,N59&lt;'Variable index'!$K$37),'Variable index'!$M$36,AND(N59&gt;='Variable index'!$K$37,N59&lt;'Variable index'!$K$38),'Variable index'!$M$37,N59&gt;='Variable index'!$K$38,'Variable index'!$M$38),W59="No",0),"")</f>
        <v/>
      </c>
      <c r="Y59" s="188"/>
      <c r="Z59" s="338" t="str" cm="1">
        <f t="array" ref="Z59">IF(Y59&lt;&gt;"",_xlfn.IFS(Y59='Variable index'!$J$53,SUM('Variable index'!$K$48:$M$48),Y59='Variable index'!$J$54,SUM('Variable index'!$L$48:$M$48),Y59='Variable index'!$J$55,SUM('Variable index'!$M$48)),"")</f>
        <v/>
      </c>
      <c r="AA59" s="337" t="str" cm="1">
        <f t="array" ref="AA59">IFERROR(N59*(1+_xlfn.XLOOKUP(O59,'Rawlinsons regional indices'!$A$2:$A$63,'Rawlinsons regional indices'!$C$2:$C$63)+Q59+_xlfn.IFS(P59&lt;'Variable index'!$J$17,'Variable index'!$K$13,AND(P59&gt;='Variable index'!$J$17,P59&lt;'Variable index'!$J$18),'Variable index'!$L$13,P59&gt;='Variable index'!$J$18,'Variable index'!$M$13))+IF(R59&lt;&gt;"",INDEX('Variable index'!$E$57:$F$65,MATCH(R59,'Variable index'!$C$57:$C$65,0),$F$12)*S59)+IF(T59&lt;&gt;"",INDEX('Variable index'!$E$68:$F$73,MATCH(T59,'Variable index'!$C$68:$C$73,0),$F$12)*U59)+(N59*V59)+(N59*X59)+(N59*Z59),"")</f>
        <v/>
      </c>
      <c r="AB59" s="300"/>
      <c r="AC59" s="337" t="str">
        <f t="shared" si="1"/>
        <v/>
      </c>
      <c r="AD59" s="340" t="str">
        <f t="shared" si="2"/>
        <v/>
      </c>
    </row>
    <row r="60" spans="4:30" ht="12" x14ac:dyDescent="0.25">
      <c r="D60" s="216">
        <f t="shared" si="0"/>
        <v>44</v>
      </c>
      <c r="E60" s="312"/>
      <c r="F60" s="187"/>
      <c r="G60" s="185"/>
      <c r="H60" s="244">
        <f>IFERROR(_xlfn.XLOOKUP(F60,Lists!$C$10:$C$41,Lists!$D$10:$D$41),0)</f>
        <v>0</v>
      </c>
      <c r="I60" s="96"/>
      <c r="J60" s="185"/>
      <c r="K60" s="331" t="str" cm="1">
        <f t="array" ref="K60">IFERROR(IF($H60=0,INDEX('Variable index'!$E$6:$F$51,MATCH($F60,'Variable index'!$C$6:$C$51,0),$F$12),INDEX('Variable index'!$E$6:$F$51,MATCH(_xlfn.CONCAT($F60," - ",$G60),'Variable index'!$C$6:$C$51,0),$F$12)),"")</f>
        <v/>
      </c>
      <c r="L60" s="332" t="str">
        <f>IFERROR(_xlfn.CONCAT("$ per ",IF($H60=0,_xlfn.XLOOKUP($F60,'Variable index'!$C$6:$C$51,'Variable index'!$D$6:$D$51),_xlfn.XLOOKUP(_xlfn.CONCAT($F60," - ",$G60),'Variable index'!$C$6:$C$51,'Variable index'!$D$6:$D$51))),"")</f>
        <v/>
      </c>
      <c r="M60" s="140"/>
      <c r="N60" s="335" t="str">
        <f>IFERROR(IF(TableTransport[[#This Row],[Unit quantity]]="","",TableTransport[[#This Row],[Unit rate]]*TableTransport[[#This Row],[Unit quantity]]),"")</f>
        <v/>
      </c>
      <c r="O60" s="238" t="str">
        <f>IF(TableTransport[[#This Row],[Type of infrastructure]]&lt;&gt;"",Summary!$F$8,"")</f>
        <v/>
      </c>
      <c r="P60" s="239" t="str">
        <f>IF(TableTransport[[#This Row],[Type of infrastructure]]&lt;&gt;"",Summary!$F$9,"")</f>
        <v/>
      </c>
      <c r="Q60" s="241"/>
      <c r="R60" s="188"/>
      <c r="S60" s="140"/>
      <c r="T60" s="188"/>
      <c r="U60" s="140"/>
      <c r="V60" s="338" t="str" cm="1">
        <f t="array" ref="V60">IF(N60&lt;&gt;"",_xlfn.IFS(AND(N60&gt;='Variable index'!$K$35,N60&lt;'Variable index'!$K$36),'Variable index'!$L$35,AND(N60&gt;='Variable index'!$K$36,N60&lt;'Variable index'!$K$37),'Variable index'!$L$36,AND(N60&gt;='Variable index'!$K$37,N60&lt;'Variable index'!$K$38),'Variable index'!$L$37,N60&gt;='Variable index'!$K$38,'Variable index'!$L$38),"")</f>
        <v/>
      </c>
      <c r="W60" s="237"/>
      <c r="X60" s="336" t="str" cm="1">
        <f t="array" ref="X60">IF(AND(W60&lt;&gt;"",N60&lt;&gt;""),_xlfn.IFS(W60="Yes",_xlfn.IFS(AND(N60&gt;='Variable index'!$K$35,N60&lt;'Variable index'!$K$36),'Variable index'!$M$35,AND(N60&gt;='Variable index'!$K$36,N60&lt;'Variable index'!$K$37),'Variable index'!$M$36,AND(N60&gt;='Variable index'!$K$37,N60&lt;'Variable index'!$K$38),'Variable index'!$M$37,N60&gt;='Variable index'!$K$38,'Variable index'!$M$38),W60="No",0),"")</f>
        <v/>
      </c>
      <c r="Y60" s="188"/>
      <c r="Z60" s="338" t="str" cm="1">
        <f t="array" ref="Z60">IF(Y60&lt;&gt;"",_xlfn.IFS(Y60='Variable index'!$J$53,SUM('Variable index'!$K$48:$M$48),Y60='Variable index'!$J$54,SUM('Variable index'!$L$48:$M$48),Y60='Variable index'!$J$55,SUM('Variable index'!$M$48)),"")</f>
        <v/>
      </c>
      <c r="AA60" s="337" t="str" cm="1">
        <f t="array" ref="AA60">IFERROR(N60*(1+_xlfn.XLOOKUP(O60,'Rawlinsons regional indices'!$A$2:$A$63,'Rawlinsons regional indices'!$C$2:$C$63)+Q60+_xlfn.IFS(P60&lt;'Variable index'!$J$17,'Variable index'!$K$13,AND(P60&gt;='Variable index'!$J$17,P60&lt;'Variable index'!$J$18),'Variable index'!$L$13,P60&gt;='Variable index'!$J$18,'Variable index'!$M$13))+IF(R60&lt;&gt;"",INDEX('Variable index'!$E$57:$F$65,MATCH(R60,'Variable index'!$C$57:$C$65,0),$F$12)*S60)+IF(T60&lt;&gt;"",INDEX('Variable index'!$E$68:$F$73,MATCH(T60,'Variable index'!$C$68:$C$73,0),$F$12)*U60)+(N60*V60)+(N60*X60)+(N60*Z60),"")</f>
        <v/>
      </c>
      <c r="AB60" s="300"/>
      <c r="AC60" s="337" t="str">
        <f t="shared" si="1"/>
        <v/>
      </c>
      <c r="AD60" s="340" t="str">
        <f t="shared" si="2"/>
        <v/>
      </c>
    </row>
    <row r="61" spans="4:30" ht="12" x14ac:dyDescent="0.25">
      <c r="D61" s="216">
        <f t="shared" si="0"/>
        <v>45</v>
      </c>
      <c r="E61" s="312"/>
      <c r="F61" s="187"/>
      <c r="G61" s="96"/>
      <c r="H61" s="244">
        <f>IFERROR(_xlfn.XLOOKUP(F61,Lists!$C$10:$C$41,Lists!$D$10:$D$41),0)</f>
        <v>0</v>
      </c>
      <c r="I61" s="96"/>
      <c r="J61" s="185"/>
      <c r="K61" s="331" t="str" cm="1">
        <f t="array" ref="K61">IFERROR(IF($H61=0,INDEX('Variable index'!$E$6:$F$51,MATCH($F61,'Variable index'!$C$6:$C$51,0),$F$12),INDEX('Variable index'!$E$6:$F$51,MATCH(_xlfn.CONCAT($F61," - ",$G61),'Variable index'!$C$6:$C$51,0),$F$12)),"")</f>
        <v/>
      </c>
      <c r="L61" s="332" t="str">
        <f>IFERROR(_xlfn.CONCAT("$ per ",IF($H61=0,_xlfn.XLOOKUP($F61,'Variable index'!$C$6:$C$51,'Variable index'!$D$6:$D$51),_xlfn.XLOOKUP(_xlfn.CONCAT($F61," - ",$G61),'Variable index'!$C$6:$C$51,'Variable index'!$D$6:$D$51))),"")</f>
        <v/>
      </c>
      <c r="M61" s="140"/>
      <c r="N61" s="335" t="str">
        <f>IFERROR(IF(TableTransport[[#This Row],[Unit quantity]]="","",TableTransport[[#This Row],[Unit rate]]*TableTransport[[#This Row],[Unit quantity]]),"")</f>
        <v/>
      </c>
      <c r="O61" s="247" t="str">
        <f>IF(TableTransport[[#This Row],[Type of infrastructure]]&lt;&gt;"",Summary!$F$8,"")</f>
        <v/>
      </c>
      <c r="P61" s="246" t="str">
        <f>IF(TableTransport[[#This Row],[Type of infrastructure]]&lt;&gt;"",Summary!$F$9,"")</f>
        <v/>
      </c>
      <c r="Q61" s="241"/>
      <c r="R61" s="188"/>
      <c r="S61" s="140"/>
      <c r="T61" s="188"/>
      <c r="U61" s="140"/>
      <c r="V61" s="338" t="str" cm="1">
        <f t="array" ref="V61">IF(N61&lt;&gt;"",_xlfn.IFS(AND(N61&gt;='Variable index'!$K$35,N61&lt;'Variable index'!$K$36),'Variable index'!$L$35,AND(N61&gt;='Variable index'!$K$36,N61&lt;'Variable index'!$K$37),'Variable index'!$L$36,AND(N61&gt;='Variable index'!$K$37,N61&lt;'Variable index'!$K$38),'Variable index'!$L$37,N61&gt;='Variable index'!$K$38,'Variable index'!$L$38),"")</f>
        <v/>
      </c>
      <c r="W61" s="237"/>
      <c r="X61" s="336" t="str" cm="1">
        <f t="array" ref="X61">IF(AND(W61&lt;&gt;"",N61&lt;&gt;""),_xlfn.IFS(W61="Yes",_xlfn.IFS(AND(N61&gt;='Variable index'!$K$35,N61&lt;'Variable index'!$K$36),'Variable index'!$M$35,AND(N61&gt;='Variable index'!$K$36,N61&lt;'Variable index'!$K$37),'Variable index'!$M$36,AND(N61&gt;='Variable index'!$K$37,N61&lt;'Variable index'!$K$38),'Variable index'!$M$37,N61&gt;='Variable index'!$K$38,'Variable index'!$M$38),W61="No",0),"")</f>
        <v/>
      </c>
      <c r="Y61" s="188"/>
      <c r="Z61" s="338" t="str" cm="1">
        <f t="array" ref="Z61">IF(Y61&lt;&gt;"",_xlfn.IFS(Y61='Variable index'!$J$53,SUM('Variable index'!$K$48:$M$48),Y61='Variable index'!$J$54,SUM('Variable index'!$L$48:$M$48),Y61='Variable index'!$J$55,SUM('Variable index'!$M$48)),"")</f>
        <v/>
      </c>
      <c r="AA61" s="337" t="str" cm="1">
        <f t="array" ref="AA61">IFERROR(N61*(1+_xlfn.XLOOKUP(O61,'Rawlinsons regional indices'!$A$2:$A$63,'Rawlinsons regional indices'!$C$2:$C$63)+Q61+_xlfn.IFS(P61&lt;'Variable index'!$J$17,'Variable index'!$K$13,AND(P61&gt;='Variable index'!$J$17,P61&lt;'Variable index'!$J$18),'Variable index'!$L$13,P61&gt;='Variable index'!$J$18,'Variable index'!$M$13))+IF(R61&lt;&gt;"",INDEX('Variable index'!$E$57:$F$65,MATCH(R61,'Variable index'!$C$57:$C$65,0),$F$12)*S61)+IF(T61&lt;&gt;"",INDEX('Variable index'!$E$68:$F$73,MATCH(T61,'Variable index'!$C$68:$C$73,0),$F$12)*U61)+(N61*V61)+(N61*X61)+(N61*Z61),"")</f>
        <v/>
      </c>
      <c r="AB61" s="300"/>
      <c r="AC61" s="337" t="str">
        <f t="shared" si="1"/>
        <v/>
      </c>
      <c r="AD61" s="340" t="str">
        <f t="shared" si="2"/>
        <v/>
      </c>
    </row>
    <row r="62" spans="4:30" ht="12" x14ac:dyDescent="0.25">
      <c r="D62" s="216">
        <f t="shared" si="0"/>
        <v>46</v>
      </c>
      <c r="E62" s="312"/>
      <c r="F62" s="187"/>
      <c r="G62" s="96"/>
      <c r="H62" s="260">
        <f>IFERROR(_xlfn.XLOOKUP(F62,Lists!$C$10:$C$41,Lists!$D$10:$D$41),0)</f>
        <v>0</v>
      </c>
      <c r="I62" s="96"/>
      <c r="J62" s="185"/>
      <c r="K62" s="331" t="str" cm="1">
        <f t="array" ref="K62">IFERROR(IF($H62=0,INDEX('Variable index'!$E$6:$F$51,MATCH($F62,'Variable index'!$C$6:$C$51,0),$F$12),INDEX('Variable index'!$E$6:$F$51,MATCH(_xlfn.CONCAT($F62," - ",$G62),'Variable index'!$C$6:$C$51,0),$F$12)),"")</f>
        <v/>
      </c>
      <c r="L62" s="332" t="str">
        <f>IFERROR(_xlfn.CONCAT("$ per ",IF($H62=0,_xlfn.XLOOKUP($F62,'Variable index'!$C$6:$C$51,'Variable index'!$D$6:$D$51),_xlfn.XLOOKUP(_xlfn.CONCAT($F62," - ",$G62),'Variable index'!$C$6:$C$51,'Variable index'!$D$6:$D$51))),"")</f>
        <v/>
      </c>
      <c r="M62" s="140"/>
      <c r="N62" s="335" t="str">
        <f>IFERROR(IF(TableTransport[[#This Row],[Unit quantity]]="","",TableTransport[[#This Row],[Unit rate]]*TableTransport[[#This Row],[Unit quantity]]),"")</f>
        <v/>
      </c>
      <c r="O62" s="247" t="str">
        <f>IF(TableTransport[[#This Row],[Type of infrastructure]]&lt;&gt;"",Summary!$F$8,"")</f>
        <v/>
      </c>
      <c r="P62" s="246" t="str">
        <f>IF(TableTransport[[#This Row],[Type of infrastructure]]&lt;&gt;"",Summary!$F$9,"")</f>
        <v/>
      </c>
      <c r="Q62" s="241"/>
      <c r="R62" s="188"/>
      <c r="S62" s="140"/>
      <c r="T62" s="188"/>
      <c r="U62" s="140"/>
      <c r="V62" s="338" t="str" cm="1">
        <f t="array" ref="V62">IF(N62&lt;&gt;"",_xlfn.IFS(AND(N62&gt;='Variable index'!$K$35,N62&lt;'Variable index'!$K$36),'Variable index'!$L$35,AND(N62&gt;='Variable index'!$K$36,N62&lt;'Variable index'!$K$37),'Variable index'!$L$36,AND(N62&gt;='Variable index'!$K$37,N62&lt;'Variable index'!$K$38),'Variable index'!$L$37,N62&gt;='Variable index'!$K$38,'Variable index'!$L$38),"")</f>
        <v/>
      </c>
      <c r="W62" s="237"/>
      <c r="X62" s="336" t="str" cm="1">
        <f t="array" ref="X62">IF(AND(W62&lt;&gt;"",N62&lt;&gt;""),_xlfn.IFS(W62="Yes",_xlfn.IFS(AND(N62&gt;='Variable index'!$K$35,N62&lt;'Variable index'!$K$36),'Variable index'!$M$35,AND(N62&gt;='Variable index'!$K$36,N62&lt;'Variable index'!$K$37),'Variable index'!$M$36,AND(N62&gt;='Variable index'!$K$37,N62&lt;'Variable index'!$K$38),'Variable index'!$M$37,N62&gt;='Variable index'!$K$38,'Variable index'!$M$38),W62="No",0),"")</f>
        <v/>
      </c>
      <c r="Y62" s="188"/>
      <c r="Z62" s="338" t="str" cm="1">
        <f t="array" ref="Z62">IF(Y62&lt;&gt;"",_xlfn.IFS(Y62='Variable index'!$J$53,SUM('Variable index'!$K$48:$M$48),Y62='Variable index'!$J$54,SUM('Variable index'!$L$48:$M$48),Y62='Variable index'!$J$55,SUM('Variable index'!$M$48)),"")</f>
        <v/>
      </c>
      <c r="AA62" s="337" t="str" cm="1">
        <f t="array" ref="AA62">IFERROR(N62*(1+_xlfn.XLOOKUP(O62,'Rawlinsons regional indices'!$A$2:$A$63,'Rawlinsons regional indices'!$C$2:$C$63)+Q62+_xlfn.IFS(P62&lt;'Variable index'!$J$17,'Variable index'!$K$13,AND(P62&gt;='Variable index'!$J$17,P62&lt;'Variable index'!$J$18),'Variable index'!$L$13,P62&gt;='Variable index'!$J$18,'Variable index'!$M$13))+IF(R62&lt;&gt;"",INDEX('Variable index'!$E$57:$F$65,MATCH(R62,'Variable index'!$C$57:$C$65,0),$F$12)*S62)+IF(T62&lt;&gt;"",INDEX('Variable index'!$E$68:$F$73,MATCH(T62,'Variable index'!$C$68:$C$73,0),$F$12)*U62)+(N62*V62)+(N62*X62)+(N62*Z62),"")</f>
        <v/>
      </c>
      <c r="AB62" s="300"/>
      <c r="AC62" s="337" t="str">
        <f t="shared" si="1"/>
        <v/>
      </c>
      <c r="AD62" s="340" t="str">
        <f t="shared" si="2"/>
        <v/>
      </c>
    </row>
    <row r="63" spans="4:30" ht="12" x14ac:dyDescent="0.25">
      <c r="D63" s="216">
        <f t="shared" si="0"/>
        <v>47</v>
      </c>
      <c r="E63" s="312"/>
      <c r="F63" s="187"/>
      <c r="G63" s="96"/>
      <c r="H63" s="260">
        <f>IFERROR(_xlfn.XLOOKUP(F63,Lists!$C$10:$C$41,Lists!$D$10:$D$41),0)</f>
        <v>0</v>
      </c>
      <c r="I63" s="96"/>
      <c r="J63" s="185"/>
      <c r="K63" s="331" t="str" cm="1">
        <f t="array" ref="K63">IFERROR(IF($H63=0,INDEX('Variable index'!$E$6:$F$51,MATCH($F63,'Variable index'!$C$6:$C$51,0),$F$12),INDEX('Variable index'!$E$6:$F$51,MATCH(_xlfn.CONCAT($F63," - ",$G63),'Variable index'!$C$6:$C$51,0),$F$12)),"")</f>
        <v/>
      </c>
      <c r="L63" s="332" t="str">
        <f>IFERROR(_xlfn.CONCAT("$ per ",IF($H63=0,_xlfn.XLOOKUP($F63,'Variable index'!$C$6:$C$51,'Variable index'!$D$6:$D$51),_xlfn.XLOOKUP(_xlfn.CONCAT($F63," - ",$G63),'Variable index'!$C$6:$C$51,'Variable index'!$D$6:$D$51))),"")</f>
        <v/>
      </c>
      <c r="M63" s="140"/>
      <c r="N63" s="335" t="str">
        <f>IFERROR(IF(TableTransport[[#This Row],[Unit quantity]]="","",TableTransport[[#This Row],[Unit rate]]*TableTransport[[#This Row],[Unit quantity]]),"")</f>
        <v/>
      </c>
      <c r="O63" s="247" t="str">
        <f>IF(TableTransport[[#This Row],[Type of infrastructure]]&lt;&gt;"",Summary!$F$8,"")</f>
        <v/>
      </c>
      <c r="P63" s="246" t="str">
        <f>IF(TableTransport[[#This Row],[Type of infrastructure]]&lt;&gt;"",Summary!$F$9,"")</f>
        <v/>
      </c>
      <c r="Q63" s="241"/>
      <c r="R63" s="188"/>
      <c r="S63" s="140"/>
      <c r="T63" s="188"/>
      <c r="U63" s="140"/>
      <c r="V63" s="338" t="str" cm="1">
        <f t="array" ref="V63">IF(N63&lt;&gt;"",_xlfn.IFS(AND(N63&gt;='Variable index'!$K$35,N63&lt;'Variable index'!$K$36),'Variable index'!$L$35,AND(N63&gt;='Variable index'!$K$36,N63&lt;'Variable index'!$K$37),'Variable index'!$L$36,AND(N63&gt;='Variable index'!$K$37,N63&lt;'Variable index'!$K$38),'Variable index'!$L$37,N63&gt;='Variable index'!$K$38,'Variable index'!$L$38),"")</f>
        <v/>
      </c>
      <c r="W63" s="237"/>
      <c r="X63" s="336" t="str" cm="1">
        <f t="array" ref="X63">IF(AND(W63&lt;&gt;"",N63&lt;&gt;""),_xlfn.IFS(W63="Yes",_xlfn.IFS(AND(N63&gt;='Variable index'!$K$35,N63&lt;'Variable index'!$K$36),'Variable index'!$M$35,AND(N63&gt;='Variable index'!$K$36,N63&lt;'Variable index'!$K$37),'Variable index'!$M$36,AND(N63&gt;='Variable index'!$K$37,N63&lt;'Variable index'!$K$38),'Variable index'!$M$37,N63&gt;='Variable index'!$K$38,'Variable index'!$M$38),W63="No",0),"")</f>
        <v/>
      </c>
      <c r="Y63" s="188"/>
      <c r="Z63" s="338" t="str" cm="1">
        <f t="array" ref="Z63">IF(Y63&lt;&gt;"",_xlfn.IFS(Y63='Variable index'!$J$53,SUM('Variable index'!$K$48:$M$48),Y63='Variable index'!$J$54,SUM('Variable index'!$L$48:$M$48),Y63='Variable index'!$J$55,SUM('Variable index'!$M$48)),"")</f>
        <v/>
      </c>
      <c r="AA63" s="337" t="str" cm="1">
        <f t="array" ref="AA63">IFERROR(N63*(1+_xlfn.XLOOKUP(O63,'Rawlinsons regional indices'!$A$2:$A$63,'Rawlinsons regional indices'!$C$2:$C$63)+Q63+_xlfn.IFS(P63&lt;'Variable index'!$J$17,'Variable index'!$K$13,AND(P63&gt;='Variable index'!$J$17,P63&lt;'Variable index'!$J$18),'Variable index'!$L$13,P63&gt;='Variable index'!$J$18,'Variable index'!$M$13))+IF(R63&lt;&gt;"",INDEX('Variable index'!$E$57:$F$65,MATCH(R63,'Variable index'!$C$57:$C$65,0),$F$12)*S63)+IF(T63&lt;&gt;"",INDEX('Variable index'!$E$68:$F$73,MATCH(T63,'Variable index'!$C$68:$C$73,0),$F$12)*U63)+(N63*V63)+(N63*X63)+(N63*Z63),"")</f>
        <v/>
      </c>
      <c r="AB63" s="300"/>
      <c r="AC63" s="337" t="str">
        <f t="shared" si="1"/>
        <v/>
      </c>
      <c r="AD63" s="340" t="str">
        <f t="shared" si="2"/>
        <v/>
      </c>
    </row>
    <row r="64" spans="4:30" ht="12" x14ac:dyDescent="0.25">
      <c r="D64" s="216">
        <f t="shared" si="0"/>
        <v>48</v>
      </c>
      <c r="E64" s="312"/>
      <c r="F64" s="187"/>
      <c r="G64" s="96"/>
      <c r="H64" s="260">
        <f>IFERROR(_xlfn.XLOOKUP(F64,Lists!$C$10:$C$41,Lists!$D$10:$D$41),0)</f>
        <v>0</v>
      </c>
      <c r="I64" s="96"/>
      <c r="J64" s="185"/>
      <c r="K64" s="331" t="str" cm="1">
        <f t="array" ref="K64">IFERROR(IF($H64=0,INDEX('Variable index'!$E$6:$F$51,MATCH($F64,'Variable index'!$C$6:$C$51,0),$F$12),INDEX('Variable index'!$E$6:$F$51,MATCH(_xlfn.CONCAT($F64," - ",$G64),'Variable index'!$C$6:$C$51,0),$F$12)),"")</f>
        <v/>
      </c>
      <c r="L64" s="332" t="str">
        <f>IFERROR(_xlfn.CONCAT("$ per ",IF($H64=0,_xlfn.XLOOKUP($F64,'Variable index'!$C$6:$C$51,'Variable index'!$D$6:$D$51),_xlfn.XLOOKUP(_xlfn.CONCAT($F64," - ",$G64),'Variable index'!$C$6:$C$51,'Variable index'!$D$6:$D$51))),"")</f>
        <v/>
      </c>
      <c r="M64" s="140"/>
      <c r="N64" s="335" t="str">
        <f>IFERROR(IF(TableTransport[[#This Row],[Unit quantity]]="","",TableTransport[[#This Row],[Unit rate]]*TableTransport[[#This Row],[Unit quantity]]),"")</f>
        <v/>
      </c>
      <c r="O64" s="247" t="str">
        <f>IF(TableTransport[[#This Row],[Type of infrastructure]]&lt;&gt;"",Summary!$F$8,"")</f>
        <v/>
      </c>
      <c r="P64" s="246" t="str">
        <f>IF(TableTransport[[#This Row],[Type of infrastructure]]&lt;&gt;"",Summary!$F$9,"")</f>
        <v/>
      </c>
      <c r="Q64" s="241"/>
      <c r="R64" s="188"/>
      <c r="S64" s="140"/>
      <c r="T64" s="188"/>
      <c r="U64" s="140"/>
      <c r="V64" s="338" t="str" cm="1">
        <f t="array" ref="V64">IF(N64&lt;&gt;"",_xlfn.IFS(AND(N64&gt;='Variable index'!$K$35,N64&lt;'Variable index'!$K$36),'Variable index'!$L$35,AND(N64&gt;='Variable index'!$K$36,N64&lt;'Variable index'!$K$37),'Variable index'!$L$36,AND(N64&gt;='Variable index'!$K$37,N64&lt;'Variable index'!$K$38),'Variable index'!$L$37,N64&gt;='Variable index'!$K$38,'Variable index'!$L$38),"")</f>
        <v/>
      </c>
      <c r="W64" s="237"/>
      <c r="X64" s="336" t="str" cm="1">
        <f t="array" ref="X64">IF(AND(W64&lt;&gt;"",N64&lt;&gt;""),_xlfn.IFS(W64="Yes",_xlfn.IFS(AND(N64&gt;='Variable index'!$K$35,N64&lt;'Variable index'!$K$36),'Variable index'!$M$35,AND(N64&gt;='Variable index'!$K$36,N64&lt;'Variable index'!$K$37),'Variable index'!$M$36,AND(N64&gt;='Variable index'!$K$37,N64&lt;'Variable index'!$K$38),'Variable index'!$M$37,N64&gt;='Variable index'!$K$38,'Variable index'!$M$38),W64="No",0),"")</f>
        <v/>
      </c>
      <c r="Y64" s="188"/>
      <c r="Z64" s="338" t="str" cm="1">
        <f t="array" ref="Z64">IF(Y64&lt;&gt;"",_xlfn.IFS(Y64='Variable index'!$J$53,SUM('Variable index'!$K$48:$M$48),Y64='Variable index'!$J$54,SUM('Variable index'!$L$48:$M$48),Y64='Variable index'!$J$55,SUM('Variable index'!$M$48)),"")</f>
        <v/>
      </c>
      <c r="AA64" s="337" t="str" cm="1">
        <f t="array" ref="AA64">IFERROR(N64*(1+_xlfn.XLOOKUP(O64,'Rawlinsons regional indices'!$A$2:$A$63,'Rawlinsons regional indices'!$C$2:$C$63)+Q64+_xlfn.IFS(P64&lt;'Variable index'!$J$17,'Variable index'!$K$13,AND(P64&gt;='Variable index'!$J$17,P64&lt;'Variable index'!$J$18),'Variable index'!$L$13,P64&gt;='Variable index'!$J$18,'Variable index'!$M$13))+IF(R64&lt;&gt;"",INDEX('Variable index'!$E$57:$F$65,MATCH(R64,'Variable index'!$C$57:$C$65,0),$F$12)*S64)+IF(T64&lt;&gt;"",INDEX('Variable index'!$E$68:$F$73,MATCH(T64,'Variable index'!$C$68:$C$73,0),$F$12)*U64)+(N64*V64)+(N64*X64)+(N64*Z64),"")</f>
        <v/>
      </c>
      <c r="AB64" s="300"/>
      <c r="AC64" s="337" t="str">
        <f t="shared" si="1"/>
        <v/>
      </c>
      <c r="AD64" s="340" t="str">
        <f t="shared" si="2"/>
        <v/>
      </c>
    </row>
    <row r="65" spans="4:30" ht="12" x14ac:dyDescent="0.25">
      <c r="D65" s="216">
        <f t="shared" si="0"/>
        <v>49</v>
      </c>
      <c r="E65" s="312"/>
      <c r="F65" s="187"/>
      <c r="G65" s="96"/>
      <c r="H65" s="260">
        <f>IFERROR(_xlfn.XLOOKUP(F65,Lists!$C$10:$C$41,Lists!$D$10:$D$41),0)</f>
        <v>0</v>
      </c>
      <c r="I65" s="96"/>
      <c r="J65" s="185"/>
      <c r="K65" s="331" t="str" cm="1">
        <f t="array" ref="K65">IFERROR(IF($H65=0,INDEX('Variable index'!$E$6:$F$51,MATCH($F65,'Variable index'!$C$6:$C$51,0),$F$12),INDEX('Variable index'!$E$6:$F$51,MATCH(_xlfn.CONCAT($F65," - ",$G65),'Variable index'!$C$6:$C$51,0),$F$12)),"")</f>
        <v/>
      </c>
      <c r="L65" s="332" t="str">
        <f>IFERROR(_xlfn.CONCAT("$ per ",IF($H65=0,_xlfn.XLOOKUP($F65,'Variable index'!$C$6:$C$51,'Variable index'!$D$6:$D$51),_xlfn.XLOOKUP(_xlfn.CONCAT($F65," - ",$G65),'Variable index'!$C$6:$C$51,'Variable index'!$D$6:$D$51))),"")</f>
        <v/>
      </c>
      <c r="M65" s="140"/>
      <c r="N65" s="335" t="str">
        <f>IFERROR(IF(TableTransport[[#This Row],[Unit quantity]]="","",TableTransport[[#This Row],[Unit rate]]*TableTransport[[#This Row],[Unit quantity]]),"")</f>
        <v/>
      </c>
      <c r="O65" s="247" t="str">
        <f>IF(TableTransport[[#This Row],[Type of infrastructure]]&lt;&gt;"",Summary!$F$8,"")</f>
        <v/>
      </c>
      <c r="P65" s="246" t="str">
        <f>IF(TableTransport[[#This Row],[Type of infrastructure]]&lt;&gt;"",Summary!$F$9,"")</f>
        <v/>
      </c>
      <c r="Q65" s="241"/>
      <c r="R65" s="188"/>
      <c r="S65" s="140"/>
      <c r="T65" s="188"/>
      <c r="U65" s="140"/>
      <c r="V65" s="338" t="str" cm="1">
        <f t="array" ref="V65">IF(N65&lt;&gt;"",_xlfn.IFS(AND(N65&gt;='Variable index'!$K$35,N65&lt;'Variable index'!$K$36),'Variable index'!$L$35,AND(N65&gt;='Variable index'!$K$36,N65&lt;'Variable index'!$K$37),'Variable index'!$L$36,AND(N65&gt;='Variable index'!$K$37,N65&lt;'Variable index'!$K$38),'Variable index'!$L$37,N65&gt;='Variable index'!$K$38,'Variable index'!$L$38),"")</f>
        <v/>
      </c>
      <c r="W65" s="237"/>
      <c r="X65" s="336" t="str" cm="1">
        <f t="array" ref="X65">IF(AND(W65&lt;&gt;"",N65&lt;&gt;""),_xlfn.IFS(W65="Yes",_xlfn.IFS(AND(N65&gt;='Variable index'!$K$35,N65&lt;'Variable index'!$K$36),'Variable index'!$M$35,AND(N65&gt;='Variable index'!$K$36,N65&lt;'Variable index'!$K$37),'Variable index'!$M$36,AND(N65&gt;='Variable index'!$K$37,N65&lt;'Variable index'!$K$38),'Variable index'!$M$37,N65&gt;='Variable index'!$K$38,'Variable index'!$M$38),W65="No",0),"")</f>
        <v/>
      </c>
      <c r="Y65" s="188"/>
      <c r="Z65" s="338" t="str" cm="1">
        <f t="array" ref="Z65">IF(Y65&lt;&gt;"",_xlfn.IFS(Y65='Variable index'!$J$53,SUM('Variable index'!$K$48:$M$48),Y65='Variable index'!$J$54,SUM('Variable index'!$L$48:$M$48),Y65='Variable index'!$J$55,SUM('Variable index'!$M$48)),"")</f>
        <v/>
      </c>
      <c r="AA65" s="337" t="str" cm="1">
        <f t="array" ref="AA65">IFERROR(N65*(1+_xlfn.XLOOKUP(O65,'Rawlinsons regional indices'!$A$2:$A$63,'Rawlinsons regional indices'!$C$2:$C$63)+Q65+_xlfn.IFS(P65&lt;'Variable index'!$J$17,'Variable index'!$K$13,AND(P65&gt;='Variable index'!$J$17,P65&lt;'Variable index'!$J$18),'Variable index'!$L$13,P65&gt;='Variable index'!$J$18,'Variable index'!$M$13))+IF(R65&lt;&gt;"",INDEX('Variable index'!$E$57:$F$65,MATCH(R65,'Variable index'!$C$57:$C$65,0),$F$12)*S65)+IF(T65&lt;&gt;"",INDEX('Variable index'!$E$68:$F$73,MATCH(T65,'Variable index'!$C$68:$C$73,0),$F$12)*U65)+(N65*V65)+(N65*X65)+(N65*Z65),"")</f>
        <v/>
      </c>
      <c r="AB65" s="300"/>
      <c r="AC65" s="337" t="str">
        <f t="shared" si="1"/>
        <v/>
      </c>
      <c r="AD65" s="340" t="str">
        <f t="shared" si="2"/>
        <v/>
      </c>
    </row>
    <row r="66" spans="4:30" ht="12" x14ac:dyDescent="0.25">
      <c r="D66" s="216">
        <f t="shared" si="0"/>
        <v>50</v>
      </c>
      <c r="E66" s="312"/>
      <c r="F66" s="187"/>
      <c r="G66" s="96"/>
      <c r="H66" s="260">
        <f>IFERROR(_xlfn.XLOOKUP(F66,Lists!$C$10:$C$41,Lists!$D$10:$D$41),0)</f>
        <v>0</v>
      </c>
      <c r="I66" s="96"/>
      <c r="J66" s="185"/>
      <c r="K66" s="331" t="str" cm="1">
        <f t="array" ref="K66">IFERROR(IF($H66=0,INDEX('Variable index'!$E$6:$F$51,MATCH($F66,'Variable index'!$C$6:$C$51,0),$F$12),INDEX('Variable index'!$E$6:$F$51,MATCH(_xlfn.CONCAT($F66," - ",$G66),'Variable index'!$C$6:$C$51,0),$F$12)),"")</f>
        <v/>
      </c>
      <c r="L66" s="332" t="str">
        <f>IFERROR(_xlfn.CONCAT("$ per ",IF($H66=0,_xlfn.XLOOKUP($F66,'Variable index'!$C$6:$C$51,'Variable index'!$D$6:$D$51),_xlfn.XLOOKUP(_xlfn.CONCAT($F66," - ",$G66),'Variable index'!$C$6:$C$51,'Variable index'!$D$6:$D$51))),"")</f>
        <v/>
      </c>
      <c r="M66" s="140"/>
      <c r="N66" s="335" t="str">
        <f>IFERROR(IF(TableTransport[[#This Row],[Unit quantity]]="","",TableTransport[[#This Row],[Unit rate]]*TableTransport[[#This Row],[Unit quantity]]),"")</f>
        <v/>
      </c>
      <c r="O66" s="247" t="str">
        <f>IF(TableTransport[[#This Row],[Type of infrastructure]]&lt;&gt;"",Summary!$F$8,"")</f>
        <v/>
      </c>
      <c r="P66" s="246" t="str">
        <f>IF(TableTransport[[#This Row],[Type of infrastructure]]&lt;&gt;"",Summary!$F$9,"")</f>
        <v/>
      </c>
      <c r="Q66" s="241"/>
      <c r="R66" s="188"/>
      <c r="S66" s="140"/>
      <c r="T66" s="188"/>
      <c r="U66" s="140"/>
      <c r="V66" s="338" t="str" cm="1">
        <f t="array" ref="V66">IF(N66&lt;&gt;"",_xlfn.IFS(AND(N66&gt;='Variable index'!$K$35,N66&lt;'Variable index'!$K$36),'Variable index'!$L$35,AND(N66&gt;='Variable index'!$K$36,N66&lt;'Variable index'!$K$37),'Variable index'!$L$36,AND(N66&gt;='Variable index'!$K$37,N66&lt;'Variable index'!$K$38),'Variable index'!$L$37,N66&gt;='Variable index'!$K$38,'Variable index'!$L$38),"")</f>
        <v/>
      </c>
      <c r="W66" s="237"/>
      <c r="X66" s="336" t="str" cm="1">
        <f t="array" ref="X66">IF(AND(W66&lt;&gt;"",N66&lt;&gt;""),_xlfn.IFS(W66="Yes",_xlfn.IFS(AND(N66&gt;='Variable index'!$K$35,N66&lt;'Variable index'!$K$36),'Variable index'!$M$35,AND(N66&gt;='Variable index'!$K$36,N66&lt;'Variable index'!$K$37),'Variable index'!$M$36,AND(N66&gt;='Variable index'!$K$37,N66&lt;'Variable index'!$K$38),'Variable index'!$M$37,N66&gt;='Variable index'!$K$38,'Variable index'!$M$38),W66="No",0),"")</f>
        <v/>
      </c>
      <c r="Y66" s="188"/>
      <c r="Z66" s="338" t="str" cm="1">
        <f t="array" ref="Z66">IF(Y66&lt;&gt;"",_xlfn.IFS(Y66='Variable index'!$J$53,SUM('Variable index'!$K$48:$M$48),Y66='Variable index'!$J$54,SUM('Variable index'!$L$48:$M$48),Y66='Variable index'!$J$55,SUM('Variable index'!$M$48)),"")</f>
        <v/>
      </c>
      <c r="AA66" s="337" t="str" cm="1">
        <f t="array" ref="AA66">IFERROR(N66*(1+_xlfn.XLOOKUP(O66,'Rawlinsons regional indices'!$A$2:$A$63,'Rawlinsons regional indices'!$C$2:$C$63)+Q66+_xlfn.IFS(P66&lt;'Variable index'!$J$17,'Variable index'!$K$13,AND(P66&gt;='Variable index'!$J$17,P66&lt;'Variable index'!$J$18),'Variable index'!$L$13,P66&gt;='Variable index'!$J$18,'Variable index'!$M$13))+IF(R66&lt;&gt;"",INDEX('Variable index'!$E$57:$F$65,MATCH(R66,'Variable index'!$C$57:$C$65,0),$F$12)*S66)+IF(T66&lt;&gt;"",INDEX('Variable index'!$E$68:$F$73,MATCH(T66,'Variable index'!$C$68:$C$73,0),$F$12)*U66)+(N66*V66)+(N66*X66)+(N66*Z66),"")</f>
        <v/>
      </c>
      <c r="AB66" s="300"/>
      <c r="AC66" s="337" t="str">
        <f t="shared" si="1"/>
        <v/>
      </c>
      <c r="AD66" s="340" t="str">
        <f t="shared" si="2"/>
        <v/>
      </c>
    </row>
    <row r="67" spans="4:30" x14ac:dyDescent="0.2">
      <c r="F67" s="153"/>
    </row>
    <row r="68" spans="4:30" ht="12" x14ac:dyDescent="0.25">
      <c r="F68" s="27"/>
    </row>
  </sheetData>
  <sheetProtection algorithmName="SHA-512" hashValue="H79GBhdGstKbYzMnMF1yddCN+GHRD9253QWTDo5XS48M+X3isFmtAm5XSTS4Y0pJqvEntLtvB75YI0Wm7wpx1Q==" saltValue="h8rRayuaymC2/2WbLKRZ1A==" spinCount="100000" sheet="1" objects="1" scenarios="1"/>
  <phoneticPr fontId="45" type="noConversion"/>
  <dataValidations xWindow="1574" yWindow="598" count="21">
    <dataValidation allowBlank="1" showInputMessage="1" showErrorMessage="1" promptTitle="Unit" prompt="This is the unit that the local infrastructure item's benchmark cost is based on." sqref="L17:L66" xr:uid="{507DC007-4649-4903-BB8D-A8F8C2FE1A56}"/>
    <dataValidation type="decimal" operator="greaterThan" allowBlank="1" showInputMessage="1" showErrorMessage="1" promptTitle="Enter unit quantity" prompt="Type in the unit quantity for the type of infrastructure selected. For example, type in '100' for a new local road of 100 metres, or type in '6' for 6 bus shelters." sqref="M17:M66" xr:uid="{528B9F31-E962-4EDE-A527-9D8FE1F22013}">
      <formula1>0</formula1>
    </dataValidation>
    <dataValidation allowBlank="1" showInputMessage="1" showErrorMessage="1" promptTitle="Benchmark base cost" prompt="This is the benchmark base construction cost for this local infrastructure item, based on the unit quantity entered. This does not include any adjustment factors." sqref="N17:N66" xr:uid="{E5DDC915-0BA5-45A5-9189-6C981010A7ED}"/>
    <dataValidation allowBlank="1" showInputMessage="1" showErrorMessage="1" promptTitle="Proximity to raw materials" prompt="Proximity to raw materials in kilometres is taken from distance entered in the Summary page." sqref="P17:P66" xr:uid="{C9047233-B4C7-4355-B4B3-9514895F6ECD}"/>
    <dataValidation type="decimal" operator="lessThanOrEqual" allowBlank="1" showInputMessage="1" showErrorMessage="1" promptTitle="Enter site constraint" prompt="Type in the site constraint factor for this item as a percentage. For infill works, the maximum percentage is 40%. For greenfield works, the maximum percentage is 15%. Evidence of the site constraint will be required." sqref="Q17:Q66" xr:uid="{F80C55D5-DAF8-4F54-B229-D88C2F20CDC4}">
      <formula1>0.4</formula1>
    </dataValidation>
    <dataValidation type="decimal" operator="greaterThan" allowBlank="1" showInputMessage="1" showErrorMessage="1" promptTitle="Enter disposal quantity" prompt="Type in the quantity of waste to be disposed in tonnes. For example, type in '5' for 5 tonnes of waste disposal. Leave blank if not applicable." sqref="S17:S66" xr:uid="{022E199D-B399-49A3-B3BA-A6047350612D}">
      <formula1>0</formula1>
    </dataValidation>
    <dataValidation type="decimal" operator="greaterThan" allowBlank="1" showInputMessage="1" showErrorMessage="1" promptTitle="Enter contaminated land area" prompt="Type in the area of contaminated land remediation in square metres. For example, type in '20' for 20 square metres of contaminated land remediation. Leave blank if not applicable." sqref="U17:U66" xr:uid="{7A990264-D711-4E92-94F8-84983665FD18}">
      <formula1>0</formula1>
    </dataValidation>
    <dataValidation allowBlank="1" showInputMessage="1" showErrorMessage="1" promptTitle="On costs" prompt="On cost percentage will appear once the local infrastructure item's benchmark base construction cost has been calculated (Column N). The on cost percentage is based on the base construction cost of the item." sqref="V17:V66" xr:uid="{4DFFDCB0-69C0-4370-BB2C-B589E79C9154}"/>
    <dataValidation allowBlank="1" showInputMessage="1" showErrorMessage="1" promptTitle="Cultural heritage allowance" prompt="A cultural heritage allowance will appear once the item's benchmark base construction cost has been calculated (Column N) and 'Yes' or 'No' is selected from the drop-down in Column W. The allowance is based on the base construction cost of the item." sqref="X17:X66" xr:uid="{6BEC8FD8-A01A-4957-BA51-B486C205021E}"/>
    <dataValidation allowBlank="1" showInputMessage="1" showErrorMessage="1" promptTitle="Contingency" prompt="Contingency percentage for the local infrastructure item will appear once a selection is made from the drop-down in Column Y. The contingency percentage is based on the base construction cost of the item." sqref="Z17:Z66" xr:uid="{7050E704-73E6-474E-8941-C8A690CB8CFB}"/>
    <dataValidation allowBlank="1" showInputMessage="1" showErrorMessage="1" promptTitle="Total benchmark cost" prompt="This is the total benchmark cost for this local infrastructure item, based on the unit quantity entered. This includes all applicable adjustment factors." sqref="AA17:AA66" xr:uid="{79245DDD-01DB-4CF2-A5D3-FC13F6E21AA4}"/>
    <dataValidation allowBlank="1" showInputMessage="1" showErrorMessage="1" promptTitle="Council costing" prompt="Type in the cost that has been quoted to council from a quantity surveyor report or other supporting cost evidence. Note that this cost will be compared to the total benchmark cost, which includes all adjustment factors." sqref="AB17:AB66" xr:uid="{36C4206C-4EB5-46FC-8A98-F2882BCD6084}"/>
    <dataValidation allowBlank="1" showInputMessage="1" showErrorMessage="1" promptTitle="Dollar cost comparison" prompt="This is the difference between your works schedule's cost and IPART's benchmark cost for the infrastructure item in dollars." sqref="AC17:AC66" xr:uid="{FB6B367C-6174-4C57-9587-B491B8E49B8C}"/>
    <dataValidation allowBlank="1" showInputMessage="1" showErrorMessage="1" promptTitle="Percentage cost comparison" prompt="This is the difference between your works schedule's cost and IPART's benchmark cost for the infrastructure item as a percentage." sqref="AD17:AD66" xr:uid="{2DC44790-DA87-4AB9-9C6D-1E2A8BD1A858}"/>
    <dataValidation allowBlank="1" showInputMessage="1" showErrorMessage="1" promptTitle="Location" prompt="Relevant Rawlinsons regional indices factor is taken from the location selected in the Summary page." sqref="O17:O66" xr:uid="{EBBC4A6E-7FA2-4B3A-916E-005819945CF7}"/>
    <dataValidation type="list" errorStyle="warning" allowBlank="1" showInputMessage="1" showErrorMessage="1" errorTitle="Choose from drop-down" error="Select infrastructure item from drop-down list." promptTitle="Select sub-item" prompt="Select the local infrastructure sub-item from the drop-down list. If the type of infrastructure does not have an applicable sub-item, a drop-down list will not appear." sqref="G17:G66" xr:uid="{57471CA1-3E72-4021-9EB1-CBCC7D409E8F}">
      <formula1>INDIRECT($H17)</formula1>
    </dataValidation>
    <dataValidation errorStyle="warning" allowBlank="1" showInputMessage="1" showErrorMessage="1" errorTitle="Choose from drop-down" error="Select infrastructure item from drop-down list." sqref="H16:H66 I16:J16" xr:uid="{B0B21FAA-8C84-4F9F-A3F2-A485924D3324}"/>
    <dataValidation errorStyle="warning" allowBlank="1" showInputMessage="1" showErrorMessage="1" errorTitle="Choose from drop-down" error="Select infrastructure item from drop-down list." promptTitle="Enter item description" prompt="Type in an optional description for the local infrastructure item." sqref="I17:I66" xr:uid="{23C63D74-F56A-4391-8D9E-8DF3F0CD7ABD}"/>
    <dataValidation allowBlank="1" showInputMessage="1" showErrorMessage="1" promptTitle="Enter item reference" prompt="Type in the reference/identifier for the local infrastructure item." sqref="E17:E66" xr:uid="{E988E1A1-C8EB-4CF9-9F3E-CD9D50AAAB39}"/>
    <dataValidation allowBlank="1" showInputMessage="1" showErrorMessage="1" promptTitle="Unit rate" prompt="Benchmark unit rate for an infrastructure item will appear once an item is selected in Column F and, if applicable, a sub-item is selected in Column G." sqref="K17:K66" xr:uid="{826AC763-4458-4127-8C27-F3C9F039E226}"/>
    <dataValidation type="list" errorStyle="warning" allowBlank="1" showInputMessage="1" showErrorMessage="1" errorTitle="Choose from drop-down" error="Select infrastructure item from drop-down list." promptTitle="Select work project" prompt="Select the overarching project that the local infrastructure item is part of. The dropdown list is pulled from the 'Total project costs' worksheet, where the costs for individual items are rolled up to the project level." sqref="J17:J66" xr:uid="{3FAC363E-90EE-4670-B601-FE2FD99DEFC1}">
      <formula1>WorkProjects</formula1>
    </dataValidation>
  </dataValidations>
  <pageMargins left="0.7" right="0.7" top="0.75" bottom="0.75" header="0.3" footer="0.3"/>
  <pageSetup paperSize="9"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xWindow="1574" yWindow="598" count="5">
        <x14:dataValidation type="list" allowBlank="1" showInputMessage="1" showErrorMessage="1" promptTitle="Select stage of development" prompt="Select the stage of development that the infrastructure item is at from the drop-down list. This will allow for the appropriate contingency factor to be applied." xr:uid="{FFB43BBB-CEEC-47B7-BB96-3B66AF921730}">
          <x14:formula1>
            <xm:f>'Variable index'!$K$47:$M$47</xm:f>
          </x14:formula1>
          <xm:sqref>Y17:Y66</xm:sqref>
        </x14:dataValidation>
        <x14:dataValidation type="list" allowBlank="1" showInputMessage="1" showErrorMessage="1" promptTitle="Cultural heritage" prompt="Select 'Yes' or 'No' from the drop-down list if further costs are expected to be incurred on the site for this work due to cultural heritage." xr:uid="{FD689A1C-21A0-4152-90C3-FD64BE025BB8}">
          <x14:formula1>
            <xm:f>'Variable index'!$J$41:$J$42</xm:f>
          </x14:formula1>
          <xm:sqref>W17:W66</xm:sqref>
        </x14:dataValidation>
        <x14:dataValidation type="list" errorStyle="warning" allowBlank="1" showInputMessage="1" showErrorMessage="1" errorTitle="Choose from drop-down" error="Select infrastructure item from drop-down list." promptTitle="Select item" prompt="Select the local infrastructure item from the drop-down list." xr:uid="{43AF139B-5343-4A52-834C-FA74596B0C64}">
          <x14:formula1>
            <xm:f>Lists!$C$10:$C$41</xm:f>
          </x14:formula1>
          <xm:sqref>F17:F66</xm:sqref>
        </x14:dataValidation>
        <x14:dataValidation type="list" allowBlank="1" showInputMessage="1" showErrorMessage="1" promptTitle="Select waste disposal" prompt="Only if applicable, select the type of waste disposal required for the item from the drop-down list. Leave blank if not applicable." xr:uid="{86BEAAE0-F8DE-45D9-B0FD-80FBA2F7ABA8}">
          <x14:formula1>
            <xm:f>'Variable index'!$C$57:$C$65</xm:f>
          </x14:formula1>
          <xm:sqref>R17:R66</xm:sqref>
        </x14:dataValidation>
        <x14:dataValidation type="list" allowBlank="1" showInputMessage="1" showErrorMessage="1" promptTitle="Select land contamination" prompt="Only if applicable, select the type of land contamination remediation required for the item from the drop-down list. Leave blank if not applicable." xr:uid="{6E8FA3D8-063D-4E6F-B605-0DFBFF3E121F}">
          <x14:formula1>
            <xm:f>'Variable index'!$C$68:$C$73</xm:f>
          </x14:formula1>
          <xm:sqref>T17:T66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38592-7757-4F8C-B1B5-A9328997BE2E}">
  <sheetPr codeName="Sheet13">
    <tabColor rgb="FF93B9FF"/>
  </sheetPr>
  <dimension ref="D4:GW57"/>
  <sheetViews>
    <sheetView showGridLines="0" zoomScaleNormal="100" workbookViewId="0">
      <pane xSplit="4" topLeftCell="E1" activePane="topRight" state="frozen"/>
      <selection pane="topRight"/>
    </sheetView>
  </sheetViews>
  <sheetFormatPr defaultRowHeight="11.4" x14ac:dyDescent="0.2"/>
  <cols>
    <col min="1" max="3" width="3.25" customWidth="1"/>
    <col min="4" max="4" width="40.375" customWidth="1"/>
    <col min="5" max="5" width="4" customWidth="1"/>
    <col min="6" max="6" width="34" customWidth="1"/>
    <col min="7" max="7" width="11.25" customWidth="1"/>
    <col min="8" max="8" width="12.25" customWidth="1"/>
    <col min="9" max="9" width="4" customWidth="1"/>
    <col min="10" max="10" width="34.125" customWidth="1"/>
    <col min="11" max="11" width="11.25" customWidth="1"/>
    <col min="12" max="12" width="12.25" customWidth="1"/>
    <col min="13" max="13" width="4" customWidth="1"/>
    <col min="14" max="14" width="34.125" customWidth="1"/>
    <col min="15" max="15" width="11.25" customWidth="1"/>
    <col min="16" max="16" width="12.25" customWidth="1"/>
    <col min="17" max="17" width="4" customWidth="1"/>
    <col min="18" max="18" width="34.125" customWidth="1"/>
    <col min="19" max="19" width="11.25" customWidth="1"/>
    <col min="20" max="20" width="12.25" customWidth="1"/>
    <col min="21" max="21" width="4" customWidth="1"/>
    <col min="22" max="22" width="34.125" customWidth="1"/>
    <col min="23" max="23" width="11.25" customWidth="1"/>
    <col min="24" max="24" width="12.25" customWidth="1"/>
    <col min="25" max="25" width="4" customWidth="1"/>
    <col min="26" max="26" width="34.125" customWidth="1"/>
    <col min="27" max="27" width="11.25" customWidth="1"/>
    <col min="28" max="28" width="12.25" customWidth="1"/>
    <col min="29" max="29" width="4" customWidth="1"/>
    <col min="30" max="30" width="34.125" customWidth="1"/>
    <col min="31" max="31" width="11.25" customWidth="1"/>
    <col min="32" max="32" width="12.25" customWidth="1"/>
    <col min="33" max="33" width="4" customWidth="1"/>
    <col min="34" max="34" width="34.125" customWidth="1"/>
    <col min="35" max="35" width="11.25" customWidth="1"/>
    <col min="36" max="36" width="12.25" customWidth="1"/>
    <col min="37" max="37" width="4" customWidth="1"/>
    <col min="38" max="38" width="34.125" customWidth="1"/>
    <col min="39" max="39" width="11.25" customWidth="1"/>
    <col min="40" max="40" width="12.25" customWidth="1"/>
    <col min="41" max="41" width="4" customWidth="1"/>
    <col min="42" max="42" width="34.125" customWidth="1"/>
    <col min="43" max="43" width="11.25" customWidth="1"/>
    <col min="44" max="44" width="12.25" customWidth="1"/>
    <col min="45" max="45" width="4" customWidth="1"/>
    <col min="46" max="46" width="34.125" customWidth="1"/>
    <col min="47" max="47" width="11.25" customWidth="1"/>
    <col min="48" max="48" width="12.25" customWidth="1"/>
    <col min="49" max="49" width="4" customWidth="1"/>
    <col min="50" max="50" width="34.125" customWidth="1"/>
    <col min="51" max="51" width="11.25" customWidth="1"/>
    <col min="52" max="52" width="12.25" customWidth="1"/>
    <col min="53" max="53" width="4" customWidth="1"/>
    <col min="54" max="54" width="34.125" customWidth="1"/>
    <col min="55" max="55" width="11.25" customWidth="1"/>
    <col min="56" max="56" width="12.25" customWidth="1"/>
    <col min="57" max="57" width="4" customWidth="1"/>
    <col min="58" max="58" width="34.125" customWidth="1"/>
    <col min="59" max="59" width="11.25" customWidth="1"/>
    <col min="60" max="60" width="12.25" customWidth="1"/>
    <col min="61" max="61" width="4" customWidth="1"/>
    <col min="62" max="62" width="34.125" customWidth="1"/>
    <col min="63" max="63" width="11.25" customWidth="1"/>
    <col min="64" max="64" width="12.25" customWidth="1"/>
    <col min="65" max="65" width="4" customWidth="1"/>
    <col min="66" max="66" width="34.125" customWidth="1"/>
    <col min="67" max="67" width="11.25" customWidth="1"/>
    <col min="68" max="68" width="12.25" customWidth="1"/>
    <col min="69" max="69" width="4" customWidth="1"/>
    <col min="70" max="70" width="34.125" customWidth="1"/>
    <col min="71" max="71" width="11.25" customWidth="1"/>
    <col min="72" max="72" width="12.25" customWidth="1"/>
    <col min="73" max="73" width="4" customWidth="1"/>
    <col min="74" max="74" width="34.125" customWidth="1"/>
    <col min="75" max="75" width="11.25" customWidth="1"/>
    <col min="76" max="76" width="12.25" customWidth="1"/>
    <col min="77" max="77" width="4" customWidth="1"/>
    <col min="78" max="78" width="34.125" customWidth="1"/>
    <col min="79" max="79" width="11.25" customWidth="1"/>
    <col min="80" max="80" width="12.25" customWidth="1"/>
    <col min="81" max="81" width="4" customWidth="1"/>
    <col min="82" max="82" width="34.125" customWidth="1"/>
    <col min="83" max="83" width="11.25" customWidth="1"/>
    <col min="84" max="84" width="12.25" customWidth="1"/>
    <col min="85" max="85" width="4" customWidth="1"/>
    <col min="86" max="86" width="34.125" customWidth="1"/>
    <col min="87" max="87" width="11.25" customWidth="1"/>
    <col min="88" max="88" width="12.25" customWidth="1"/>
    <col min="89" max="89" width="4" customWidth="1"/>
    <col min="90" max="90" width="34.125" customWidth="1"/>
    <col min="91" max="91" width="11.25" customWidth="1"/>
    <col min="92" max="92" width="12.25" customWidth="1"/>
    <col min="93" max="93" width="4" customWidth="1"/>
    <col min="94" max="94" width="34.125" customWidth="1"/>
    <col min="95" max="95" width="11.25" customWidth="1"/>
    <col min="96" max="96" width="12.25" customWidth="1"/>
    <col min="97" max="97" width="4" customWidth="1"/>
    <col min="98" max="98" width="34.125" customWidth="1"/>
    <col min="99" max="99" width="11.25" customWidth="1"/>
    <col min="100" max="100" width="12.25" customWidth="1"/>
    <col min="101" max="101" width="4" customWidth="1"/>
    <col min="102" max="102" width="34.125" customWidth="1"/>
    <col min="103" max="103" width="11.25" customWidth="1"/>
    <col min="104" max="104" width="12.25" customWidth="1"/>
    <col min="105" max="105" width="4" customWidth="1"/>
    <col min="106" max="106" width="34.125" customWidth="1"/>
    <col min="107" max="107" width="11.25" customWidth="1"/>
    <col min="108" max="108" width="12.25" customWidth="1"/>
    <col min="109" max="109" width="4" customWidth="1"/>
    <col min="110" max="110" width="34.125" customWidth="1"/>
    <col min="111" max="111" width="11.25" customWidth="1"/>
    <col min="112" max="112" width="12.25" customWidth="1"/>
    <col min="113" max="113" width="4" customWidth="1"/>
    <col min="114" max="114" width="34.125" customWidth="1"/>
    <col min="115" max="115" width="11.25" customWidth="1"/>
    <col min="116" max="116" width="12.25" customWidth="1"/>
    <col min="117" max="117" width="4" customWidth="1"/>
    <col min="118" max="118" width="34.125" customWidth="1"/>
    <col min="119" max="119" width="11.25" customWidth="1"/>
    <col min="120" max="120" width="12.25" customWidth="1"/>
    <col min="121" max="121" width="4" customWidth="1"/>
    <col min="122" max="122" width="34.125" customWidth="1"/>
    <col min="123" max="123" width="11.25" customWidth="1"/>
    <col min="124" max="124" width="12.25" customWidth="1"/>
    <col min="125" max="125" width="4" customWidth="1"/>
    <col min="126" max="126" width="34.125" customWidth="1"/>
    <col min="127" max="127" width="11.25" customWidth="1"/>
    <col min="128" max="128" width="12.25" customWidth="1"/>
    <col min="129" max="129" width="4" customWidth="1"/>
    <col min="130" max="130" width="34.125" customWidth="1"/>
    <col min="131" max="131" width="11.25" customWidth="1"/>
    <col min="132" max="132" width="12.25" customWidth="1"/>
    <col min="133" max="133" width="4" customWidth="1"/>
    <col min="134" max="134" width="34.125" customWidth="1"/>
    <col min="135" max="135" width="11.25" customWidth="1"/>
    <col min="136" max="136" width="12.25" customWidth="1"/>
    <col min="137" max="137" width="4" customWidth="1"/>
    <col min="138" max="138" width="34.125" customWidth="1"/>
    <col min="139" max="139" width="11.25" customWidth="1"/>
    <col min="140" max="140" width="12.25" customWidth="1"/>
    <col min="141" max="141" width="4" customWidth="1"/>
    <col min="142" max="142" width="34.125" customWidth="1"/>
    <col min="143" max="143" width="11.25" customWidth="1"/>
    <col min="144" max="144" width="12.25" customWidth="1"/>
    <col min="145" max="145" width="4" customWidth="1"/>
    <col min="146" max="146" width="34.125" customWidth="1"/>
    <col min="147" max="147" width="11.25" customWidth="1"/>
    <col min="148" max="148" width="12.25" customWidth="1"/>
    <col min="149" max="149" width="4" customWidth="1"/>
    <col min="150" max="150" width="34.125" customWidth="1"/>
    <col min="151" max="151" width="11.25" customWidth="1"/>
    <col min="152" max="152" width="12.25" customWidth="1"/>
    <col min="153" max="153" width="4" customWidth="1"/>
    <col min="154" max="154" width="34.125" customWidth="1"/>
    <col min="155" max="155" width="11.25" customWidth="1"/>
    <col min="156" max="156" width="12.25" customWidth="1"/>
    <col min="157" max="157" width="4" customWidth="1"/>
    <col min="158" max="158" width="34.125" customWidth="1"/>
    <col min="159" max="159" width="11.25" customWidth="1"/>
    <col min="160" max="160" width="12.25" customWidth="1"/>
    <col min="161" max="161" width="4" customWidth="1"/>
    <col min="162" max="162" width="34.125" customWidth="1"/>
    <col min="163" max="163" width="11.25" customWidth="1"/>
    <col min="164" max="164" width="12.25" customWidth="1"/>
    <col min="165" max="165" width="4" customWidth="1"/>
    <col min="166" max="166" width="34.125" customWidth="1"/>
    <col min="167" max="167" width="11.25" customWidth="1"/>
    <col min="168" max="168" width="12.25" customWidth="1"/>
    <col min="169" max="169" width="4" customWidth="1"/>
    <col min="170" max="170" width="34.125" customWidth="1"/>
    <col min="171" max="171" width="11.25" customWidth="1"/>
    <col min="172" max="172" width="12.25" customWidth="1"/>
    <col min="173" max="173" width="4" customWidth="1"/>
    <col min="174" max="174" width="34.125" customWidth="1"/>
    <col min="175" max="175" width="11.25" customWidth="1"/>
    <col min="176" max="176" width="12.25" customWidth="1"/>
    <col min="177" max="177" width="4" customWidth="1"/>
    <col min="178" max="178" width="34.125" customWidth="1"/>
    <col min="179" max="179" width="11.25" customWidth="1"/>
    <col min="180" max="180" width="12.25" customWidth="1"/>
    <col min="181" max="181" width="4" customWidth="1"/>
    <col min="182" max="182" width="34.125" customWidth="1"/>
    <col min="183" max="183" width="11.25" customWidth="1"/>
    <col min="184" max="184" width="12.25" customWidth="1"/>
    <col min="185" max="185" width="4" customWidth="1"/>
    <col min="186" max="186" width="34.125" customWidth="1"/>
    <col min="187" max="187" width="11.25" customWidth="1"/>
    <col min="188" max="188" width="12.25" customWidth="1"/>
    <col min="189" max="189" width="4" customWidth="1"/>
    <col min="190" max="190" width="34.125" customWidth="1"/>
    <col min="191" max="191" width="11.25" customWidth="1"/>
    <col min="192" max="192" width="12.25" customWidth="1"/>
    <col min="193" max="193" width="4" customWidth="1"/>
    <col min="194" max="194" width="34.125" customWidth="1"/>
    <col min="195" max="195" width="11.25" customWidth="1"/>
    <col min="196" max="196" width="12.25" customWidth="1"/>
    <col min="197" max="197" width="4" customWidth="1"/>
    <col min="198" max="198" width="34.125" customWidth="1"/>
    <col min="199" max="199" width="11.25" customWidth="1"/>
    <col min="200" max="200" width="12.25" customWidth="1"/>
    <col min="201" max="201" width="4" customWidth="1"/>
    <col min="202" max="202" width="34.125" customWidth="1"/>
    <col min="203" max="203" width="11.25" customWidth="1"/>
    <col min="204" max="204" width="12.25" customWidth="1"/>
    <col min="205" max="205" width="4" customWidth="1"/>
  </cols>
  <sheetData>
    <row r="4" spans="4:204" ht="19.8" thickBot="1" x14ac:dyDescent="0.4">
      <c r="D4" s="146" t="s">
        <v>145</v>
      </c>
      <c r="E4" s="146"/>
      <c r="F4" s="146"/>
      <c r="G4" s="146"/>
      <c r="H4" s="146"/>
    </row>
    <row r="5" spans="4:204" ht="12" thickTop="1" x14ac:dyDescent="0.2"/>
    <row r="6" spans="4:204" ht="14.4" x14ac:dyDescent="0.3">
      <c r="D6" s="148" t="s">
        <v>748</v>
      </c>
      <c r="F6" s="148"/>
      <c r="G6" s="148"/>
      <c r="H6" s="148"/>
    </row>
    <row r="7" spans="4:204" ht="14.4" x14ac:dyDescent="0.3">
      <c r="D7" s="148" t="s">
        <v>749</v>
      </c>
      <c r="F7" s="148"/>
      <c r="G7" s="148"/>
      <c r="H7" s="148"/>
    </row>
    <row r="8" spans="4:204" ht="14.4" x14ac:dyDescent="0.3">
      <c r="D8" s="148"/>
      <c r="F8" s="148"/>
      <c r="G8" s="148"/>
      <c r="H8" s="148"/>
    </row>
    <row r="9" spans="4:204" ht="14.4" x14ac:dyDescent="0.3">
      <c r="D9" s="148"/>
      <c r="F9" s="148"/>
      <c r="G9" s="148"/>
      <c r="H9" s="148"/>
    </row>
    <row r="10" spans="4:204" x14ac:dyDescent="0.2">
      <c r="D10" s="190" t="s">
        <v>605</v>
      </c>
    </row>
    <row r="11" spans="4:204" x14ac:dyDescent="0.2">
      <c r="D11" s="206" t="str">
        <f>Summary!$F$11</f>
        <v>$2025-26</v>
      </c>
    </row>
    <row r="12" spans="4:204" x14ac:dyDescent="0.2">
      <c r="D12" s="191">
        <f>MATCH(D11,Lists!$C$3:$C$4,)</f>
        <v>2</v>
      </c>
    </row>
    <row r="13" spans="4:204" x14ac:dyDescent="0.2">
      <c r="D13" s="191"/>
    </row>
    <row r="14" spans="4:204" s="234" customFormat="1" hidden="1" x14ac:dyDescent="0.2">
      <c r="D14" s="234" t="s">
        <v>715</v>
      </c>
      <c r="F14" s="234">
        <v>1</v>
      </c>
      <c r="J14" s="234">
        <f>F14+1</f>
        <v>2</v>
      </c>
      <c r="N14" s="234">
        <f>J14+1</f>
        <v>3</v>
      </c>
      <c r="R14" s="234">
        <f>N14+1</f>
        <v>4</v>
      </c>
      <c r="V14" s="234">
        <f>R14+1</f>
        <v>5</v>
      </c>
      <c r="Z14" s="234">
        <f>V14+1</f>
        <v>6</v>
      </c>
      <c r="AD14" s="234">
        <f>Z14+1</f>
        <v>7</v>
      </c>
      <c r="AH14" s="234">
        <f>AD14+1</f>
        <v>8</v>
      </c>
      <c r="AL14" s="234">
        <f>AH14+1</f>
        <v>9</v>
      </c>
      <c r="AP14" s="234">
        <f>AL14+1</f>
        <v>10</v>
      </c>
      <c r="AT14" s="234">
        <f>AP14+1</f>
        <v>11</v>
      </c>
      <c r="AX14" s="234">
        <f>AT14+1</f>
        <v>12</v>
      </c>
      <c r="BB14" s="234">
        <f>AX14+1</f>
        <v>13</v>
      </c>
      <c r="BF14" s="234">
        <f>BB14+1</f>
        <v>14</v>
      </c>
      <c r="BJ14" s="234">
        <f>BF14+1</f>
        <v>15</v>
      </c>
      <c r="BN14" s="234">
        <f>BJ14+1</f>
        <v>16</v>
      </c>
      <c r="BR14" s="234">
        <f>BN14+1</f>
        <v>17</v>
      </c>
      <c r="BV14" s="234">
        <f>BR14+1</f>
        <v>18</v>
      </c>
      <c r="BZ14" s="234">
        <f>BV14+1</f>
        <v>19</v>
      </c>
      <c r="CD14" s="234">
        <f>BZ14+1</f>
        <v>20</v>
      </c>
      <c r="CH14" s="234">
        <f>CD14+1</f>
        <v>21</v>
      </c>
      <c r="CL14" s="234">
        <f>CH14+1</f>
        <v>22</v>
      </c>
      <c r="CP14" s="234">
        <f>CL14+1</f>
        <v>23</v>
      </c>
      <c r="CT14" s="234">
        <f>CP14+1</f>
        <v>24</v>
      </c>
      <c r="CX14" s="234">
        <f>CT14+1</f>
        <v>25</v>
      </c>
      <c r="DB14" s="234">
        <f>CX14+1</f>
        <v>26</v>
      </c>
      <c r="DF14" s="234">
        <f>DB14+1</f>
        <v>27</v>
      </c>
      <c r="DJ14" s="234">
        <f>DF14+1</f>
        <v>28</v>
      </c>
      <c r="DN14" s="234">
        <f>DJ14+1</f>
        <v>29</v>
      </c>
      <c r="DR14" s="234">
        <f>DN14+1</f>
        <v>30</v>
      </c>
      <c r="DV14" s="234">
        <f>DR14+1</f>
        <v>31</v>
      </c>
      <c r="DZ14" s="234">
        <f>DV14+1</f>
        <v>32</v>
      </c>
      <c r="ED14" s="234">
        <f>DZ14+1</f>
        <v>33</v>
      </c>
      <c r="EH14" s="234">
        <f>ED14+1</f>
        <v>34</v>
      </c>
      <c r="EL14" s="234">
        <f>EH14+1</f>
        <v>35</v>
      </c>
      <c r="EP14" s="234">
        <f>EL14+1</f>
        <v>36</v>
      </c>
      <c r="ET14" s="234">
        <f>EP14+1</f>
        <v>37</v>
      </c>
      <c r="EX14" s="234">
        <f>ET14+1</f>
        <v>38</v>
      </c>
      <c r="FB14" s="234">
        <f>EX14+1</f>
        <v>39</v>
      </c>
      <c r="FF14" s="234">
        <f>FB14+1</f>
        <v>40</v>
      </c>
      <c r="FJ14" s="234">
        <f>FF14+1</f>
        <v>41</v>
      </c>
      <c r="FN14" s="234">
        <f>FJ14+1</f>
        <v>42</v>
      </c>
      <c r="FR14" s="234">
        <f>FN14+1</f>
        <v>43</v>
      </c>
      <c r="FV14" s="234">
        <f>FR14+1</f>
        <v>44</v>
      </c>
      <c r="FZ14" s="234">
        <f>FV14+1</f>
        <v>45</v>
      </c>
      <c r="GD14" s="234">
        <f>FZ14+1</f>
        <v>46</v>
      </c>
      <c r="GH14" s="234">
        <f>GD14+1</f>
        <v>47</v>
      </c>
      <c r="GL14" s="234">
        <f>GH14+1</f>
        <v>48</v>
      </c>
      <c r="GP14" s="234">
        <f>GL14+1</f>
        <v>49</v>
      </c>
      <c r="GT14" s="234">
        <f>GP14+1</f>
        <v>50</v>
      </c>
    </row>
    <row r="15" spans="4:204" ht="30.75" customHeight="1" x14ac:dyDescent="0.2">
      <c r="D15" s="167" t="s">
        <v>146</v>
      </c>
      <c r="F15" s="344" t="str">
        <f>IF(_xlfn.XLOOKUP(F$14,TableTransport['#],TableTransport[Type of infrastructure])&lt;&gt;"",_xlfn.XLOOKUP(F$14,TableTransport['#],TableTransport[Type of infrastructure]),"")</f>
        <v/>
      </c>
      <c r="G15" s="248"/>
      <c r="H15" s="248"/>
      <c r="J15" s="344" t="str">
        <f>IF(_xlfn.XLOOKUP(J$14,TableTransport['#],TableTransport[Type of infrastructure])&lt;&gt;"",_xlfn.XLOOKUP(J$14,TableTransport['#],TableTransport[Type of infrastructure]),"")</f>
        <v/>
      </c>
      <c r="K15" s="248"/>
      <c r="L15" s="248"/>
      <c r="N15" s="344" t="str">
        <f>IF(_xlfn.XLOOKUP(N$14,TableTransport['#],TableTransport[Type of infrastructure])&lt;&gt;"",_xlfn.XLOOKUP(N$14,TableTransport['#],TableTransport[Type of infrastructure]),"")</f>
        <v/>
      </c>
      <c r="O15" s="248"/>
      <c r="P15" s="248"/>
      <c r="R15" s="344" t="str">
        <f>IF(_xlfn.XLOOKUP(R$14,TableTransport['#],TableTransport[Type of infrastructure])&lt;&gt;"",_xlfn.XLOOKUP(R$14,TableTransport['#],TableTransport[Type of infrastructure]),"")</f>
        <v/>
      </c>
      <c r="S15" s="248"/>
      <c r="T15" s="248"/>
      <c r="V15" s="344" t="str">
        <f>IF(_xlfn.XLOOKUP(V$14,TableTransport['#],TableTransport[Type of infrastructure])&lt;&gt;"",_xlfn.XLOOKUP(V$14,TableTransport['#],TableTransport[Type of infrastructure]),"")</f>
        <v/>
      </c>
      <c r="W15" s="248"/>
      <c r="X15" s="248"/>
      <c r="Z15" s="344" t="str">
        <f>IF(_xlfn.XLOOKUP(Z$14,TableTransport['#],TableTransport[Type of infrastructure])&lt;&gt;"",_xlfn.XLOOKUP(Z$14,TableTransport['#],TableTransport[Type of infrastructure]),"")</f>
        <v/>
      </c>
      <c r="AA15" s="248"/>
      <c r="AB15" s="248"/>
      <c r="AD15" s="344" t="str">
        <f>IF(_xlfn.XLOOKUP(AD$14,TableTransport['#],TableTransport[Type of infrastructure])&lt;&gt;"",_xlfn.XLOOKUP(AD$14,TableTransport['#],TableTransport[Type of infrastructure]),"")</f>
        <v/>
      </c>
      <c r="AE15" s="248"/>
      <c r="AF15" s="248"/>
      <c r="AH15" s="344" t="str">
        <f>IF(_xlfn.XLOOKUP(AH$14,TableTransport['#],TableTransport[Type of infrastructure])&lt;&gt;"",_xlfn.XLOOKUP(AH$14,TableTransport['#],TableTransport[Type of infrastructure]),"")</f>
        <v/>
      </c>
      <c r="AI15" s="248"/>
      <c r="AJ15" s="248"/>
      <c r="AL15" s="344" t="str">
        <f>IF(_xlfn.XLOOKUP(AL$14,TableTransport['#],TableTransport[Type of infrastructure])&lt;&gt;"",_xlfn.XLOOKUP(AL$14,TableTransport['#],TableTransport[Type of infrastructure]),"")</f>
        <v/>
      </c>
      <c r="AM15" s="248"/>
      <c r="AN15" s="248"/>
      <c r="AP15" s="344" t="str">
        <f>IF(_xlfn.XLOOKUP(AP$14,TableTransport['#],TableTransport[Type of infrastructure])&lt;&gt;"",_xlfn.XLOOKUP(AP$14,TableTransport['#],TableTransport[Type of infrastructure]),"")</f>
        <v/>
      </c>
      <c r="AQ15" s="248"/>
      <c r="AR15" s="248"/>
      <c r="AT15" s="344" t="str">
        <f>IF(_xlfn.XLOOKUP(AT$14,TableTransport['#],TableTransport[Type of infrastructure])&lt;&gt;"",_xlfn.XLOOKUP(AT$14,TableTransport['#],TableTransport[Type of infrastructure]),"")</f>
        <v/>
      </c>
      <c r="AU15" s="248"/>
      <c r="AV15" s="248"/>
      <c r="AX15" s="344" t="str">
        <f>IF(_xlfn.XLOOKUP(AX$14,TableTransport['#],TableTransport[Type of infrastructure])&lt;&gt;"",_xlfn.XLOOKUP(AX$14,TableTransport['#],TableTransport[Type of infrastructure]),"")</f>
        <v/>
      </c>
      <c r="AY15" s="248"/>
      <c r="AZ15" s="248"/>
      <c r="BB15" s="344" t="str">
        <f>IF(_xlfn.XLOOKUP(BB$14,TableTransport['#],TableTransport[Type of infrastructure])&lt;&gt;"",_xlfn.XLOOKUP(BB$14,TableTransport['#],TableTransport[Type of infrastructure]),"")</f>
        <v/>
      </c>
      <c r="BC15" s="248"/>
      <c r="BD15" s="248"/>
      <c r="BF15" s="344" t="str">
        <f>IF(_xlfn.XLOOKUP(BF$14,TableTransport['#],TableTransport[Type of infrastructure])&lt;&gt;"",_xlfn.XLOOKUP(BF$14,TableTransport['#],TableTransport[Type of infrastructure]),"")</f>
        <v/>
      </c>
      <c r="BG15" s="248"/>
      <c r="BH15" s="248"/>
      <c r="BJ15" s="344" t="str">
        <f>IF(_xlfn.XLOOKUP(BJ$14,TableTransport['#],TableTransport[Type of infrastructure])&lt;&gt;"",_xlfn.XLOOKUP(BJ$14,TableTransport['#],TableTransport[Type of infrastructure]),"")</f>
        <v/>
      </c>
      <c r="BK15" s="248"/>
      <c r="BL15" s="248"/>
      <c r="BN15" s="344" t="str">
        <f>IF(_xlfn.XLOOKUP(BN$14,TableTransport['#],TableTransport[Type of infrastructure])&lt;&gt;"",_xlfn.XLOOKUP(BN$14,TableTransport['#],TableTransport[Type of infrastructure]),"")</f>
        <v/>
      </c>
      <c r="BO15" s="248"/>
      <c r="BP15" s="248"/>
      <c r="BR15" s="344" t="str">
        <f>IF(_xlfn.XLOOKUP(BR$14,TableTransport['#],TableTransport[Type of infrastructure])&lt;&gt;"",_xlfn.XLOOKUP(BR$14,TableTransport['#],TableTransport[Type of infrastructure]),"")</f>
        <v/>
      </c>
      <c r="BS15" s="248"/>
      <c r="BT15" s="248"/>
      <c r="BV15" s="344" t="str">
        <f>IF(_xlfn.XLOOKUP(BV$14,TableTransport['#],TableTransport[Type of infrastructure])&lt;&gt;"",_xlfn.XLOOKUP(BV$14,TableTransport['#],TableTransport[Type of infrastructure]),"")</f>
        <v/>
      </c>
      <c r="BW15" s="248"/>
      <c r="BX15" s="248"/>
      <c r="BZ15" s="344" t="str">
        <f>IF(_xlfn.XLOOKUP(BZ$14,TableTransport['#],TableTransport[Type of infrastructure])&lt;&gt;"",_xlfn.XLOOKUP(BZ$14,TableTransport['#],TableTransport[Type of infrastructure]),"")</f>
        <v/>
      </c>
      <c r="CA15" s="248"/>
      <c r="CB15" s="248"/>
      <c r="CD15" s="344" t="str">
        <f>IF(_xlfn.XLOOKUP(CD$14,TableTransport['#],TableTransport[Type of infrastructure])&lt;&gt;"",_xlfn.XLOOKUP(CD$14,TableTransport['#],TableTransport[Type of infrastructure]),"")</f>
        <v/>
      </c>
      <c r="CE15" s="248"/>
      <c r="CF15" s="248"/>
      <c r="CH15" s="344" t="str">
        <f>IF(_xlfn.XLOOKUP(CH$14,TableTransport['#],TableTransport[Type of infrastructure])&lt;&gt;"",_xlfn.XLOOKUP(CH$14,TableTransport['#],TableTransport[Type of infrastructure]),"")</f>
        <v/>
      </c>
      <c r="CI15" s="248"/>
      <c r="CJ15" s="248"/>
      <c r="CL15" s="344" t="str">
        <f>IF(_xlfn.XLOOKUP(CL$14,TableTransport['#],TableTransport[Type of infrastructure])&lt;&gt;"",_xlfn.XLOOKUP(CL$14,TableTransport['#],TableTransport[Type of infrastructure]),"")</f>
        <v/>
      </c>
      <c r="CM15" s="248"/>
      <c r="CN15" s="248"/>
      <c r="CP15" s="344" t="str">
        <f>IF(_xlfn.XLOOKUP(CP$14,TableTransport['#],TableTransport[Type of infrastructure])&lt;&gt;"",_xlfn.XLOOKUP(CP$14,TableTransport['#],TableTransport[Type of infrastructure]),"")</f>
        <v/>
      </c>
      <c r="CQ15" s="248"/>
      <c r="CR15" s="248"/>
      <c r="CT15" s="344" t="str">
        <f>IF(_xlfn.XLOOKUP(CT$14,TableTransport['#],TableTransport[Type of infrastructure])&lt;&gt;"",_xlfn.XLOOKUP(CT$14,TableTransport['#],TableTransport[Type of infrastructure]),"")</f>
        <v/>
      </c>
      <c r="CU15" s="248"/>
      <c r="CV15" s="248"/>
      <c r="CX15" s="344" t="str">
        <f>IF(_xlfn.XLOOKUP(CX$14,TableTransport['#],TableTransport[Type of infrastructure])&lt;&gt;"",_xlfn.XLOOKUP(CX$14,TableTransport['#],TableTransport[Type of infrastructure]),"")</f>
        <v/>
      </c>
      <c r="CY15" s="248"/>
      <c r="CZ15" s="248"/>
      <c r="DB15" s="344" t="str">
        <f>IF(_xlfn.XLOOKUP(DB$14,TableTransport['#],TableTransport[Type of infrastructure])&lt;&gt;"",_xlfn.XLOOKUP(DB$14,TableTransport['#],TableTransport[Type of infrastructure]),"")</f>
        <v/>
      </c>
      <c r="DC15" s="248"/>
      <c r="DD15" s="248"/>
      <c r="DF15" s="344" t="str">
        <f>IF(_xlfn.XLOOKUP(DF$14,TableTransport['#],TableTransport[Type of infrastructure])&lt;&gt;"",_xlfn.XLOOKUP(DF$14,TableTransport['#],TableTransport[Type of infrastructure]),"")</f>
        <v/>
      </c>
      <c r="DG15" s="248"/>
      <c r="DH15" s="248"/>
      <c r="DJ15" s="344" t="str">
        <f>IF(_xlfn.XLOOKUP(DJ$14,TableTransport['#],TableTransport[Type of infrastructure])&lt;&gt;"",_xlfn.XLOOKUP(DJ$14,TableTransport['#],TableTransport[Type of infrastructure]),"")</f>
        <v/>
      </c>
      <c r="DK15" s="248"/>
      <c r="DL15" s="248"/>
      <c r="DN15" s="344" t="str">
        <f>IF(_xlfn.XLOOKUP(DN$14,TableTransport['#],TableTransport[Type of infrastructure])&lt;&gt;"",_xlfn.XLOOKUP(DN$14,TableTransport['#],TableTransport[Type of infrastructure]),"")</f>
        <v/>
      </c>
      <c r="DO15" s="248"/>
      <c r="DP15" s="248"/>
      <c r="DR15" s="344" t="str">
        <f>IF(_xlfn.XLOOKUP(DR$14,TableTransport['#],TableTransport[Type of infrastructure])&lt;&gt;"",_xlfn.XLOOKUP(DR$14,TableTransport['#],TableTransport[Type of infrastructure]),"")</f>
        <v/>
      </c>
      <c r="DS15" s="248"/>
      <c r="DT15" s="248"/>
      <c r="DV15" s="344" t="str">
        <f>IF(_xlfn.XLOOKUP(DV$14,TableTransport['#],TableTransport[Type of infrastructure])&lt;&gt;"",_xlfn.XLOOKUP(DV$14,TableTransport['#],TableTransport[Type of infrastructure]),"")</f>
        <v/>
      </c>
      <c r="DW15" s="248"/>
      <c r="DX15" s="248"/>
      <c r="DZ15" s="344" t="str">
        <f>IF(_xlfn.XLOOKUP(DZ$14,TableTransport['#],TableTransport[Type of infrastructure])&lt;&gt;"",_xlfn.XLOOKUP(DZ$14,TableTransport['#],TableTransport[Type of infrastructure]),"")</f>
        <v/>
      </c>
      <c r="EA15" s="248"/>
      <c r="EB15" s="248"/>
      <c r="ED15" s="344" t="str">
        <f>IF(_xlfn.XLOOKUP(ED$14,TableTransport['#],TableTransport[Type of infrastructure])&lt;&gt;"",_xlfn.XLOOKUP(ED$14,TableTransport['#],TableTransport[Type of infrastructure]),"")</f>
        <v/>
      </c>
      <c r="EE15" s="248"/>
      <c r="EF15" s="248"/>
      <c r="EH15" s="344" t="str">
        <f>IF(_xlfn.XLOOKUP(EH$14,TableTransport['#],TableTransport[Type of infrastructure])&lt;&gt;"",_xlfn.XLOOKUP(EH$14,TableTransport['#],TableTransport[Type of infrastructure]),"")</f>
        <v/>
      </c>
      <c r="EI15" s="248"/>
      <c r="EJ15" s="248"/>
      <c r="EL15" s="344" t="str">
        <f>IF(_xlfn.XLOOKUP(EL$14,TableTransport['#],TableTransport[Type of infrastructure])&lt;&gt;"",_xlfn.XLOOKUP(EL$14,TableTransport['#],TableTransport[Type of infrastructure]),"")</f>
        <v/>
      </c>
      <c r="EM15" s="248"/>
      <c r="EN15" s="248"/>
      <c r="EP15" s="344" t="str">
        <f>IF(_xlfn.XLOOKUP(EP$14,TableTransport['#],TableTransport[Type of infrastructure])&lt;&gt;"",_xlfn.XLOOKUP(EP$14,TableTransport['#],TableTransport[Type of infrastructure]),"")</f>
        <v/>
      </c>
      <c r="EQ15" s="248"/>
      <c r="ER15" s="248"/>
      <c r="ET15" s="344" t="str">
        <f>IF(_xlfn.XLOOKUP(ET$14,TableTransport['#],TableTransport[Type of infrastructure])&lt;&gt;"",_xlfn.XLOOKUP(ET$14,TableTransport['#],TableTransport[Type of infrastructure]),"")</f>
        <v/>
      </c>
      <c r="EU15" s="248"/>
      <c r="EV15" s="248"/>
      <c r="EX15" s="344" t="str">
        <f>IF(_xlfn.XLOOKUP(EX$14,TableTransport['#],TableTransport[Type of infrastructure])&lt;&gt;"",_xlfn.XLOOKUP(EX$14,TableTransport['#],TableTransport[Type of infrastructure]),"")</f>
        <v/>
      </c>
      <c r="EY15" s="248"/>
      <c r="EZ15" s="248"/>
      <c r="FB15" s="344" t="str">
        <f>IF(_xlfn.XLOOKUP(FB$14,TableTransport['#],TableTransport[Type of infrastructure])&lt;&gt;"",_xlfn.XLOOKUP(FB$14,TableTransport['#],TableTransport[Type of infrastructure]),"")</f>
        <v/>
      </c>
      <c r="FC15" s="248"/>
      <c r="FD15" s="248"/>
      <c r="FF15" s="344" t="str">
        <f>IF(_xlfn.XLOOKUP(FF$14,TableTransport['#],TableTransport[Type of infrastructure])&lt;&gt;"",_xlfn.XLOOKUP(FF$14,TableTransport['#],TableTransport[Type of infrastructure]),"")</f>
        <v/>
      </c>
      <c r="FG15" s="248"/>
      <c r="FH15" s="248"/>
      <c r="FJ15" s="344" t="str">
        <f>IF(_xlfn.XLOOKUP(FJ$14,TableTransport['#],TableTransport[Type of infrastructure])&lt;&gt;"",_xlfn.XLOOKUP(FJ$14,TableTransport['#],TableTransport[Type of infrastructure]),"")</f>
        <v/>
      </c>
      <c r="FK15" s="248"/>
      <c r="FL15" s="248"/>
      <c r="FN15" s="344" t="str">
        <f>IF(_xlfn.XLOOKUP(FN$14,TableTransport['#],TableTransport[Type of infrastructure])&lt;&gt;"",_xlfn.XLOOKUP(FN$14,TableTransport['#],TableTransport[Type of infrastructure]),"")</f>
        <v/>
      </c>
      <c r="FO15" s="248"/>
      <c r="FP15" s="248"/>
      <c r="FR15" s="344" t="str">
        <f>IF(_xlfn.XLOOKUP(FR$14,TableTransport['#],TableTransport[Type of infrastructure])&lt;&gt;"",_xlfn.XLOOKUP(FR$14,TableTransport['#],TableTransport[Type of infrastructure]),"")</f>
        <v/>
      </c>
      <c r="FS15" s="248"/>
      <c r="FT15" s="248"/>
      <c r="FV15" s="344" t="str">
        <f>IF(_xlfn.XLOOKUP(FV$14,TableTransport['#],TableTransport[Type of infrastructure])&lt;&gt;"",_xlfn.XLOOKUP(FV$14,TableTransport['#],TableTransport[Type of infrastructure]),"")</f>
        <v/>
      </c>
      <c r="FW15" s="248"/>
      <c r="FX15" s="248"/>
      <c r="FZ15" s="344" t="str">
        <f>IF(_xlfn.XLOOKUP(FZ$14,TableTransport['#],TableTransport[Type of infrastructure])&lt;&gt;"",_xlfn.XLOOKUP(FZ$14,TableTransport['#],TableTransport[Type of infrastructure]),"")</f>
        <v/>
      </c>
      <c r="GA15" s="248"/>
      <c r="GB15" s="248"/>
      <c r="GD15" s="344" t="str">
        <f>IF(_xlfn.XLOOKUP(GD$14,TableTransport['#],TableTransport[Type of infrastructure])&lt;&gt;"",_xlfn.XLOOKUP(GD$14,TableTransport['#],TableTransport[Type of infrastructure]),"")</f>
        <v/>
      </c>
      <c r="GE15" s="248"/>
      <c r="GF15" s="248"/>
      <c r="GH15" s="344" t="str">
        <f>IF(_xlfn.XLOOKUP(GH$14,TableTransport['#],TableTransport[Type of infrastructure])&lt;&gt;"",_xlfn.XLOOKUP(GH$14,TableTransport['#],TableTransport[Type of infrastructure]),"")</f>
        <v/>
      </c>
      <c r="GI15" s="248"/>
      <c r="GJ15" s="248"/>
      <c r="GL15" s="344" t="str">
        <f>IF(_xlfn.XLOOKUP(GL$14,TableTransport['#],TableTransport[Type of infrastructure])&lt;&gt;"",_xlfn.XLOOKUP(GL$14,TableTransport['#],TableTransport[Type of infrastructure]),"")</f>
        <v/>
      </c>
      <c r="GM15" s="248"/>
      <c r="GN15" s="248"/>
      <c r="GP15" s="344" t="str">
        <f>IF(_xlfn.XLOOKUP(GP$14,TableTransport['#],TableTransport[Type of infrastructure])&lt;&gt;"",_xlfn.XLOOKUP(GP$14,TableTransport['#],TableTransport[Type of infrastructure]),"")</f>
        <v/>
      </c>
      <c r="GQ15" s="248"/>
      <c r="GR15" s="248"/>
      <c r="GT15" s="344" t="str">
        <f>IF(_xlfn.XLOOKUP(GT$14,TableTransport['#],TableTransport[Type of infrastructure])&lt;&gt;"",_xlfn.XLOOKUP(GT$14,TableTransport['#],TableTransport[Type of infrastructure]),"")</f>
        <v/>
      </c>
      <c r="GU15" s="248"/>
      <c r="GV15" s="248"/>
    </row>
    <row r="16" spans="4:204" x14ac:dyDescent="0.2">
      <c r="D16" t="s">
        <v>754</v>
      </c>
      <c r="F16" s="345" t="str">
        <f>IF(_xlfn.XLOOKUP(F$14,TableTransport['#],TableTransport[Sub-item])="","",_xlfn.XLOOKUP(F$14,TableTransport['#],TableTransport[Sub-item]))</f>
        <v/>
      </c>
      <c r="J16" s="345" t="str">
        <f>IF(_xlfn.XLOOKUP(J$14,TableTransport['#],TableTransport[Sub-item])="","",_xlfn.XLOOKUP(J$14,TableTransport['#],TableTransport[Sub-item]))</f>
        <v/>
      </c>
      <c r="N16" s="345" t="str">
        <f>IF(_xlfn.XLOOKUP(N$14,TableTransport['#],TableTransport[Sub-item])="","",_xlfn.XLOOKUP(N$14,TableTransport['#],TableTransport[Sub-item]))</f>
        <v/>
      </c>
      <c r="R16" s="345" t="str">
        <f>IF(_xlfn.XLOOKUP(R$14,TableTransport['#],TableTransport[Sub-item])="","",_xlfn.XLOOKUP(R$14,TableTransport['#],TableTransport[Sub-item]))</f>
        <v/>
      </c>
      <c r="V16" s="345" t="str">
        <f>IF(_xlfn.XLOOKUP(V$14,TableTransport['#],TableTransport[Sub-item])="","",_xlfn.XLOOKUP(V$14,TableTransport['#],TableTransport[Sub-item]))</f>
        <v/>
      </c>
      <c r="Z16" s="345" t="str">
        <f>IF(_xlfn.XLOOKUP(Z$14,TableTransport['#],TableTransport[Sub-item])="","",_xlfn.XLOOKUP(Z$14,TableTransport['#],TableTransport[Sub-item]))</f>
        <v/>
      </c>
      <c r="AD16" s="345" t="str">
        <f>IF(_xlfn.XLOOKUP(AD$14,TableTransport['#],TableTransport[Sub-item])="","",_xlfn.XLOOKUP(AD$14,TableTransport['#],TableTransport[Sub-item]))</f>
        <v/>
      </c>
      <c r="AH16" s="345" t="str">
        <f>IF(_xlfn.XLOOKUP(AH$14,TableTransport['#],TableTransport[Sub-item])="","",_xlfn.XLOOKUP(AH$14,TableTransport['#],TableTransport[Sub-item]))</f>
        <v/>
      </c>
      <c r="AL16" s="345" t="str">
        <f>IF(_xlfn.XLOOKUP(AL$14,TableTransport['#],TableTransport[Sub-item])="","",_xlfn.XLOOKUP(AL$14,TableTransport['#],TableTransport[Sub-item]))</f>
        <v/>
      </c>
      <c r="AP16" s="345" t="str">
        <f>IF(_xlfn.XLOOKUP(AP$14,TableTransport['#],TableTransport[Sub-item])="","",_xlfn.XLOOKUP(AP$14,TableTransport['#],TableTransport[Sub-item]))</f>
        <v/>
      </c>
      <c r="AT16" s="345" t="str">
        <f>IF(_xlfn.XLOOKUP(AT$14,TableTransport['#],TableTransport[Sub-item])="","",_xlfn.XLOOKUP(AT$14,TableTransport['#],TableTransport[Sub-item]))</f>
        <v/>
      </c>
      <c r="AX16" s="345" t="str">
        <f>IF(_xlfn.XLOOKUP(AX$14,TableTransport['#],TableTransport[Sub-item])="","",_xlfn.XLOOKUP(AX$14,TableTransport['#],TableTransport[Sub-item]))</f>
        <v/>
      </c>
      <c r="BB16" s="345" t="str">
        <f>IF(_xlfn.XLOOKUP(BB$14,TableTransport['#],TableTransport[Sub-item])="","",_xlfn.XLOOKUP(BB$14,TableTransport['#],TableTransport[Sub-item]))</f>
        <v/>
      </c>
      <c r="BF16" s="345" t="str">
        <f>IF(_xlfn.XLOOKUP(BF$14,TableTransport['#],TableTransport[Sub-item])="","",_xlfn.XLOOKUP(BF$14,TableTransport['#],TableTransport[Sub-item]))</f>
        <v/>
      </c>
      <c r="BJ16" s="345" t="str">
        <f>IF(_xlfn.XLOOKUP(BJ$14,TableTransport['#],TableTransport[Sub-item])="","",_xlfn.XLOOKUP(BJ$14,TableTransport['#],TableTransport[Sub-item]))</f>
        <v/>
      </c>
      <c r="BN16" s="345" t="str">
        <f>IF(_xlfn.XLOOKUP(BN$14,TableTransport['#],TableTransport[Sub-item])="","",_xlfn.XLOOKUP(BN$14,TableTransport['#],TableTransport[Sub-item]))</f>
        <v/>
      </c>
      <c r="BR16" s="345" t="str">
        <f>IF(_xlfn.XLOOKUP(BR$14,TableTransport['#],TableTransport[Sub-item])="","",_xlfn.XLOOKUP(BR$14,TableTransport['#],TableTransport[Sub-item]))</f>
        <v/>
      </c>
      <c r="BV16" s="345" t="str">
        <f>IF(_xlfn.XLOOKUP(BV$14,TableTransport['#],TableTransport[Sub-item])="","",_xlfn.XLOOKUP(BV$14,TableTransport['#],TableTransport[Sub-item]))</f>
        <v/>
      </c>
      <c r="BZ16" s="345" t="str">
        <f>IF(_xlfn.XLOOKUP(BZ$14,TableTransport['#],TableTransport[Sub-item])="","",_xlfn.XLOOKUP(BZ$14,TableTransport['#],TableTransport[Sub-item]))</f>
        <v/>
      </c>
      <c r="CD16" s="345" t="str">
        <f>IF(_xlfn.XLOOKUP(CD$14,TableTransport['#],TableTransport[Sub-item])="","",_xlfn.XLOOKUP(CD$14,TableTransport['#],TableTransport[Sub-item]))</f>
        <v/>
      </c>
      <c r="CH16" s="345" t="str">
        <f>IF(_xlfn.XLOOKUP(CH$14,TableTransport['#],TableTransport[Sub-item])="","",_xlfn.XLOOKUP(CH$14,TableTransport['#],TableTransport[Sub-item]))</f>
        <v/>
      </c>
      <c r="CL16" s="345" t="str">
        <f>IF(_xlfn.XLOOKUP(CL$14,TableTransport['#],TableTransport[Sub-item])="","",_xlfn.XLOOKUP(CL$14,TableTransport['#],TableTransport[Sub-item]))</f>
        <v/>
      </c>
      <c r="CP16" s="345" t="str">
        <f>IF(_xlfn.XLOOKUP(CP$14,TableTransport['#],TableTransport[Sub-item])="","",_xlfn.XLOOKUP(CP$14,TableTransport['#],TableTransport[Sub-item]))</f>
        <v/>
      </c>
      <c r="CT16" s="345" t="str">
        <f>IF(_xlfn.XLOOKUP(CT$14,TableTransport['#],TableTransport[Sub-item])="","",_xlfn.XLOOKUP(CT$14,TableTransport['#],TableTransport[Sub-item]))</f>
        <v/>
      </c>
      <c r="CX16" s="345" t="str">
        <f>IF(_xlfn.XLOOKUP(CX$14,TableTransport['#],TableTransport[Sub-item])="","",_xlfn.XLOOKUP(CX$14,TableTransport['#],TableTransport[Sub-item]))</f>
        <v/>
      </c>
      <c r="DB16" s="345" t="str">
        <f>IF(_xlfn.XLOOKUP(DB$14,TableTransport['#],TableTransport[Sub-item])="","",_xlfn.XLOOKUP(DB$14,TableTransport['#],TableTransport[Sub-item]))</f>
        <v/>
      </c>
      <c r="DF16" s="345" t="str">
        <f>IF(_xlfn.XLOOKUP(DF$14,TableTransport['#],TableTransport[Sub-item])="","",_xlfn.XLOOKUP(DF$14,TableTransport['#],TableTransport[Sub-item]))</f>
        <v/>
      </c>
      <c r="DJ16" s="345" t="str">
        <f>IF(_xlfn.XLOOKUP(DJ$14,TableTransport['#],TableTransport[Sub-item])="","",_xlfn.XLOOKUP(DJ$14,TableTransport['#],TableTransport[Sub-item]))</f>
        <v/>
      </c>
      <c r="DN16" s="345" t="str">
        <f>IF(_xlfn.XLOOKUP(DN$14,TableTransport['#],TableTransport[Sub-item])="","",_xlfn.XLOOKUP(DN$14,TableTransport['#],TableTransport[Sub-item]))</f>
        <v/>
      </c>
      <c r="DR16" s="345" t="str">
        <f>IF(_xlfn.XLOOKUP(DR$14,TableTransport['#],TableTransport[Sub-item])="","",_xlfn.XLOOKUP(DR$14,TableTransport['#],TableTransport[Sub-item]))</f>
        <v/>
      </c>
      <c r="DV16" s="345" t="str">
        <f>IF(_xlfn.XLOOKUP(DV$14,TableTransport['#],TableTransport[Sub-item])="","",_xlfn.XLOOKUP(DV$14,TableTransport['#],TableTransport[Sub-item]))</f>
        <v/>
      </c>
      <c r="DZ16" s="345" t="str">
        <f>IF(_xlfn.XLOOKUP(DZ$14,TableTransport['#],TableTransport[Sub-item])="","",_xlfn.XLOOKUP(DZ$14,TableTransport['#],TableTransport[Sub-item]))</f>
        <v/>
      </c>
      <c r="ED16" s="345" t="str">
        <f>IF(_xlfn.XLOOKUP(ED$14,TableTransport['#],TableTransport[Sub-item])="","",_xlfn.XLOOKUP(ED$14,TableTransport['#],TableTransport[Sub-item]))</f>
        <v/>
      </c>
      <c r="EH16" s="345" t="str">
        <f>IF(_xlfn.XLOOKUP(EH$14,TableTransport['#],TableTransport[Sub-item])="","",_xlfn.XLOOKUP(EH$14,TableTransport['#],TableTransport[Sub-item]))</f>
        <v/>
      </c>
      <c r="EL16" s="345" t="str">
        <f>IF(_xlfn.XLOOKUP(EL$14,TableTransport['#],TableTransport[Sub-item])="","",_xlfn.XLOOKUP(EL$14,TableTransport['#],TableTransport[Sub-item]))</f>
        <v/>
      </c>
      <c r="EP16" s="345" t="str">
        <f>IF(_xlfn.XLOOKUP(EP$14,TableTransport['#],TableTransport[Sub-item])="","",_xlfn.XLOOKUP(EP$14,TableTransport['#],TableTransport[Sub-item]))</f>
        <v/>
      </c>
      <c r="ET16" s="345" t="str">
        <f>IF(_xlfn.XLOOKUP(ET$14,TableTransport['#],TableTransport[Sub-item])="","",_xlfn.XLOOKUP(ET$14,TableTransport['#],TableTransport[Sub-item]))</f>
        <v/>
      </c>
      <c r="EX16" s="345" t="str">
        <f>IF(_xlfn.XLOOKUP(EX$14,TableTransport['#],TableTransport[Sub-item])="","",_xlfn.XLOOKUP(EX$14,TableTransport['#],TableTransport[Sub-item]))</f>
        <v/>
      </c>
      <c r="FB16" s="345" t="str">
        <f>IF(_xlfn.XLOOKUP(FB$14,TableTransport['#],TableTransport[Sub-item])="","",_xlfn.XLOOKUP(FB$14,TableTransport['#],TableTransport[Sub-item]))</f>
        <v/>
      </c>
      <c r="FF16" s="345" t="str">
        <f>IF(_xlfn.XLOOKUP(FF$14,TableTransport['#],TableTransport[Sub-item])="","",_xlfn.XLOOKUP(FF$14,TableTransport['#],TableTransport[Sub-item]))</f>
        <v/>
      </c>
      <c r="FJ16" s="345" t="str">
        <f>IF(_xlfn.XLOOKUP(FJ$14,TableTransport['#],TableTransport[Sub-item])="","",_xlfn.XLOOKUP(FJ$14,TableTransport['#],TableTransport[Sub-item]))</f>
        <v/>
      </c>
      <c r="FN16" s="345" t="str">
        <f>IF(_xlfn.XLOOKUP(FN$14,TableTransport['#],TableTransport[Sub-item])="","",_xlfn.XLOOKUP(FN$14,TableTransport['#],TableTransport[Sub-item]))</f>
        <v/>
      </c>
      <c r="FR16" s="345" t="str">
        <f>IF(_xlfn.XLOOKUP(FR$14,TableTransport['#],TableTransport[Sub-item])="","",_xlfn.XLOOKUP(FR$14,TableTransport['#],TableTransport[Sub-item]))</f>
        <v/>
      </c>
      <c r="FV16" s="345" t="str">
        <f>IF(_xlfn.XLOOKUP(FV$14,TableTransport['#],TableTransport[Sub-item])="","",_xlfn.XLOOKUP(FV$14,TableTransport['#],TableTransport[Sub-item]))</f>
        <v/>
      </c>
      <c r="FZ16" s="345" t="str">
        <f>IF(_xlfn.XLOOKUP(FZ$14,TableTransport['#],TableTransport[Sub-item])="","",_xlfn.XLOOKUP(FZ$14,TableTransport['#],TableTransport[Sub-item]))</f>
        <v/>
      </c>
      <c r="GD16" s="345" t="str">
        <f>IF(_xlfn.XLOOKUP(GD$14,TableTransport['#],TableTransport[Sub-item])="","",_xlfn.XLOOKUP(GD$14,TableTransport['#],TableTransport[Sub-item]))</f>
        <v/>
      </c>
      <c r="GH16" s="345" t="str">
        <f>IF(_xlfn.XLOOKUP(GH$14,TableTransport['#],TableTransport[Sub-item])="","",_xlfn.XLOOKUP(GH$14,TableTransport['#],TableTransport[Sub-item]))</f>
        <v/>
      </c>
      <c r="GL16" s="345" t="str">
        <f>IF(_xlfn.XLOOKUP(GL$14,TableTransport['#],TableTransport[Sub-item])="","",_xlfn.XLOOKUP(GL$14,TableTransport['#],TableTransport[Sub-item]))</f>
        <v/>
      </c>
      <c r="GP16" s="345" t="str">
        <f>IF(_xlfn.XLOOKUP(GP$14,TableTransport['#],TableTransport[Sub-item])="","",_xlfn.XLOOKUP(GP$14,TableTransport['#],TableTransport[Sub-item]))</f>
        <v/>
      </c>
      <c r="GT16" s="345" t="str">
        <f>IF(_xlfn.XLOOKUP(GT$14,TableTransport['#],TableTransport[Sub-item])="","",_xlfn.XLOOKUP(GT$14,TableTransport['#],TableTransport[Sub-item]))</f>
        <v/>
      </c>
    </row>
    <row r="17" spans="4:204" s="234" customFormat="1" hidden="1" x14ac:dyDescent="0.2">
      <c r="D17" s="234" t="s">
        <v>716</v>
      </c>
      <c r="F17" s="346">
        <f>IFERROR(_xlfn.XLOOKUP(F15,Lists!$C$10:$C$41,Lists!$D$10:$D$41),0)</f>
        <v>0</v>
      </c>
      <c r="H17" s="234">
        <v>1</v>
      </c>
      <c r="J17" s="346">
        <f>IFERROR(_xlfn.XLOOKUP(J15,Lists!$C$10:$C$41,Lists!$D$10:$D$41),0)</f>
        <v>0</v>
      </c>
      <c r="L17" s="234">
        <v>1</v>
      </c>
      <c r="N17" s="346">
        <f>IFERROR(_xlfn.XLOOKUP(N15,Lists!$C$10:$C$41,Lists!$D$10:$D$41),0)</f>
        <v>0</v>
      </c>
      <c r="P17" s="234">
        <v>1</v>
      </c>
      <c r="R17" s="346">
        <f>IFERROR(_xlfn.XLOOKUP(R15,Lists!$C$10:$C$41,Lists!$D$10:$D$41),0)</f>
        <v>0</v>
      </c>
      <c r="T17" s="234">
        <v>1</v>
      </c>
      <c r="V17" s="346">
        <f>IFERROR(_xlfn.XLOOKUP(V15,Lists!$C$10:$C$41,Lists!$D$10:$D$41),0)</f>
        <v>0</v>
      </c>
      <c r="X17" s="234">
        <v>1</v>
      </c>
      <c r="Z17" s="346">
        <f>IFERROR(_xlfn.XLOOKUP(Z15,Lists!$C$10:$C$41,Lists!$D$10:$D$41),0)</f>
        <v>0</v>
      </c>
      <c r="AB17" s="234">
        <v>1</v>
      </c>
      <c r="AD17" s="346">
        <f>IFERROR(_xlfn.XLOOKUP(AD15,Lists!$C$10:$C$41,Lists!$D$10:$D$41),0)</f>
        <v>0</v>
      </c>
      <c r="AF17" s="234">
        <v>1</v>
      </c>
      <c r="AH17" s="346">
        <f>IFERROR(_xlfn.XLOOKUP(AH15,Lists!$C$10:$C$41,Lists!$D$10:$D$41),0)</f>
        <v>0</v>
      </c>
      <c r="AJ17" s="234">
        <v>1</v>
      </c>
      <c r="AL17" s="346">
        <f>IFERROR(_xlfn.XLOOKUP(AL15,Lists!$C$10:$C$41,Lists!$D$10:$D$41),0)</f>
        <v>0</v>
      </c>
      <c r="AN17" s="234">
        <v>1</v>
      </c>
      <c r="AP17" s="346">
        <f>IFERROR(_xlfn.XLOOKUP(AP15,Lists!$C$10:$C$41,Lists!$D$10:$D$41),0)</f>
        <v>0</v>
      </c>
      <c r="AR17" s="234">
        <v>1</v>
      </c>
      <c r="AT17" s="346">
        <f>IFERROR(_xlfn.XLOOKUP(AT15,Lists!$C$10:$C$41,Lists!$D$10:$D$41),0)</f>
        <v>0</v>
      </c>
      <c r="AV17" s="234">
        <v>1</v>
      </c>
      <c r="AX17" s="346">
        <f>IFERROR(_xlfn.XLOOKUP(AX15,Lists!$C$10:$C$41,Lists!$D$10:$D$41),0)</f>
        <v>0</v>
      </c>
      <c r="AZ17" s="234">
        <v>1</v>
      </c>
      <c r="BB17" s="346">
        <f>IFERROR(_xlfn.XLOOKUP(BB15,Lists!$C$10:$C$41,Lists!$D$10:$D$41),0)</f>
        <v>0</v>
      </c>
      <c r="BD17" s="234">
        <v>1</v>
      </c>
      <c r="BF17" s="346">
        <f>IFERROR(_xlfn.XLOOKUP(BF15,Lists!$C$10:$C$41,Lists!$D$10:$D$41),0)</f>
        <v>0</v>
      </c>
      <c r="BH17" s="234">
        <v>1</v>
      </c>
      <c r="BJ17" s="346">
        <f>IFERROR(_xlfn.XLOOKUP(BJ15,Lists!$C$10:$C$41,Lists!$D$10:$D$41),0)</f>
        <v>0</v>
      </c>
      <c r="BL17" s="234">
        <v>1</v>
      </c>
      <c r="BN17" s="346">
        <f>IFERROR(_xlfn.XLOOKUP(BN15,Lists!$C$10:$C$41,Lists!$D$10:$D$41),0)</f>
        <v>0</v>
      </c>
      <c r="BP17" s="234">
        <v>1</v>
      </c>
      <c r="BR17" s="346">
        <f>IFERROR(_xlfn.XLOOKUP(BR15,Lists!$C$10:$C$41,Lists!$D$10:$D$41),0)</f>
        <v>0</v>
      </c>
      <c r="BT17" s="234">
        <v>1</v>
      </c>
      <c r="BV17" s="346">
        <f>IFERROR(_xlfn.XLOOKUP(BV15,Lists!$C$10:$C$41,Lists!$D$10:$D$41),0)</f>
        <v>0</v>
      </c>
      <c r="BX17" s="234">
        <v>1</v>
      </c>
      <c r="BZ17" s="346">
        <f>IFERROR(_xlfn.XLOOKUP(BZ15,Lists!$C$10:$C$41,Lists!$D$10:$D$41),0)</f>
        <v>0</v>
      </c>
      <c r="CB17" s="234">
        <v>1</v>
      </c>
      <c r="CD17" s="346">
        <f>IFERROR(_xlfn.XLOOKUP(CD15,Lists!$C$10:$C$41,Lists!$D$10:$D$41),0)</f>
        <v>0</v>
      </c>
      <c r="CF17" s="234">
        <v>1</v>
      </c>
      <c r="CH17" s="346">
        <f>IFERROR(_xlfn.XLOOKUP(CH15,Lists!$C$10:$C$41,Lists!$D$10:$D$41),0)</f>
        <v>0</v>
      </c>
      <c r="CJ17" s="234">
        <v>1</v>
      </c>
      <c r="CL17" s="346">
        <f>IFERROR(_xlfn.XLOOKUP(CL15,Lists!$C$10:$C$41,Lists!$D$10:$D$41),0)</f>
        <v>0</v>
      </c>
      <c r="CN17" s="234">
        <v>1</v>
      </c>
      <c r="CP17" s="346">
        <f>IFERROR(_xlfn.XLOOKUP(CP15,Lists!$C$10:$C$41,Lists!$D$10:$D$41),0)</f>
        <v>0</v>
      </c>
      <c r="CR17" s="234">
        <v>1</v>
      </c>
      <c r="CT17" s="346">
        <f>IFERROR(_xlfn.XLOOKUP(CT15,Lists!$C$10:$C$41,Lists!$D$10:$D$41),0)</f>
        <v>0</v>
      </c>
      <c r="CV17" s="234">
        <v>1</v>
      </c>
      <c r="CX17" s="346">
        <f>IFERROR(_xlfn.XLOOKUP(CX15,Lists!$C$10:$C$41,Lists!$D$10:$D$41),0)</f>
        <v>0</v>
      </c>
      <c r="CZ17" s="234">
        <v>1</v>
      </c>
      <c r="DB17" s="346">
        <f>IFERROR(_xlfn.XLOOKUP(DB15,Lists!$C$10:$C$41,Lists!$D$10:$D$41),0)</f>
        <v>0</v>
      </c>
      <c r="DD17" s="234">
        <v>1</v>
      </c>
      <c r="DF17" s="346">
        <f>IFERROR(_xlfn.XLOOKUP(DF15,Lists!$C$10:$C$41,Lists!$D$10:$D$41),0)</f>
        <v>0</v>
      </c>
      <c r="DH17" s="234">
        <v>1</v>
      </c>
      <c r="DJ17" s="346">
        <f>IFERROR(_xlfn.XLOOKUP(DJ15,Lists!$C$10:$C$41,Lists!$D$10:$D$41),0)</f>
        <v>0</v>
      </c>
      <c r="DL17" s="234">
        <v>1</v>
      </c>
      <c r="DN17" s="346">
        <f>IFERROR(_xlfn.XLOOKUP(DN15,Lists!$C$10:$C$41,Lists!$D$10:$D$41),0)</f>
        <v>0</v>
      </c>
      <c r="DP17" s="234">
        <v>1</v>
      </c>
      <c r="DR17" s="346">
        <f>IFERROR(_xlfn.XLOOKUP(DR15,Lists!$C$10:$C$41,Lists!$D$10:$D$41),0)</f>
        <v>0</v>
      </c>
      <c r="DT17" s="234">
        <v>1</v>
      </c>
      <c r="DV17" s="346">
        <f>IFERROR(_xlfn.XLOOKUP(DV15,Lists!$C$10:$C$41,Lists!$D$10:$D$41),0)</f>
        <v>0</v>
      </c>
      <c r="DX17" s="234">
        <v>1</v>
      </c>
      <c r="DZ17" s="346">
        <f>IFERROR(_xlfn.XLOOKUP(DZ15,Lists!$C$10:$C$41,Lists!$D$10:$D$41),0)</f>
        <v>0</v>
      </c>
      <c r="EB17" s="234">
        <v>1</v>
      </c>
      <c r="ED17" s="346">
        <f>IFERROR(_xlfn.XLOOKUP(ED15,Lists!$C$10:$C$41,Lists!$D$10:$D$41),0)</f>
        <v>0</v>
      </c>
      <c r="EF17" s="234">
        <v>1</v>
      </c>
      <c r="EH17" s="346">
        <f>IFERROR(_xlfn.XLOOKUP(EH15,Lists!$C$10:$C$41,Lists!$D$10:$D$41),0)</f>
        <v>0</v>
      </c>
      <c r="EJ17" s="234">
        <v>1</v>
      </c>
      <c r="EL17" s="346">
        <f>IFERROR(_xlfn.XLOOKUP(EL15,Lists!$C$10:$C$41,Lists!$D$10:$D$41),0)</f>
        <v>0</v>
      </c>
      <c r="EN17" s="234">
        <v>1</v>
      </c>
      <c r="EP17" s="346">
        <f>IFERROR(_xlfn.XLOOKUP(EP15,Lists!$C$10:$C$41,Lists!$D$10:$D$41),0)</f>
        <v>0</v>
      </c>
      <c r="ER17" s="234">
        <v>1</v>
      </c>
      <c r="ET17" s="346">
        <f>IFERROR(_xlfn.XLOOKUP(ET15,Lists!$C$10:$C$41,Lists!$D$10:$D$41),0)</f>
        <v>0</v>
      </c>
      <c r="EV17" s="234">
        <v>1</v>
      </c>
      <c r="EX17" s="346">
        <f>IFERROR(_xlfn.XLOOKUP(EX15,Lists!$C$10:$C$41,Lists!$D$10:$D$41),0)</f>
        <v>0</v>
      </c>
      <c r="EZ17" s="234">
        <v>1</v>
      </c>
      <c r="FB17" s="346">
        <f>IFERROR(_xlfn.XLOOKUP(FB15,Lists!$C$10:$C$41,Lists!$D$10:$D$41),0)</f>
        <v>0</v>
      </c>
      <c r="FD17" s="234">
        <v>1</v>
      </c>
      <c r="FF17" s="346">
        <f>IFERROR(_xlfn.XLOOKUP(FF15,Lists!$C$10:$C$41,Lists!$D$10:$D$41),0)</f>
        <v>0</v>
      </c>
      <c r="FH17" s="234">
        <v>1</v>
      </c>
      <c r="FJ17" s="346">
        <f>IFERROR(_xlfn.XLOOKUP(FJ15,Lists!$C$10:$C$41,Lists!$D$10:$D$41),0)</f>
        <v>0</v>
      </c>
      <c r="FL17" s="234">
        <v>1</v>
      </c>
      <c r="FN17" s="346">
        <f>IFERROR(_xlfn.XLOOKUP(FN15,Lists!$C$10:$C$41,Lists!$D$10:$D$41),0)</f>
        <v>0</v>
      </c>
      <c r="FP17" s="234">
        <v>1</v>
      </c>
      <c r="FR17" s="346">
        <f>IFERROR(_xlfn.XLOOKUP(FR15,Lists!$C$10:$C$41,Lists!$D$10:$D$41),0)</f>
        <v>0</v>
      </c>
      <c r="FT17" s="234">
        <v>1</v>
      </c>
      <c r="FV17" s="346">
        <f>IFERROR(_xlfn.XLOOKUP(FV15,Lists!$C$10:$C$41,Lists!$D$10:$D$41),0)</f>
        <v>0</v>
      </c>
      <c r="FX17" s="234">
        <v>1</v>
      </c>
      <c r="FZ17" s="346">
        <f>IFERROR(_xlfn.XLOOKUP(FZ15,Lists!$C$10:$C$41,Lists!$D$10:$D$41),0)</f>
        <v>0</v>
      </c>
      <c r="GB17" s="234">
        <v>1</v>
      </c>
      <c r="GD17" s="346">
        <f>IFERROR(_xlfn.XLOOKUP(GD15,Lists!$C$10:$C$41,Lists!$D$10:$D$41),0)</f>
        <v>0</v>
      </c>
      <c r="GF17" s="234">
        <v>1</v>
      </c>
      <c r="GH17" s="346">
        <f>IFERROR(_xlfn.XLOOKUP(GH15,Lists!$C$10:$C$41,Lists!$D$10:$D$41),0)</f>
        <v>0</v>
      </c>
      <c r="GJ17" s="234">
        <v>1</v>
      </c>
      <c r="GL17" s="346">
        <f>IFERROR(_xlfn.XLOOKUP(GL15,Lists!$C$10:$C$41,Lists!$D$10:$D$41),0)</f>
        <v>0</v>
      </c>
      <c r="GN17" s="234">
        <v>1</v>
      </c>
      <c r="GP17" s="346">
        <f>IFERROR(_xlfn.XLOOKUP(GP15,Lists!$C$10:$C$41,Lists!$D$10:$D$41),0)</f>
        <v>0</v>
      </c>
      <c r="GR17" s="234">
        <v>1</v>
      </c>
      <c r="GT17" s="346">
        <f>IFERROR(_xlfn.XLOOKUP(GT15,Lists!$C$10:$C$41,Lists!$D$10:$D$41),0)</f>
        <v>0</v>
      </c>
      <c r="GV17" s="234">
        <v>1</v>
      </c>
    </row>
    <row r="18" spans="4:204" s="234" customFormat="1" x14ac:dyDescent="0.2">
      <c r="D18" t="s">
        <v>833</v>
      </c>
      <c r="F18" s="345" t="str">
        <f>IF(_xlfn.XLOOKUP(F$14,TableTransport['#],TableTransport[Item reference])="","",_xlfn.XLOOKUP(F$14,TableTransport['#],TableTransport[Item reference]))</f>
        <v/>
      </c>
      <c r="J18" s="345" t="str">
        <f>IF(_xlfn.XLOOKUP(J$14,TableTransport['#],TableTransport[Item reference])="","",_xlfn.XLOOKUP(J$14,TableTransport['#],TableTransport[Item reference]))</f>
        <v/>
      </c>
      <c r="N18" s="345" t="str">
        <f>IF(_xlfn.XLOOKUP(N$14,TableTransport['#],TableTransport[Item reference])="","",_xlfn.XLOOKUP(N$14,TableTransport['#],TableTransport[Item reference]))</f>
        <v/>
      </c>
      <c r="R18" s="345" t="str">
        <f>IF(_xlfn.XLOOKUP(R$14,TableTransport['#],TableTransport[Item reference])="","",_xlfn.XLOOKUP(R$14,TableTransport['#],TableTransport[Item reference]))</f>
        <v/>
      </c>
      <c r="V18" s="345" t="str">
        <f>IF(_xlfn.XLOOKUP(V$14,TableTransport['#],TableTransport[Item reference])="","",_xlfn.XLOOKUP(V$14,TableTransport['#],TableTransport[Item reference]))</f>
        <v/>
      </c>
      <c r="Z18" s="345" t="str">
        <f>IF(_xlfn.XLOOKUP(Z$14,TableTransport['#],TableTransport[Item reference])="","",_xlfn.XLOOKUP(Z$14,TableTransport['#],TableTransport[Item reference]))</f>
        <v/>
      </c>
      <c r="AD18" s="345" t="str">
        <f>IF(_xlfn.XLOOKUP(AD$14,TableTransport['#],TableTransport[Item reference])="","",_xlfn.XLOOKUP(AD$14,TableTransport['#],TableTransport[Item reference]))</f>
        <v/>
      </c>
      <c r="AH18" s="345" t="str">
        <f>IF(_xlfn.XLOOKUP(AH$14,TableTransport['#],TableTransport[Item reference])="","",_xlfn.XLOOKUP(AH$14,TableTransport['#],TableTransport[Item reference]))</f>
        <v/>
      </c>
      <c r="AL18" s="345" t="str">
        <f>IF(_xlfn.XLOOKUP(AL$14,TableTransport['#],TableTransport[Item reference])="","",_xlfn.XLOOKUP(AL$14,TableTransport['#],TableTransport[Item reference]))</f>
        <v/>
      </c>
      <c r="AP18" s="345" t="str">
        <f>IF(_xlfn.XLOOKUP(AP$14,TableTransport['#],TableTransport[Item reference])="","",_xlfn.XLOOKUP(AP$14,TableTransport['#],TableTransport[Item reference]))</f>
        <v/>
      </c>
      <c r="AT18" s="345" t="str">
        <f>IF(_xlfn.XLOOKUP(AT$14,TableTransport['#],TableTransport[Item reference])="","",_xlfn.XLOOKUP(AT$14,TableTransport['#],TableTransport[Item reference]))</f>
        <v/>
      </c>
      <c r="AX18" s="345" t="str">
        <f>IF(_xlfn.XLOOKUP(AX$14,TableTransport['#],TableTransport[Item reference])="","",_xlfn.XLOOKUP(AX$14,TableTransport['#],TableTransport[Item reference]))</f>
        <v/>
      </c>
      <c r="BB18" s="345" t="str">
        <f>IF(_xlfn.XLOOKUP(BB$14,TableTransport['#],TableTransport[Item reference])="","",_xlfn.XLOOKUP(BB$14,TableTransport['#],TableTransport[Item reference]))</f>
        <v/>
      </c>
      <c r="BF18" s="345" t="str">
        <f>IF(_xlfn.XLOOKUP(BF$14,TableTransport['#],TableTransport[Item reference])="","",_xlfn.XLOOKUP(BF$14,TableTransport['#],TableTransport[Item reference]))</f>
        <v/>
      </c>
      <c r="BJ18" s="345" t="str">
        <f>IF(_xlfn.XLOOKUP(BJ$14,TableTransport['#],TableTransport[Item reference])="","",_xlfn.XLOOKUP(BJ$14,TableTransport['#],TableTransport[Item reference]))</f>
        <v/>
      </c>
      <c r="BN18" s="345" t="str">
        <f>IF(_xlfn.XLOOKUP(BN$14,TableTransport['#],TableTransport[Item reference])="","",_xlfn.XLOOKUP(BN$14,TableTransport['#],TableTransport[Item reference]))</f>
        <v/>
      </c>
      <c r="BR18" s="345" t="str">
        <f>IF(_xlfn.XLOOKUP(BR$14,TableTransport['#],TableTransport[Item reference])="","",_xlfn.XLOOKUP(BR$14,TableTransport['#],TableTransport[Item reference]))</f>
        <v/>
      </c>
      <c r="BV18" s="345" t="str">
        <f>IF(_xlfn.XLOOKUP(BV$14,TableTransport['#],TableTransport[Item reference])="","",_xlfn.XLOOKUP(BV$14,TableTransport['#],TableTransport[Item reference]))</f>
        <v/>
      </c>
      <c r="BZ18" s="345" t="str">
        <f>IF(_xlfn.XLOOKUP(BZ$14,TableTransport['#],TableTransport[Item reference])="","",_xlfn.XLOOKUP(BZ$14,TableTransport['#],TableTransport[Item reference]))</f>
        <v/>
      </c>
      <c r="CD18" s="345" t="str">
        <f>IF(_xlfn.XLOOKUP(CD$14,TableTransport['#],TableTransport[Item reference])="","",_xlfn.XLOOKUP(CD$14,TableTransport['#],TableTransport[Item reference]))</f>
        <v/>
      </c>
      <c r="CH18" s="345" t="str">
        <f>IF(_xlfn.XLOOKUP(CH$14,TableTransport['#],TableTransport[Item reference])="","",_xlfn.XLOOKUP(CH$14,TableTransport['#],TableTransport[Item reference]))</f>
        <v/>
      </c>
      <c r="CL18" s="345" t="str">
        <f>IF(_xlfn.XLOOKUP(CL$14,TableTransport['#],TableTransport[Item reference])="","",_xlfn.XLOOKUP(CL$14,TableTransport['#],TableTransport[Item reference]))</f>
        <v/>
      </c>
      <c r="CP18" s="345" t="str">
        <f>IF(_xlfn.XLOOKUP(CP$14,TableTransport['#],TableTransport[Item reference])="","",_xlfn.XLOOKUP(CP$14,TableTransport['#],TableTransport[Item reference]))</f>
        <v/>
      </c>
      <c r="CT18" s="345" t="str">
        <f>IF(_xlfn.XLOOKUP(CT$14,TableTransport['#],TableTransport[Item reference])="","",_xlfn.XLOOKUP(CT$14,TableTransport['#],TableTransport[Item reference]))</f>
        <v/>
      </c>
      <c r="CX18" s="345" t="str">
        <f>IF(_xlfn.XLOOKUP(CX$14,TableTransport['#],TableTransport[Item reference])="","",_xlfn.XLOOKUP(CX$14,TableTransport['#],TableTransport[Item reference]))</f>
        <v/>
      </c>
      <c r="DB18" s="345" t="str">
        <f>IF(_xlfn.XLOOKUP(DB$14,TableTransport['#],TableTransport[Item reference])="","",_xlfn.XLOOKUP(DB$14,TableTransport['#],TableTransport[Item reference]))</f>
        <v/>
      </c>
      <c r="DF18" s="345" t="str">
        <f>IF(_xlfn.XLOOKUP(DF$14,TableTransport['#],TableTransport[Item reference])="","",_xlfn.XLOOKUP(DF$14,TableTransport['#],TableTransport[Item reference]))</f>
        <v/>
      </c>
      <c r="DJ18" s="345" t="str">
        <f>IF(_xlfn.XLOOKUP(DJ$14,TableTransport['#],TableTransport[Item reference])="","",_xlfn.XLOOKUP(DJ$14,TableTransport['#],TableTransport[Item reference]))</f>
        <v/>
      </c>
      <c r="DN18" s="345" t="str">
        <f>IF(_xlfn.XLOOKUP(DN$14,TableTransport['#],TableTransport[Item reference])="","",_xlfn.XLOOKUP(DN$14,TableTransport['#],TableTransport[Item reference]))</f>
        <v/>
      </c>
      <c r="DR18" s="345" t="str">
        <f>IF(_xlfn.XLOOKUP(DR$14,TableTransport['#],TableTransport[Item reference])="","",_xlfn.XLOOKUP(DR$14,TableTransport['#],TableTransport[Item reference]))</f>
        <v/>
      </c>
      <c r="DV18" s="345" t="str">
        <f>IF(_xlfn.XLOOKUP(DV$14,TableTransport['#],TableTransport[Item reference])="","",_xlfn.XLOOKUP(DV$14,TableTransport['#],TableTransport[Item reference]))</f>
        <v/>
      </c>
      <c r="DZ18" s="345" t="str">
        <f>IF(_xlfn.XLOOKUP(DZ$14,TableTransport['#],TableTransport[Item reference])="","",_xlfn.XLOOKUP(DZ$14,TableTransport['#],TableTransport[Item reference]))</f>
        <v/>
      </c>
      <c r="ED18" s="345" t="str">
        <f>IF(_xlfn.XLOOKUP(ED$14,TableTransport['#],TableTransport[Item reference])="","",_xlfn.XLOOKUP(ED$14,TableTransport['#],TableTransport[Item reference]))</f>
        <v/>
      </c>
      <c r="EH18" s="345" t="str">
        <f>IF(_xlfn.XLOOKUP(EH$14,TableTransport['#],TableTransport[Item reference])="","",_xlfn.XLOOKUP(EH$14,TableTransport['#],TableTransport[Item reference]))</f>
        <v/>
      </c>
      <c r="EL18" s="345" t="str">
        <f>IF(_xlfn.XLOOKUP(EL$14,TableTransport['#],TableTransport[Item reference])="","",_xlfn.XLOOKUP(EL$14,TableTransport['#],TableTransport[Item reference]))</f>
        <v/>
      </c>
      <c r="EP18" s="345" t="str">
        <f>IF(_xlfn.XLOOKUP(EP$14,TableTransport['#],TableTransport[Item reference])="","",_xlfn.XLOOKUP(EP$14,TableTransport['#],TableTransport[Item reference]))</f>
        <v/>
      </c>
      <c r="ET18" s="345" t="str">
        <f>IF(_xlfn.XLOOKUP(ET$14,TableTransport['#],TableTransport[Item reference])="","",_xlfn.XLOOKUP(ET$14,TableTransport['#],TableTransport[Item reference]))</f>
        <v/>
      </c>
      <c r="EX18" s="345" t="str">
        <f>IF(_xlfn.XLOOKUP(EX$14,TableTransport['#],TableTransport[Item reference])="","",_xlfn.XLOOKUP(EX$14,TableTransport['#],TableTransport[Item reference]))</f>
        <v/>
      </c>
      <c r="FB18" s="345" t="str">
        <f>IF(_xlfn.XLOOKUP(FB$14,TableTransport['#],TableTransport[Item reference])="","",_xlfn.XLOOKUP(FB$14,TableTransport['#],TableTransport[Item reference]))</f>
        <v/>
      </c>
      <c r="FF18" s="345" t="str">
        <f>IF(_xlfn.XLOOKUP(FF$14,TableTransport['#],TableTransport[Item reference])="","",_xlfn.XLOOKUP(FF$14,TableTransport['#],TableTransport[Item reference]))</f>
        <v/>
      </c>
      <c r="FJ18" s="345" t="str">
        <f>IF(_xlfn.XLOOKUP(FJ$14,TableTransport['#],TableTransport[Item reference])="","",_xlfn.XLOOKUP(FJ$14,TableTransport['#],TableTransport[Item reference]))</f>
        <v/>
      </c>
      <c r="FN18" s="345" t="str">
        <f>IF(_xlfn.XLOOKUP(FN$14,TableTransport['#],TableTransport[Item reference])="","",_xlfn.XLOOKUP(FN$14,TableTransport['#],TableTransport[Item reference]))</f>
        <v/>
      </c>
      <c r="FR18" s="345" t="str">
        <f>IF(_xlfn.XLOOKUP(FR$14,TableTransport['#],TableTransport[Item reference])="","",_xlfn.XLOOKUP(FR$14,TableTransport['#],TableTransport[Item reference]))</f>
        <v/>
      </c>
      <c r="FV18" s="345" t="str">
        <f>IF(_xlfn.XLOOKUP(FV$14,TableTransport['#],TableTransport[Item reference])="","",_xlfn.XLOOKUP(FV$14,TableTransport['#],TableTransport[Item reference]))</f>
        <v/>
      </c>
      <c r="FZ18" s="345" t="str">
        <f>IF(_xlfn.XLOOKUP(FZ$14,TableTransport['#],TableTransport[Item reference])="","",_xlfn.XLOOKUP(FZ$14,TableTransport['#],TableTransport[Item reference]))</f>
        <v/>
      </c>
      <c r="GD18" s="345" t="str">
        <f>IF(_xlfn.XLOOKUP(GD$14,TableTransport['#],TableTransport[Item reference])="","",_xlfn.XLOOKUP(GD$14,TableTransport['#],TableTransport[Item reference]))</f>
        <v/>
      </c>
      <c r="GH18" s="345" t="str">
        <f>IF(_xlfn.XLOOKUP(GH$14,TableTransport['#],TableTransport[Item reference])="","",_xlfn.XLOOKUP(GH$14,TableTransport['#],TableTransport[Item reference]))</f>
        <v/>
      </c>
      <c r="GL18" s="345" t="str">
        <f>IF(_xlfn.XLOOKUP(GL$14,TableTransport['#],TableTransport[Item reference])="","",_xlfn.XLOOKUP(GL$14,TableTransport['#],TableTransport[Item reference]))</f>
        <v/>
      </c>
      <c r="GP18" s="345" t="str">
        <f>IF(_xlfn.XLOOKUP(GP$14,TableTransport['#],TableTransport[Item reference])="","",_xlfn.XLOOKUP(GP$14,TableTransport['#],TableTransport[Item reference]))</f>
        <v/>
      </c>
      <c r="GT18" s="345" t="str">
        <f>IF(_xlfn.XLOOKUP(GT$14,TableTransport['#],TableTransport[Item reference])="","",_xlfn.XLOOKUP(GT$14,TableTransport['#],TableTransport[Item reference]))</f>
        <v/>
      </c>
    </row>
    <row r="19" spans="4:204" ht="12" x14ac:dyDescent="0.25">
      <c r="D19" t="s">
        <v>147</v>
      </c>
      <c r="F19" s="159" t="str">
        <f>IFERROR(_xlfn.CONCAT("$ per ",IF(F$17=0,_xlfn.XLOOKUP(F$15,'Variable index'!$C$6:$C$51,'Variable index'!$D$6:$D$51),_xlfn.XLOOKUP(_xlfn.CONCAT(F$15," - ",F$16),'Variable index'!$C$6:$C$51,'Variable index'!$D$6:$D$51))),"")</f>
        <v/>
      </c>
      <c r="G19" s="347" t="str" cm="1">
        <f t="array" ref="G19">IFERROR(IF(F$17=0,INDEX('Variable index'!$E$6:$F$51,MATCH(F$15,'Variable index'!$C$6:$C$51,0),$D$12),INDEX('Variable index'!$E$6:$F$51,MATCH(_xlfn.CONCAT(F$15," - ",F$16),'Variable index'!$C$6:$C$51,0),$D$12)),"")</f>
        <v/>
      </c>
      <c r="H19" s="27"/>
      <c r="J19" s="159" t="str">
        <f>IFERROR(_xlfn.CONCAT("$ per ",IF(J$17=0,_xlfn.XLOOKUP(J$15,'Variable index'!$C$6:$C$51,'Variable index'!$D$6:$D$51),_xlfn.XLOOKUP(_xlfn.CONCAT(J$15," - ",J$16),'Variable index'!$C$6:$C$51,'Variable index'!$D$6:$D$51))),"")</f>
        <v/>
      </c>
      <c r="K19" s="347" t="str" cm="1">
        <f t="array" ref="K19">IFERROR(IF(J$17=0,INDEX('Variable index'!$E$6:$F$51,MATCH(J$15,'Variable index'!$C$6:$C$51,0),$D$12),INDEX('Variable index'!$E$6:$F$51,MATCH(_xlfn.CONCAT(J$15," - ",J$16),'Variable index'!$C$6:$C$51,0),$D$12)),"")</f>
        <v/>
      </c>
      <c r="L19" s="27"/>
      <c r="N19" s="159" t="str">
        <f>IFERROR(_xlfn.CONCAT("$ per ",IF(N$17=0,_xlfn.XLOOKUP(N$15,'Variable index'!$C$6:$C$51,'Variable index'!$D$6:$D$51),_xlfn.XLOOKUP(_xlfn.CONCAT(N$15," - ",N$16),'Variable index'!$C$6:$C$51,'Variable index'!$D$6:$D$51))),"")</f>
        <v/>
      </c>
      <c r="O19" s="347" t="str" cm="1">
        <f t="array" ref="O19">IFERROR(IF(N$17=0,INDEX('Variable index'!$E$6:$F$51,MATCH(N$15,'Variable index'!$C$6:$C$51,0),$D$12),INDEX('Variable index'!$E$6:$F$51,MATCH(_xlfn.CONCAT(N$15," - ",N$16),'Variable index'!$C$6:$C$51,0),$D$12)),"")</f>
        <v/>
      </c>
      <c r="P19" s="27"/>
      <c r="R19" s="159" t="str">
        <f>IFERROR(_xlfn.CONCAT("$ per ",IF(R$17=0,_xlfn.XLOOKUP(R$15,'Variable index'!$C$6:$C$51,'Variable index'!$D$6:$D$51),_xlfn.XLOOKUP(_xlfn.CONCAT(R$15," - ",R$16),'Variable index'!$C$6:$C$51,'Variable index'!$D$6:$D$51))),"")</f>
        <v/>
      </c>
      <c r="S19" s="347" t="str" cm="1">
        <f t="array" ref="S19">IFERROR(IF(R$17=0,INDEX('Variable index'!$E$6:$F$51,MATCH(R$15,'Variable index'!$C$6:$C$51,0),$D$12),INDEX('Variable index'!$E$6:$F$51,MATCH(_xlfn.CONCAT(R$15," - ",R$16),'Variable index'!$C$6:$C$51,0),$D$12)),"")</f>
        <v/>
      </c>
      <c r="T19" s="27"/>
      <c r="V19" s="159" t="str">
        <f>IFERROR(_xlfn.CONCAT("$ per ",IF(V$17=0,_xlfn.XLOOKUP(V$15,'Variable index'!$C$6:$C$51,'Variable index'!$D$6:$D$51),_xlfn.XLOOKUP(_xlfn.CONCAT(V$15," - ",V$16),'Variable index'!$C$6:$C$51,'Variable index'!$D$6:$D$51))),"")</f>
        <v/>
      </c>
      <c r="W19" s="347" t="str" cm="1">
        <f t="array" ref="W19">IFERROR(IF(V$17=0,INDEX('Variable index'!$E$6:$F$51,MATCH(V$15,'Variable index'!$C$6:$C$51,0),$D$12),INDEX('Variable index'!$E$6:$F$51,MATCH(_xlfn.CONCAT(V$15," - ",V$16),'Variable index'!$C$6:$C$51,0),$D$12)),"")</f>
        <v/>
      </c>
      <c r="X19" s="27"/>
      <c r="Z19" s="159" t="str">
        <f>IFERROR(_xlfn.CONCAT("$ per ",IF(Z$17=0,_xlfn.XLOOKUP(Z$15,'Variable index'!$C$6:$C$51,'Variable index'!$D$6:$D$51),_xlfn.XLOOKUP(_xlfn.CONCAT(Z$15," - ",Z$16),'Variable index'!$C$6:$C$51,'Variable index'!$D$6:$D$51))),"")</f>
        <v/>
      </c>
      <c r="AA19" s="347" t="str" cm="1">
        <f t="array" ref="AA19">IFERROR(IF(Z$17=0,INDEX('Variable index'!$E$6:$F$51,MATCH(Z$15,'Variable index'!$C$6:$C$51,0),$D$12),INDEX('Variable index'!$E$6:$F$51,MATCH(_xlfn.CONCAT(Z$15," - ",Z$16),'Variable index'!$C$6:$C$51,0),$D$12)),"")</f>
        <v/>
      </c>
      <c r="AB19" s="27"/>
      <c r="AD19" s="159" t="str">
        <f>IFERROR(_xlfn.CONCAT("$ per ",IF(AD$17=0,_xlfn.XLOOKUP(AD$15,'Variable index'!$C$6:$C$51,'Variable index'!$D$6:$D$51),_xlfn.XLOOKUP(_xlfn.CONCAT(AD$15," - ",AD$16),'Variable index'!$C$6:$C$51,'Variable index'!$D$6:$D$51))),"")</f>
        <v/>
      </c>
      <c r="AE19" s="347" t="str" cm="1">
        <f t="array" ref="AE19">IFERROR(IF(AD$17=0,INDEX('Variable index'!$E$6:$F$51,MATCH(AD$15,'Variable index'!$C$6:$C$51,0),$D$12),INDEX('Variable index'!$E$6:$F$51,MATCH(_xlfn.CONCAT(AD$15," - ",AD$16),'Variable index'!$C$6:$C$51,0),$D$12)),"")</f>
        <v/>
      </c>
      <c r="AF19" s="27"/>
      <c r="AH19" s="159" t="str">
        <f>IFERROR(_xlfn.CONCAT("$ per ",IF(AH$17=0,_xlfn.XLOOKUP(AH$15,'Variable index'!$C$6:$C$51,'Variable index'!$D$6:$D$51),_xlfn.XLOOKUP(_xlfn.CONCAT(AH$15," - ",AH$16),'Variable index'!$C$6:$C$51,'Variable index'!$D$6:$D$51))),"")</f>
        <v/>
      </c>
      <c r="AI19" s="347" t="str" cm="1">
        <f t="array" ref="AI19">IFERROR(IF(AH$17=0,INDEX('Variable index'!$E$6:$F$51,MATCH(AH$15,'Variable index'!$C$6:$C$51,0),$D$12),INDEX('Variable index'!$E$6:$F$51,MATCH(_xlfn.CONCAT(AH$15," - ",AH$16),'Variable index'!$C$6:$C$51,0),$D$12)),"")</f>
        <v/>
      </c>
      <c r="AJ19" s="27"/>
      <c r="AL19" s="159" t="str">
        <f>IFERROR(_xlfn.CONCAT("$ per ",IF(AL$17=0,_xlfn.XLOOKUP(AL$15,'Variable index'!$C$6:$C$51,'Variable index'!$D$6:$D$51),_xlfn.XLOOKUP(_xlfn.CONCAT(AL$15," - ",AL$16),'Variable index'!$C$6:$C$51,'Variable index'!$D$6:$D$51))),"")</f>
        <v/>
      </c>
      <c r="AM19" s="347" t="str" cm="1">
        <f t="array" ref="AM19">IFERROR(IF(AL$17=0,INDEX('Variable index'!$E$6:$F$51,MATCH(AL$15,'Variable index'!$C$6:$C$51,0),$D$12),INDEX('Variable index'!$E$6:$F$51,MATCH(_xlfn.CONCAT(AL$15," - ",AL$16),'Variable index'!$C$6:$C$51,0),$D$12)),"")</f>
        <v/>
      </c>
      <c r="AN19" s="27"/>
      <c r="AP19" s="159" t="str">
        <f>IFERROR(_xlfn.CONCAT("$ per ",IF(AP$17=0,_xlfn.XLOOKUP(AP$15,'Variable index'!$C$6:$C$51,'Variable index'!$D$6:$D$51),_xlfn.XLOOKUP(_xlfn.CONCAT(AP$15," - ",AP$16),'Variable index'!$C$6:$C$51,'Variable index'!$D$6:$D$51))),"")</f>
        <v/>
      </c>
      <c r="AQ19" s="347" t="str" cm="1">
        <f t="array" ref="AQ19">IFERROR(IF(AP$17=0,INDEX('Variable index'!$E$6:$F$51,MATCH(AP$15,'Variable index'!$C$6:$C$51,0),$D$12),INDEX('Variable index'!$E$6:$F$51,MATCH(_xlfn.CONCAT(AP$15," - ",AP$16),'Variable index'!$C$6:$C$51,0),$D$12)),"")</f>
        <v/>
      </c>
      <c r="AR19" s="27"/>
      <c r="AT19" s="159" t="str">
        <f>IFERROR(_xlfn.CONCAT("$ per ",IF(AT$17=0,_xlfn.XLOOKUP(AT$15,'Variable index'!$C$6:$C$51,'Variable index'!$D$6:$D$51),_xlfn.XLOOKUP(_xlfn.CONCAT(AT$15," - ",AT$16),'Variable index'!$C$6:$C$51,'Variable index'!$D$6:$D$51))),"")</f>
        <v/>
      </c>
      <c r="AU19" s="347" t="str" cm="1">
        <f t="array" ref="AU19">IFERROR(IF(AT$17=0,INDEX('Variable index'!$E$6:$F$51,MATCH(AT$15,'Variable index'!$C$6:$C$51,0),$D$12),INDEX('Variable index'!$E$6:$F$51,MATCH(_xlfn.CONCAT(AT$15," - ",AT$16),'Variable index'!$C$6:$C$51,0),$D$12)),"")</f>
        <v/>
      </c>
      <c r="AV19" s="27"/>
      <c r="AX19" s="159" t="str">
        <f>IFERROR(_xlfn.CONCAT("$ per ",IF(AX$17=0,_xlfn.XLOOKUP(AX$15,'Variable index'!$C$6:$C$51,'Variable index'!$D$6:$D$51),_xlfn.XLOOKUP(_xlfn.CONCAT(AX$15," - ",AX$16),'Variable index'!$C$6:$C$51,'Variable index'!$D$6:$D$51))),"")</f>
        <v/>
      </c>
      <c r="AY19" s="347" t="str" cm="1">
        <f t="array" ref="AY19">IFERROR(IF(AX$17=0,INDEX('Variable index'!$E$6:$F$51,MATCH(AX$15,'Variable index'!$C$6:$C$51,0),$D$12),INDEX('Variable index'!$E$6:$F$51,MATCH(_xlfn.CONCAT(AX$15," - ",AX$16),'Variable index'!$C$6:$C$51,0),$D$12)),"")</f>
        <v/>
      </c>
      <c r="AZ19" s="27"/>
      <c r="BB19" s="159" t="str">
        <f>IFERROR(_xlfn.CONCAT("$ per ",IF(BB$17=0,_xlfn.XLOOKUP(BB$15,'Variable index'!$C$6:$C$51,'Variable index'!$D$6:$D$51),_xlfn.XLOOKUP(_xlfn.CONCAT(BB$15," - ",BB$16),'Variable index'!$C$6:$C$51,'Variable index'!$D$6:$D$51))),"")</f>
        <v/>
      </c>
      <c r="BC19" s="347" t="str" cm="1">
        <f t="array" ref="BC19">IFERROR(IF(BB$17=0,INDEX('Variable index'!$E$6:$F$51,MATCH(BB$15,'Variable index'!$C$6:$C$51,0),$D$12),INDEX('Variable index'!$E$6:$F$51,MATCH(_xlfn.CONCAT(BB$15," - ",BB$16),'Variable index'!$C$6:$C$51,0),$D$12)),"")</f>
        <v/>
      </c>
      <c r="BD19" s="27"/>
      <c r="BF19" s="159" t="str">
        <f>IFERROR(_xlfn.CONCAT("$ per ",IF(BF$17=0,_xlfn.XLOOKUP(BF$15,'Variable index'!$C$6:$C$51,'Variable index'!$D$6:$D$51),_xlfn.XLOOKUP(_xlfn.CONCAT(BF$15," - ",BF$16),'Variable index'!$C$6:$C$51,'Variable index'!$D$6:$D$51))),"")</f>
        <v/>
      </c>
      <c r="BG19" s="347" t="str" cm="1">
        <f t="array" ref="BG19">IFERROR(IF(BF$17=0,INDEX('Variable index'!$E$6:$F$51,MATCH(BF$15,'Variable index'!$C$6:$C$51,0),$D$12),INDEX('Variable index'!$E$6:$F$51,MATCH(_xlfn.CONCAT(BF$15," - ",BF$16),'Variable index'!$C$6:$C$51,0),$D$12)),"")</f>
        <v/>
      </c>
      <c r="BH19" s="27"/>
      <c r="BJ19" s="159" t="str">
        <f>IFERROR(_xlfn.CONCAT("$ per ",IF(BJ$17=0,_xlfn.XLOOKUP(BJ$15,'Variable index'!$C$6:$C$51,'Variable index'!$D$6:$D$51),_xlfn.XLOOKUP(_xlfn.CONCAT(BJ$15," - ",BJ$16),'Variable index'!$C$6:$C$51,'Variable index'!$D$6:$D$51))),"")</f>
        <v/>
      </c>
      <c r="BK19" s="347" t="str" cm="1">
        <f t="array" ref="BK19">IFERROR(IF(BJ$17=0,INDEX('Variable index'!$E$6:$F$51,MATCH(BJ$15,'Variable index'!$C$6:$C$51,0),$D$12),INDEX('Variable index'!$E$6:$F$51,MATCH(_xlfn.CONCAT(BJ$15," - ",BJ$16),'Variable index'!$C$6:$C$51,0),$D$12)),"")</f>
        <v/>
      </c>
      <c r="BL19" s="27"/>
      <c r="BN19" s="159" t="str">
        <f>IFERROR(_xlfn.CONCAT("$ per ",IF(BN$17=0,_xlfn.XLOOKUP(BN$15,'Variable index'!$C$6:$C$51,'Variable index'!$D$6:$D$51),_xlfn.XLOOKUP(_xlfn.CONCAT(BN$15," - ",BN$16),'Variable index'!$C$6:$C$51,'Variable index'!$D$6:$D$51))),"")</f>
        <v/>
      </c>
      <c r="BO19" s="347" t="str" cm="1">
        <f t="array" ref="BO19">IFERROR(IF(BN$17=0,INDEX('Variable index'!$E$6:$F$51,MATCH(BN$15,'Variable index'!$C$6:$C$51,0),$D$12),INDEX('Variable index'!$E$6:$F$51,MATCH(_xlfn.CONCAT(BN$15," - ",BN$16),'Variable index'!$C$6:$C$51,0),$D$12)),"")</f>
        <v/>
      </c>
      <c r="BP19" s="27"/>
      <c r="BR19" s="159" t="str">
        <f>IFERROR(_xlfn.CONCAT("$ per ",IF(BR$17=0,_xlfn.XLOOKUP(BR$15,'Variable index'!$C$6:$C$51,'Variable index'!$D$6:$D$51),_xlfn.XLOOKUP(_xlfn.CONCAT(BR$15," - ",BR$16),'Variable index'!$C$6:$C$51,'Variable index'!$D$6:$D$51))),"")</f>
        <v/>
      </c>
      <c r="BS19" s="347" t="str" cm="1">
        <f t="array" ref="BS19">IFERROR(IF(BR$17=0,INDEX('Variable index'!$E$6:$F$51,MATCH(BR$15,'Variable index'!$C$6:$C$51,0),$D$12),INDEX('Variable index'!$E$6:$F$51,MATCH(_xlfn.CONCAT(BR$15," - ",BR$16),'Variable index'!$C$6:$C$51,0),$D$12)),"")</f>
        <v/>
      </c>
      <c r="BT19" s="27"/>
      <c r="BV19" s="159" t="str">
        <f>IFERROR(_xlfn.CONCAT("$ per ",IF(BV$17=0,_xlfn.XLOOKUP(BV$15,'Variable index'!$C$6:$C$51,'Variable index'!$D$6:$D$51),_xlfn.XLOOKUP(_xlfn.CONCAT(BV$15," - ",BV$16),'Variable index'!$C$6:$C$51,'Variable index'!$D$6:$D$51))),"")</f>
        <v/>
      </c>
      <c r="BW19" s="347" t="str" cm="1">
        <f t="array" ref="BW19">IFERROR(IF(BV$17=0,INDEX('Variable index'!$E$6:$F$51,MATCH(BV$15,'Variable index'!$C$6:$C$51,0),$D$12),INDEX('Variable index'!$E$6:$F$51,MATCH(_xlfn.CONCAT(BV$15," - ",BV$16),'Variable index'!$C$6:$C$51,0),$D$12)),"")</f>
        <v/>
      </c>
      <c r="BX19" s="27"/>
      <c r="BZ19" s="159" t="str">
        <f>IFERROR(_xlfn.CONCAT("$ per ",IF(BZ$17=0,_xlfn.XLOOKUP(BZ$15,'Variable index'!$C$6:$C$51,'Variable index'!$D$6:$D$51),_xlfn.XLOOKUP(_xlfn.CONCAT(BZ$15," - ",BZ$16),'Variable index'!$C$6:$C$51,'Variable index'!$D$6:$D$51))),"")</f>
        <v/>
      </c>
      <c r="CA19" s="347" t="str" cm="1">
        <f t="array" ref="CA19">IFERROR(IF(BZ$17=0,INDEX('Variable index'!$E$6:$F$51,MATCH(BZ$15,'Variable index'!$C$6:$C$51,0),$D$12),INDEX('Variable index'!$E$6:$F$51,MATCH(_xlfn.CONCAT(BZ$15," - ",BZ$16),'Variable index'!$C$6:$C$51,0),$D$12)),"")</f>
        <v/>
      </c>
      <c r="CB19" s="27"/>
      <c r="CD19" s="159" t="str">
        <f>IFERROR(_xlfn.CONCAT("$ per ",IF(CD$17=0,_xlfn.XLOOKUP(CD$15,'Variable index'!$C$6:$C$51,'Variable index'!$D$6:$D$51),_xlfn.XLOOKUP(_xlfn.CONCAT(CD$15," - ",CD$16),'Variable index'!$C$6:$C$51,'Variable index'!$D$6:$D$51))),"")</f>
        <v/>
      </c>
      <c r="CE19" s="347" t="str" cm="1">
        <f t="array" ref="CE19">IFERROR(IF(CD$17=0,INDEX('Variable index'!$E$6:$F$51,MATCH(CD$15,'Variable index'!$C$6:$C$51,0),$D$12),INDEX('Variable index'!$E$6:$F$51,MATCH(_xlfn.CONCAT(CD$15," - ",CD$16),'Variable index'!$C$6:$C$51,0),$D$12)),"")</f>
        <v/>
      </c>
      <c r="CF19" s="27"/>
      <c r="CH19" s="159" t="str">
        <f>IFERROR(_xlfn.CONCAT("$ per ",IF(CH$17=0,_xlfn.XLOOKUP(CH$15,'Variable index'!$C$6:$C$51,'Variable index'!$D$6:$D$51),_xlfn.XLOOKUP(_xlfn.CONCAT(CH$15," - ",CH$16),'Variable index'!$C$6:$C$51,'Variable index'!$D$6:$D$51))),"")</f>
        <v/>
      </c>
      <c r="CI19" s="347" t="str" cm="1">
        <f t="array" ref="CI19">IFERROR(IF(CH$17=0,INDEX('Variable index'!$E$6:$F$51,MATCH(CH$15,'Variable index'!$C$6:$C$51,0),$D$12),INDEX('Variable index'!$E$6:$F$51,MATCH(_xlfn.CONCAT(CH$15," - ",CH$16),'Variable index'!$C$6:$C$51,0),$D$12)),"")</f>
        <v/>
      </c>
      <c r="CJ19" s="27"/>
      <c r="CL19" s="159" t="str">
        <f>IFERROR(_xlfn.CONCAT("$ per ",IF(CL$17=0,_xlfn.XLOOKUP(CL$15,'Variable index'!$C$6:$C$51,'Variable index'!$D$6:$D$51),_xlfn.XLOOKUP(_xlfn.CONCAT(CL$15," - ",CL$16),'Variable index'!$C$6:$C$51,'Variable index'!$D$6:$D$51))),"")</f>
        <v/>
      </c>
      <c r="CM19" s="347" t="str" cm="1">
        <f t="array" ref="CM19">IFERROR(IF(CL$17=0,INDEX('Variable index'!$E$6:$F$51,MATCH(CL$15,'Variable index'!$C$6:$C$51,0),$D$12),INDEX('Variable index'!$E$6:$F$51,MATCH(_xlfn.CONCAT(CL$15," - ",CL$16),'Variable index'!$C$6:$C$51,0),$D$12)),"")</f>
        <v/>
      </c>
      <c r="CN19" s="27"/>
      <c r="CP19" s="159" t="str">
        <f>IFERROR(_xlfn.CONCAT("$ per ",IF(CP$17=0,_xlfn.XLOOKUP(CP$15,'Variable index'!$C$6:$C$51,'Variable index'!$D$6:$D$51),_xlfn.XLOOKUP(_xlfn.CONCAT(CP$15," - ",CP$16),'Variable index'!$C$6:$C$51,'Variable index'!$D$6:$D$51))),"")</f>
        <v/>
      </c>
      <c r="CQ19" s="347" t="str" cm="1">
        <f t="array" ref="CQ19">IFERROR(IF(CP$17=0,INDEX('Variable index'!$E$6:$F$51,MATCH(CP$15,'Variable index'!$C$6:$C$51,0),$D$12),INDEX('Variable index'!$E$6:$F$51,MATCH(_xlfn.CONCAT(CP$15," - ",CP$16),'Variable index'!$C$6:$C$51,0),$D$12)),"")</f>
        <v/>
      </c>
      <c r="CR19" s="27"/>
      <c r="CT19" s="159" t="str">
        <f>IFERROR(_xlfn.CONCAT("$ per ",IF(CT$17=0,_xlfn.XLOOKUP(CT$15,'Variable index'!$C$6:$C$51,'Variable index'!$D$6:$D$51),_xlfn.XLOOKUP(_xlfn.CONCAT(CT$15," - ",CT$16),'Variable index'!$C$6:$C$51,'Variable index'!$D$6:$D$51))),"")</f>
        <v/>
      </c>
      <c r="CU19" s="347" t="str" cm="1">
        <f t="array" ref="CU19">IFERROR(IF(CT$17=0,INDEX('Variable index'!$E$6:$F$51,MATCH(CT$15,'Variable index'!$C$6:$C$51,0),$D$12),INDEX('Variable index'!$E$6:$F$51,MATCH(_xlfn.CONCAT(CT$15," - ",CT$16),'Variable index'!$C$6:$C$51,0),$D$12)),"")</f>
        <v/>
      </c>
      <c r="CV19" s="27"/>
      <c r="CX19" s="159" t="str">
        <f>IFERROR(_xlfn.CONCAT("$ per ",IF(CX$17=0,_xlfn.XLOOKUP(CX$15,'Variable index'!$C$6:$C$51,'Variable index'!$D$6:$D$51),_xlfn.XLOOKUP(_xlfn.CONCAT(CX$15," - ",CX$16),'Variable index'!$C$6:$C$51,'Variable index'!$D$6:$D$51))),"")</f>
        <v/>
      </c>
      <c r="CY19" s="347" t="str" cm="1">
        <f t="array" ref="CY19">IFERROR(IF(CX$17=0,INDEX('Variable index'!$E$6:$F$51,MATCH(CX$15,'Variable index'!$C$6:$C$51,0),$D$12),INDEX('Variable index'!$E$6:$F$51,MATCH(_xlfn.CONCAT(CX$15," - ",CX$16),'Variable index'!$C$6:$C$51,0),$D$12)),"")</f>
        <v/>
      </c>
      <c r="CZ19" s="27"/>
      <c r="DB19" s="159" t="str">
        <f>IFERROR(_xlfn.CONCAT("$ per ",IF(DB$17=0,_xlfn.XLOOKUP(DB$15,'Variable index'!$C$6:$C$51,'Variable index'!$D$6:$D$51),_xlfn.XLOOKUP(_xlfn.CONCAT(DB$15," - ",DB$16),'Variable index'!$C$6:$C$51,'Variable index'!$D$6:$D$51))),"")</f>
        <v/>
      </c>
      <c r="DC19" s="347" t="str" cm="1">
        <f t="array" ref="DC19">IFERROR(IF(DB$17=0,INDEX('Variable index'!$E$6:$F$51,MATCH(DB$15,'Variable index'!$C$6:$C$51,0),$D$12),INDEX('Variable index'!$E$6:$F$51,MATCH(_xlfn.CONCAT(DB$15," - ",DB$16),'Variable index'!$C$6:$C$51,0),$D$12)),"")</f>
        <v/>
      </c>
      <c r="DD19" s="27"/>
      <c r="DF19" s="159" t="str">
        <f>IFERROR(_xlfn.CONCAT("$ per ",IF(DF$17=0,_xlfn.XLOOKUP(DF$15,'Variable index'!$C$6:$C$51,'Variable index'!$D$6:$D$51),_xlfn.XLOOKUP(_xlfn.CONCAT(DF$15," - ",DF$16),'Variable index'!$C$6:$C$51,'Variable index'!$D$6:$D$51))),"")</f>
        <v/>
      </c>
      <c r="DG19" s="347" t="str" cm="1">
        <f t="array" ref="DG19">IFERROR(IF(DF$17=0,INDEX('Variable index'!$E$6:$F$51,MATCH(DF$15,'Variable index'!$C$6:$C$51,0),$D$12),INDEX('Variable index'!$E$6:$F$51,MATCH(_xlfn.CONCAT(DF$15," - ",DF$16),'Variable index'!$C$6:$C$51,0),$D$12)),"")</f>
        <v/>
      </c>
      <c r="DH19" s="27"/>
      <c r="DJ19" s="159" t="str">
        <f>IFERROR(_xlfn.CONCAT("$ per ",IF(DJ$17=0,_xlfn.XLOOKUP(DJ$15,'Variable index'!$C$6:$C$51,'Variable index'!$D$6:$D$51),_xlfn.XLOOKUP(_xlfn.CONCAT(DJ$15," - ",DJ$16),'Variable index'!$C$6:$C$51,'Variable index'!$D$6:$D$51))),"")</f>
        <v/>
      </c>
      <c r="DK19" s="347" t="str" cm="1">
        <f t="array" ref="DK19">IFERROR(IF(DJ$17=0,INDEX('Variable index'!$E$6:$F$51,MATCH(DJ$15,'Variable index'!$C$6:$C$51,0),$D$12),INDEX('Variable index'!$E$6:$F$51,MATCH(_xlfn.CONCAT(DJ$15," - ",DJ$16),'Variable index'!$C$6:$C$51,0),$D$12)),"")</f>
        <v/>
      </c>
      <c r="DL19" s="27"/>
      <c r="DN19" s="159" t="str">
        <f>IFERROR(_xlfn.CONCAT("$ per ",IF(DN$17=0,_xlfn.XLOOKUP(DN$15,'Variable index'!$C$6:$C$51,'Variable index'!$D$6:$D$51),_xlfn.XLOOKUP(_xlfn.CONCAT(DN$15," - ",DN$16),'Variable index'!$C$6:$C$51,'Variable index'!$D$6:$D$51))),"")</f>
        <v/>
      </c>
      <c r="DO19" s="347" t="str" cm="1">
        <f t="array" ref="DO19">IFERROR(IF(DN$17=0,INDEX('Variable index'!$E$6:$F$51,MATCH(DN$15,'Variable index'!$C$6:$C$51,0),$D$12),INDEX('Variable index'!$E$6:$F$51,MATCH(_xlfn.CONCAT(DN$15," - ",DN$16),'Variable index'!$C$6:$C$51,0),$D$12)),"")</f>
        <v/>
      </c>
      <c r="DP19" s="27"/>
      <c r="DR19" s="159" t="str">
        <f>IFERROR(_xlfn.CONCAT("$ per ",IF(DR$17=0,_xlfn.XLOOKUP(DR$15,'Variable index'!$C$6:$C$51,'Variable index'!$D$6:$D$51),_xlfn.XLOOKUP(_xlfn.CONCAT(DR$15," - ",DR$16),'Variable index'!$C$6:$C$51,'Variable index'!$D$6:$D$51))),"")</f>
        <v/>
      </c>
      <c r="DS19" s="347" t="str" cm="1">
        <f t="array" ref="DS19">IFERROR(IF(DR$17=0,INDEX('Variable index'!$E$6:$F$51,MATCH(DR$15,'Variable index'!$C$6:$C$51,0),$D$12),INDEX('Variable index'!$E$6:$F$51,MATCH(_xlfn.CONCAT(DR$15," - ",DR$16),'Variable index'!$C$6:$C$51,0),$D$12)),"")</f>
        <v/>
      </c>
      <c r="DT19" s="27"/>
      <c r="DV19" s="159" t="str">
        <f>IFERROR(_xlfn.CONCAT("$ per ",IF(DV$17=0,_xlfn.XLOOKUP(DV$15,'Variable index'!$C$6:$C$51,'Variable index'!$D$6:$D$51),_xlfn.XLOOKUP(_xlfn.CONCAT(DV$15," - ",DV$16),'Variable index'!$C$6:$C$51,'Variable index'!$D$6:$D$51))),"")</f>
        <v/>
      </c>
      <c r="DW19" s="347" t="str" cm="1">
        <f t="array" ref="DW19">IFERROR(IF(DV$17=0,INDEX('Variable index'!$E$6:$F$51,MATCH(DV$15,'Variable index'!$C$6:$C$51,0),$D$12),INDEX('Variable index'!$E$6:$F$51,MATCH(_xlfn.CONCAT(DV$15," - ",DV$16),'Variable index'!$C$6:$C$51,0),$D$12)),"")</f>
        <v/>
      </c>
      <c r="DX19" s="27"/>
      <c r="DZ19" s="159" t="str">
        <f>IFERROR(_xlfn.CONCAT("$ per ",IF(DZ$17=0,_xlfn.XLOOKUP(DZ$15,'Variable index'!$C$6:$C$51,'Variable index'!$D$6:$D$51),_xlfn.XLOOKUP(_xlfn.CONCAT(DZ$15," - ",DZ$16),'Variable index'!$C$6:$C$51,'Variable index'!$D$6:$D$51))),"")</f>
        <v/>
      </c>
      <c r="EA19" s="347" t="str" cm="1">
        <f t="array" ref="EA19">IFERROR(IF(DZ$17=0,INDEX('Variable index'!$E$6:$F$51,MATCH(DZ$15,'Variable index'!$C$6:$C$51,0),$D$12),INDEX('Variable index'!$E$6:$F$51,MATCH(_xlfn.CONCAT(DZ$15," - ",DZ$16),'Variable index'!$C$6:$C$51,0),$D$12)),"")</f>
        <v/>
      </c>
      <c r="EB19" s="27"/>
      <c r="ED19" s="159" t="str">
        <f>IFERROR(_xlfn.CONCAT("$ per ",IF(ED$17=0,_xlfn.XLOOKUP(ED$15,'Variable index'!$C$6:$C$51,'Variable index'!$D$6:$D$51),_xlfn.XLOOKUP(_xlfn.CONCAT(ED$15," - ",ED$16),'Variable index'!$C$6:$C$51,'Variable index'!$D$6:$D$51))),"")</f>
        <v/>
      </c>
      <c r="EE19" s="347" t="str" cm="1">
        <f t="array" ref="EE19">IFERROR(IF(ED$17=0,INDEX('Variable index'!$E$6:$F$51,MATCH(ED$15,'Variable index'!$C$6:$C$51,0),$D$12),INDEX('Variable index'!$E$6:$F$51,MATCH(_xlfn.CONCAT(ED$15," - ",ED$16),'Variable index'!$C$6:$C$51,0),$D$12)),"")</f>
        <v/>
      </c>
      <c r="EF19" s="27"/>
      <c r="EH19" s="159" t="str">
        <f>IFERROR(_xlfn.CONCAT("$ per ",IF(EH$17=0,_xlfn.XLOOKUP(EH$15,'Variable index'!$C$6:$C$51,'Variable index'!$D$6:$D$51),_xlfn.XLOOKUP(_xlfn.CONCAT(EH$15," - ",EH$16),'Variable index'!$C$6:$C$51,'Variable index'!$D$6:$D$51))),"")</f>
        <v/>
      </c>
      <c r="EI19" s="347" t="str" cm="1">
        <f t="array" ref="EI19">IFERROR(IF(EH$17=0,INDEX('Variable index'!$E$6:$F$51,MATCH(EH$15,'Variable index'!$C$6:$C$51,0),$D$12),INDEX('Variable index'!$E$6:$F$51,MATCH(_xlfn.CONCAT(EH$15," - ",EH$16),'Variable index'!$C$6:$C$51,0),$D$12)),"")</f>
        <v/>
      </c>
      <c r="EJ19" s="27"/>
      <c r="EL19" s="159" t="str">
        <f>IFERROR(_xlfn.CONCAT("$ per ",IF(EL$17=0,_xlfn.XLOOKUP(EL$15,'Variable index'!$C$6:$C$51,'Variable index'!$D$6:$D$51),_xlfn.XLOOKUP(_xlfn.CONCAT(EL$15," - ",EL$16),'Variable index'!$C$6:$C$51,'Variable index'!$D$6:$D$51))),"")</f>
        <v/>
      </c>
      <c r="EM19" s="347" t="str" cm="1">
        <f t="array" ref="EM19">IFERROR(IF(EL$17=0,INDEX('Variable index'!$E$6:$F$51,MATCH(EL$15,'Variable index'!$C$6:$C$51,0),$D$12),INDEX('Variable index'!$E$6:$F$51,MATCH(_xlfn.CONCAT(EL$15," - ",EL$16),'Variable index'!$C$6:$C$51,0),$D$12)),"")</f>
        <v/>
      </c>
      <c r="EN19" s="27"/>
      <c r="EP19" s="159" t="str">
        <f>IFERROR(_xlfn.CONCAT("$ per ",IF(EP$17=0,_xlfn.XLOOKUP(EP$15,'Variable index'!$C$6:$C$51,'Variable index'!$D$6:$D$51),_xlfn.XLOOKUP(_xlfn.CONCAT(EP$15," - ",EP$16),'Variable index'!$C$6:$C$51,'Variable index'!$D$6:$D$51))),"")</f>
        <v/>
      </c>
      <c r="EQ19" s="347" t="str" cm="1">
        <f t="array" ref="EQ19">IFERROR(IF(EP$17=0,INDEX('Variable index'!$E$6:$F$51,MATCH(EP$15,'Variable index'!$C$6:$C$51,0),$D$12),INDEX('Variable index'!$E$6:$F$51,MATCH(_xlfn.CONCAT(EP$15," - ",EP$16),'Variable index'!$C$6:$C$51,0),$D$12)),"")</f>
        <v/>
      </c>
      <c r="ER19" s="27"/>
      <c r="ET19" s="159" t="str">
        <f>IFERROR(_xlfn.CONCAT("$ per ",IF(ET$17=0,_xlfn.XLOOKUP(ET$15,'Variable index'!$C$6:$C$51,'Variable index'!$D$6:$D$51),_xlfn.XLOOKUP(_xlfn.CONCAT(ET$15," - ",ET$16),'Variable index'!$C$6:$C$51,'Variable index'!$D$6:$D$51))),"")</f>
        <v/>
      </c>
      <c r="EU19" s="347" t="str" cm="1">
        <f t="array" ref="EU19">IFERROR(IF(ET$17=0,INDEX('Variable index'!$E$6:$F$51,MATCH(ET$15,'Variable index'!$C$6:$C$51,0),$D$12),INDEX('Variable index'!$E$6:$F$51,MATCH(_xlfn.CONCAT(ET$15," - ",ET$16),'Variable index'!$C$6:$C$51,0),$D$12)),"")</f>
        <v/>
      </c>
      <c r="EV19" s="27"/>
      <c r="EX19" s="159" t="str">
        <f>IFERROR(_xlfn.CONCAT("$ per ",IF(EX$17=0,_xlfn.XLOOKUP(EX$15,'Variable index'!$C$6:$C$51,'Variable index'!$D$6:$D$51),_xlfn.XLOOKUP(_xlfn.CONCAT(EX$15," - ",EX$16),'Variable index'!$C$6:$C$51,'Variable index'!$D$6:$D$51))),"")</f>
        <v/>
      </c>
      <c r="EY19" s="347" t="str" cm="1">
        <f t="array" ref="EY19">IFERROR(IF(EX$17=0,INDEX('Variable index'!$E$6:$F$51,MATCH(EX$15,'Variable index'!$C$6:$C$51,0),$D$12),INDEX('Variable index'!$E$6:$F$51,MATCH(_xlfn.CONCAT(EX$15," - ",EX$16),'Variable index'!$C$6:$C$51,0),$D$12)),"")</f>
        <v/>
      </c>
      <c r="EZ19" s="27"/>
      <c r="FB19" s="159" t="str">
        <f>IFERROR(_xlfn.CONCAT("$ per ",IF(FB$17=0,_xlfn.XLOOKUP(FB$15,'Variable index'!$C$6:$C$51,'Variable index'!$D$6:$D$51),_xlfn.XLOOKUP(_xlfn.CONCAT(FB$15," - ",FB$16),'Variable index'!$C$6:$C$51,'Variable index'!$D$6:$D$51))),"")</f>
        <v/>
      </c>
      <c r="FC19" s="347" t="str" cm="1">
        <f t="array" ref="FC19">IFERROR(IF(FB$17=0,INDEX('Variable index'!$E$6:$F$51,MATCH(FB$15,'Variable index'!$C$6:$C$51,0),$D$12),INDEX('Variable index'!$E$6:$F$51,MATCH(_xlfn.CONCAT(FB$15," - ",FB$16),'Variable index'!$C$6:$C$51,0),$D$12)),"")</f>
        <v/>
      </c>
      <c r="FD19" s="27"/>
      <c r="FF19" s="159" t="str">
        <f>IFERROR(_xlfn.CONCAT("$ per ",IF(FF$17=0,_xlfn.XLOOKUP(FF$15,'Variable index'!$C$6:$C$51,'Variable index'!$D$6:$D$51),_xlfn.XLOOKUP(_xlfn.CONCAT(FF$15," - ",FF$16),'Variable index'!$C$6:$C$51,'Variable index'!$D$6:$D$51))),"")</f>
        <v/>
      </c>
      <c r="FG19" s="347" t="str" cm="1">
        <f t="array" ref="FG19">IFERROR(IF(FF$17=0,INDEX('Variable index'!$E$6:$F$51,MATCH(FF$15,'Variable index'!$C$6:$C$51,0),$D$12),INDEX('Variable index'!$E$6:$F$51,MATCH(_xlfn.CONCAT(FF$15," - ",FF$16),'Variable index'!$C$6:$C$51,0),$D$12)),"")</f>
        <v/>
      </c>
      <c r="FH19" s="27"/>
      <c r="FJ19" s="159" t="str">
        <f>IFERROR(_xlfn.CONCAT("$ per ",IF(FJ$17=0,_xlfn.XLOOKUP(FJ$15,'Variable index'!$C$6:$C$51,'Variable index'!$D$6:$D$51),_xlfn.XLOOKUP(_xlfn.CONCAT(FJ$15," - ",FJ$16),'Variable index'!$C$6:$C$51,'Variable index'!$D$6:$D$51))),"")</f>
        <v/>
      </c>
      <c r="FK19" s="347" t="str" cm="1">
        <f t="array" ref="FK19">IFERROR(IF(FJ$17=0,INDEX('Variable index'!$E$6:$F$51,MATCH(FJ$15,'Variable index'!$C$6:$C$51,0),$D$12),INDEX('Variable index'!$E$6:$F$51,MATCH(_xlfn.CONCAT(FJ$15," - ",FJ$16),'Variable index'!$C$6:$C$51,0),$D$12)),"")</f>
        <v/>
      </c>
      <c r="FL19" s="27"/>
      <c r="FN19" s="159" t="str">
        <f>IFERROR(_xlfn.CONCAT("$ per ",IF(FN$17=0,_xlfn.XLOOKUP(FN$15,'Variable index'!$C$6:$C$51,'Variable index'!$D$6:$D$51),_xlfn.XLOOKUP(_xlfn.CONCAT(FN$15," - ",FN$16),'Variable index'!$C$6:$C$51,'Variable index'!$D$6:$D$51))),"")</f>
        <v/>
      </c>
      <c r="FO19" s="347" t="str" cm="1">
        <f t="array" ref="FO19">IFERROR(IF(FN$17=0,INDEX('Variable index'!$E$6:$F$51,MATCH(FN$15,'Variable index'!$C$6:$C$51,0),$D$12),INDEX('Variable index'!$E$6:$F$51,MATCH(_xlfn.CONCAT(FN$15," - ",FN$16),'Variable index'!$C$6:$C$51,0),$D$12)),"")</f>
        <v/>
      </c>
      <c r="FP19" s="27"/>
      <c r="FR19" s="159" t="str">
        <f>IFERROR(_xlfn.CONCAT("$ per ",IF(FR$17=0,_xlfn.XLOOKUP(FR$15,'Variable index'!$C$6:$C$51,'Variable index'!$D$6:$D$51),_xlfn.XLOOKUP(_xlfn.CONCAT(FR$15," - ",FR$16),'Variable index'!$C$6:$C$51,'Variable index'!$D$6:$D$51))),"")</f>
        <v/>
      </c>
      <c r="FS19" s="347" t="str" cm="1">
        <f t="array" ref="FS19">IFERROR(IF(FR$17=0,INDEX('Variable index'!$E$6:$F$51,MATCH(FR$15,'Variable index'!$C$6:$C$51,0),$D$12),INDEX('Variable index'!$E$6:$F$51,MATCH(_xlfn.CONCAT(FR$15," - ",FR$16),'Variable index'!$C$6:$C$51,0),$D$12)),"")</f>
        <v/>
      </c>
      <c r="FT19" s="27"/>
      <c r="FV19" s="159" t="str">
        <f>IFERROR(_xlfn.CONCAT("$ per ",IF(FV$17=0,_xlfn.XLOOKUP(FV$15,'Variable index'!$C$6:$C$51,'Variable index'!$D$6:$D$51),_xlfn.XLOOKUP(_xlfn.CONCAT(FV$15," - ",FV$16),'Variable index'!$C$6:$C$51,'Variable index'!$D$6:$D$51))),"")</f>
        <v/>
      </c>
      <c r="FW19" s="347" t="str" cm="1">
        <f t="array" ref="FW19">IFERROR(IF(FV$17=0,INDEX('Variable index'!$E$6:$F$51,MATCH(FV$15,'Variable index'!$C$6:$C$51,0),$D$12),INDEX('Variable index'!$E$6:$F$51,MATCH(_xlfn.CONCAT(FV$15," - ",FV$16),'Variable index'!$C$6:$C$51,0),$D$12)),"")</f>
        <v/>
      </c>
      <c r="FX19" s="27"/>
      <c r="FZ19" s="159" t="str">
        <f>IFERROR(_xlfn.CONCAT("$ per ",IF(FZ$17=0,_xlfn.XLOOKUP(FZ$15,'Variable index'!$C$6:$C$51,'Variable index'!$D$6:$D$51),_xlfn.XLOOKUP(_xlfn.CONCAT(FZ$15," - ",FZ$16),'Variable index'!$C$6:$C$51,'Variable index'!$D$6:$D$51))),"")</f>
        <v/>
      </c>
      <c r="GA19" s="347" t="str" cm="1">
        <f t="array" ref="GA19">IFERROR(IF(FZ$17=0,INDEX('Variable index'!$E$6:$F$51,MATCH(FZ$15,'Variable index'!$C$6:$C$51,0),$D$12),INDEX('Variable index'!$E$6:$F$51,MATCH(_xlfn.CONCAT(FZ$15," - ",FZ$16),'Variable index'!$C$6:$C$51,0),$D$12)),"")</f>
        <v/>
      </c>
      <c r="GB19" s="27"/>
      <c r="GD19" s="159" t="str">
        <f>IFERROR(_xlfn.CONCAT("$ per ",IF(GD$17=0,_xlfn.XLOOKUP(GD$15,'Variable index'!$C$6:$C$51,'Variable index'!$D$6:$D$51),_xlfn.XLOOKUP(_xlfn.CONCAT(GD$15," - ",GD$16),'Variable index'!$C$6:$C$51,'Variable index'!$D$6:$D$51))),"")</f>
        <v/>
      </c>
      <c r="GE19" s="347" t="str" cm="1">
        <f t="array" ref="GE19">IFERROR(IF(GD$17=0,INDEX('Variable index'!$E$6:$F$51,MATCH(GD$15,'Variable index'!$C$6:$C$51,0),$D$12),INDEX('Variable index'!$E$6:$F$51,MATCH(_xlfn.CONCAT(GD$15," - ",GD$16),'Variable index'!$C$6:$C$51,0),$D$12)),"")</f>
        <v/>
      </c>
      <c r="GF19" s="27"/>
      <c r="GH19" s="159" t="str">
        <f>IFERROR(_xlfn.CONCAT("$ per ",IF(GH$17=0,_xlfn.XLOOKUP(GH$15,'Variable index'!$C$6:$C$51,'Variable index'!$D$6:$D$51),_xlfn.XLOOKUP(_xlfn.CONCAT(GH$15," - ",GH$16),'Variable index'!$C$6:$C$51,'Variable index'!$D$6:$D$51))),"")</f>
        <v/>
      </c>
      <c r="GI19" s="347" t="str" cm="1">
        <f t="array" ref="GI19">IFERROR(IF(GH$17=0,INDEX('Variable index'!$E$6:$F$51,MATCH(GH$15,'Variable index'!$C$6:$C$51,0),$D$12),INDEX('Variable index'!$E$6:$F$51,MATCH(_xlfn.CONCAT(GH$15," - ",GH$16),'Variable index'!$C$6:$C$51,0),$D$12)),"")</f>
        <v/>
      </c>
      <c r="GJ19" s="27"/>
      <c r="GL19" s="159" t="str">
        <f>IFERROR(_xlfn.CONCAT("$ per ",IF(GL$17=0,_xlfn.XLOOKUP(GL$15,'Variable index'!$C$6:$C$51,'Variable index'!$D$6:$D$51),_xlfn.XLOOKUP(_xlfn.CONCAT(GL$15," - ",GL$16),'Variable index'!$C$6:$C$51,'Variable index'!$D$6:$D$51))),"")</f>
        <v/>
      </c>
      <c r="GM19" s="347" t="str" cm="1">
        <f t="array" ref="GM19">IFERROR(IF(GL$17=0,INDEX('Variable index'!$E$6:$F$51,MATCH(GL$15,'Variable index'!$C$6:$C$51,0),$D$12),INDEX('Variable index'!$E$6:$F$51,MATCH(_xlfn.CONCAT(GL$15," - ",GL$16),'Variable index'!$C$6:$C$51,0),$D$12)),"")</f>
        <v/>
      </c>
      <c r="GN19" s="27"/>
      <c r="GP19" s="159" t="str">
        <f>IFERROR(_xlfn.CONCAT("$ per ",IF(GP$17=0,_xlfn.XLOOKUP(GP$15,'Variable index'!$C$6:$C$51,'Variable index'!$D$6:$D$51),_xlfn.XLOOKUP(_xlfn.CONCAT(GP$15," - ",GP$16),'Variable index'!$C$6:$C$51,'Variable index'!$D$6:$D$51))),"")</f>
        <v/>
      </c>
      <c r="GQ19" s="347" t="str" cm="1">
        <f t="array" ref="GQ19">IFERROR(IF(GP$17=0,INDEX('Variable index'!$E$6:$F$51,MATCH(GP$15,'Variable index'!$C$6:$C$51,0),$D$12),INDEX('Variable index'!$E$6:$F$51,MATCH(_xlfn.CONCAT(GP$15," - ",GP$16),'Variable index'!$C$6:$C$51,0),$D$12)),"")</f>
        <v/>
      </c>
      <c r="GR19" s="27"/>
      <c r="GT19" s="159" t="str">
        <f>IFERROR(_xlfn.CONCAT("$ per ",IF(GT$17=0,_xlfn.XLOOKUP(GT$15,'Variable index'!$C$6:$C$51,'Variable index'!$D$6:$D$51),_xlfn.XLOOKUP(_xlfn.CONCAT(GT$15," - ",GT$16),'Variable index'!$C$6:$C$51,'Variable index'!$D$6:$D$51))),"")</f>
        <v/>
      </c>
      <c r="GU19" s="347" t="str" cm="1">
        <f t="array" ref="GU19">IFERROR(IF(GT$17=0,INDEX('Variable index'!$E$6:$F$51,MATCH(GT$15,'Variable index'!$C$6:$C$51,0),$D$12),INDEX('Variable index'!$E$6:$F$51,MATCH(_xlfn.CONCAT(GT$15," - ",GT$16),'Variable index'!$C$6:$C$51,0),$D$12)),"")</f>
        <v/>
      </c>
      <c r="GV19" s="27"/>
    </row>
    <row r="20" spans="4:204" ht="12" x14ac:dyDescent="0.25">
      <c r="D20" t="s">
        <v>148</v>
      </c>
      <c r="F20" s="348" t="str">
        <f>IF(_xlfn.XLOOKUP(F$14,TableTransport['#],TableTransport[Unit quantity])&lt;&gt;"",_xlfn.XLOOKUP(F$14,TableTransport['#],TableTransport[Unit quantity]),"")</f>
        <v/>
      </c>
      <c r="H20" s="27"/>
      <c r="J20" s="348" t="str">
        <f>IF(_xlfn.XLOOKUP(J$14,TableTransport['#],TableTransport[Unit quantity])&lt;&gt;"",_xlfn.XLOOKUP(J$14,TableTransport['#],TableTransport[Unit quantity]),"")</f>
        <v/>
      </c>
      <c r="L20" s="27"/>
      <c r="N20" s="348" t="str">
        <f>IF(_xlfn.XLOOKUP(N$14,TableTransport['#],TableTransport[Unit quantity])&lt;&gt;"",_xlfn.XLOOKUP(N$14,TableTransport['#],TableTransport[Unit quantity]),"")</f>
        <v/>
      </c>
      <c r="P20" s="27"/>
      <c r="R20" s="348" t="str">
        <f>IF(_xlfn.XLOOKUP(R$14,TableTransport['#],TableTransport[Unit quantity])&lt;&gt;"",_xlfn.XLOOKUP(R$14,TableTransport['#],TableTransport[Unit quantity]),"")</f>
        <v/>
      </c>
      <c r="T20" s="27"/>
      <c r="V20" s="348" t="str">
        <f>IF(_xlfn.XLOOKUP(V$14,TableTransport['#],TableTransport[Unit quantity])&lt;&gt;"",_xlfn.XLOOKUP(V$14,TableTransport['#],TableTransport[Unit quantity]),"")</f>
        <v/>
      </c>
      <c r="X20" s="27"/>
      <c r="Z20" s="348" t="str">
        <f>IF(_xlfn.XLOOKUP(Z$14,TableTransport['#],TableTransport[Unit quantity])&lt;&gt;"",_xlfn.XLOOKUP(Z$14,TableTransport['#],TableTransport[Unit quantity]),"")</f>
        <v/>
      </c>
      <c r="AB20" s="27"/>
      <c r="AD20" s="348" t="str">
        <f>IF(_xlfn.XLOOKUP(AD$14,TableTransport['#],TableTransport[Unit quantity])&lt;&gt;"",_xlfn.XLOOKUP(AD$14,TableTransport['#],TableTransport[Unit quantity]),"")</f>
        <v/>
      </c>
      <c r="AF20" s="27"/>
      <c r="AH20" s="348" t="str">
        <f>IF(_xlfn.XLOOKUP(AH$14,TableTransport['#],TableTransport[Unit quantity])&lt;&gt;"",_xlfn.XLOOKUP(AH$14,TableTransport['#],TableTransport[Unit quantity]),"")</f>
        <v/>
      </c>
      <c r="AJ20" s="27"/>
      <c r="AL20" s="348" t="str">
        <f>IF(_xlfn.XLOOKUP(AL$14,TableTransport['#],TableTransport[Unit quantity])&lt;&gt;"",_xlfn.XLOOKUP(AL$14,TableTransport['#],TableTransport[Unit quantity]),"")</f>
        <v/>
      </c>
      <c r="AN20" s="27"/>
      <c r="AP20" s="348" t="str">
        <f>IF(_xlfn.XLOOKUP(AP$14,TableTransport['#],TableTransport[Unit quantity])&lt;&gt;"",_xlfn.XLOOKUP(AP$14,TableTransport['#],TableTransport[Unit quantity]),"")</f>
        <v/>
      </c>
      <c r="AR20" s="27"/>
      <c r="AT20" s="348" t="str">
        <f>IF(_xlfn.XLOOKUP(AT$14,TableTransport['#],TableTransport[Unit quantity])&lt;&gt;"",_xlfn.XLOOKUP(AT$14,TableTransport['#],TableTransport[Unit quantity]),"")</f>
        <v/>
      </c>
      <c r="AV20" s="27"/>
      <c r="AX20" s="348" t="str">
        <f>IF(_xlfn.XLOOKUP(AX$14,TableTransport['#],TableTransport[Unit quantity])&lt;&gt;"",_xlfn.XLOOKUP(AX$14,TableTransport['#],TableTransport[Unit quantity]),"")</f>
        <v/>
      </c>
      <c r="AZ20" s="27"/>
      <c r="BB20" s="348" t="str">
        <f>IF(_xlfn.XLOOKUP(BB$14,TableTransport['#],TableTransport[Unit quantity])&lt;&gt;"",_xlfn.XLOOKUP(BB$14,TableTransport['#],TableTransport[Unit quantity]),"")</f>
        <v/>
      </c>
      <c r="BD20" s="27"/>
      <c r="BF20" s="348" t="str">
        <f>IF(_xlfn.XLOOKUP(BF$14,TableTransport['#],TableTransport[Unit quantity])&lt;&gt;"",_xlfn.XLOOKUP(BF$14,TableTransport['#],TableTransport[Unit quantity]),"")</f>
        <v/>
      </c>
      <c r="BH20" s="27"/>
      <c r="BJ20" s="348" t="str">
        <f>IF(_xlfn.XLOOKUP(BJ$14,TableTransport['#],TableTransport[Unit quantity])&lt;&gt;"",_xlfn.XLOOKUP(BJ$14,TableTransport['#],TableTransport[Unit quantity]),"")</f>
        <v/>
      </c>
      <c r="BL20" s="27"/>
      <c r="BN20" s="348" t="str">
        <f>IF(_xlfn.XLOOKUP(BN$14,TableTransport['#],TableTransport[Unit quantity])&lt;&gt;"",_xlfn.XLOOKUP(BN$14,TableTransport['#],TableTransport[Unit quantity]),"")</f>
        <v/>
      </c>
      <c r="BP20" s="27"/>
      <c r="BR20" s="348" t="str">
        <f>IF(_xlfn.XLOOKUP(BR$14,TableTransport['#],TableTransport[Unit quantity])&lt;&gt;"",_xlfn.XLOOKUP(BR$14,TableTransport['#],TableTransport[Unit quantity]),"")</f>
        <v/>
      </c>
      <c r="BT20" s="27"/>
      <c r="BV20" s="348" t="str">
        <f>IF(_xlfn.XLOOKUP(BV$14,TableTransport['#],TableTransport[Unit quantity])&lt;&gt;"",_xlfn.XLOOKUP(BV$14,TableTransport['#],TableTransport[Unit quantity]),"")</f>
        <v/>
      </c>
      <c r="BX20" s="27"/>
      <c r="BZ20" s="348" t="str">
        <f>IF(_xlfn.XLOOKUP(BZ$14,TableTransport['#],TableTransport[Unit quantity])&lt;&gt;"",_xlfn.XLOOKUP(BZ$14,TableTransport['#],TableTransport[Unit quantity]),"")</f>
        <v/>
      </c>
      <c r="CB20" s="27"/>
      <c r="CD20" s="348" t="str">
        <f>IF(_xlfn.XLOOKUP(CD$14,TableTransport['#],TableTransport[Unit quantity])&lt;&gt;"",_xlfn.XLOOKUP(CD$14,TableTransport['#],TableTransport[Unit quantity]),"")</f>
        <v/>
      </c>
      <c r="CF20" s="27"/>
      <c r="CH20" s="348" t="str">
        <f>IF(_xlfn.XLOOKUP(CH$14,TableTransport['#],TableTransport[Unit quantity])&lt;&gt;"",_xlfn.XLOOKUP(CH$14,TableTransport['#],TableTransport[Unit quantity]),"")</f>
        <v/>
      </c>
      <c r="CJ20" s="27"/>
      <c r="CL20" s="348" t="str">
        <f>IF(_xlfn.XLOOKUP(CL$14,TableTransport['#],TableTransport[Unit quantity])&lt;&gt;"",_xlfn.XLOOKUP(CL$14,TableTransport['#],TableTransport[Unit quantity]),"")</f>
        <v/>
      </c>
      <c r="CN20" s="27"/>
      <c r="CP20" s="348" t="str">
        <f>IF(_xlfn.XLOOKUP(CP$14,TableTransport['#],TableTransport[Unit quantity])&lt;&gt;"",_xlfn.XLOOKUP(CP$14,TableTransport['#],TableTransport[Unit quantity]),"")</f>
        <v/>
      </c>
      <c r="CR20" s="27"/>
      <c r="CT20" s="348" t="str">
        <f>IF(_xlfn.XLOOKUP(CT$14,TableTransport['#],TableTransport[Unit quantity])&lt;&gt;"",_xlfn.XLOOKUP(CT$14,TableTransport['#],TableTransport[Unit quantity]),"")</f>
        <v/>
      </c>
      <c r="CV20" s="27"/>
      <c r="CX20" s="348" t="str">
        <f>IF(_xlfn.XLOOKUP(CX$14,TableTransport['#],TableTransport[Unit quantity])&lt;&gt;"",_xlfn.XLOOKUP(CX$14,TableTransport['#],TableTransport[Unit quantity]),"")</f>
        <v/>
      </c>
      <c r="CZ20" s="27"/>
      <c r="DB20" s="348" t="str">
        <f>IF(_xlfn.XLOOKUP(DB$14,TableTransport['#],TableTransport[Unit quantity])&lt;&gt;"",_xlfn.XLOOKUP(DB$14,TableTransport['#],TableTransport[Unit quantity]),"")</f>
        <v/>
      </c>
      <c r="DD20" s="27"/>
      <c r="DF20" s="348" t="str">
        <f>IF(_xlfn.XLOOKUP(DF$14,TableTransport['#],TableTransport[Unit quantity])&lt;&gt;"",_xlfn.XLOOKUP(DF$14,TableTransport['#],TableTransport[Unit quantity]),"")</f>
        <v/>
      </c>
      <c r="DH20" s="27"/>
      <c r="DJ20" s="348" t="str">
        <f>IF(_xlfn.XLOOKUP(DJ$14,TableTransport['#],TableTransport[Unit quantity])&lt;&gt;"",_xlfn.XLOOKUP(DJ$14,TableTransport['#],TableTransport[Unit quantity]),"")</f>
        <v/>
      </c>
      <c r="DL20" s="27"/>
      <c r="DN20" s="348" t="str">
        <f>IF(_xlfn.XLOOKUP(DN$14,TableTransport['#],TableTransport[Unit quantity])&lt;&gt;"",_xlfn.XLOOKUP(DN$14,TableTransport['#],TableTransport[Unit quantity]),"")</f>
        <v/>
      </c>
      <c r="DP20" s="27"/>
      <c r="DR20" s="348" t="str">
        <f>IF(_xlfn.XLOOKUP(DR$14,TableTransport['#],TableTransport[Unit quantity])&lt;&gt;"",_xlfn.XLOOKUP(DR$14,TableTransport['#],TableTransport[Unit quantity]),"")</f>
        <v/>
      </c>
      <c r="DT20" s="27"/>
      <c r="DV20" s="348" t="str">
        <f>IF(_xlfn.XLOOKUP(DV$14,TableTransport['#],TableTransport[Unit quantity])&lt;&gt;"",_xlfn.XLOOKUP(DV$14,TableTransport['#],TableTransport[Unit quantity]),"")</f>
        <v/>
      </c>
      <c r="DX20" s="27"/>
      <c r="DZ20" s="348" t="str">
        <f>IF(_xlfn.XLOOKUP(DZ$14,TableTransport['#],TableTransport[Unit quantity])&lt;&gt;"",_xlfn.XLOOKUP(DZ$14,TableTransport['#],TableTransport[Unit quantity]),"")</f>
        <v/>
      </c>
      <c r="EB20" s="27"/>
      <c r="ED20" s="348" t="str">
        <f>IF(_xlfn.XLOOKUP(ED$14,TableTransport['#],TableTransport[Unit quantity])&lt;&gt;"",_xlfn.XLOOKUP(ED$14,TableTransport['#],TableTransport[Unit quantity]),"")</f>
        <v/>
      </c>
      <c r="EF20" s="27"/>
      <c r="EH20" s="348" t="str">
        <f>IF(_xlfn.XLOOKUP(EH$14,TableTransport['#],TableTransport[Unit quantity])&lt;&gt;"",_xlfn.XLOOKUP(EH$14,TableTransport['#],TableTransport[Unit quantity]),"")</f>
        <v/>
      </c>
      <c r="EJ20" s="27"/>
      <c r="EL20" s="348" t="str">
        <f>IF(_xlfn.XLOOKUP(EL$14,TableTransport['#],TableTransport[Unit quantity])&lt;&gt;"",_xlfn.XLOOKUP(EL$14,TableTransport['#],TableTransport[Unit quantity]),"")</f>
        <v/>
      </c>
      <c r="EN20" s="27"/>
      <c r="EP20" s="348" t="str">
        <f>IF(_xlfn.XLOOKUP(EP$14,TableTransport['#],TableTransport[Unit quantity])&lt;&gt;"",_xlfn.XLOOKUP(EP$14,TableTransport['#],TableTransport[Unit quantity]),"")</f>
        <v/>
      </c>
      <c r="ER20" s="27"/>
      <c r="ET20" s="348" t="str">
        <f>IF(_xlfn.XLOOKUP(ET$14,TableTransport['#],TableTransport[Unit quantity])&lt;&gt;"",_xlfn.XLOOKUP(ET$14,TableTransport['#],TableTransport[Unit quantity]),"")</f>
        <v/>
      </c>
      <c r="EV20" s="27"/>
      <c r="EX20" s="348" t="str">
        <f>IF(_xlfn.XLOOKUP(EX$14,TableTransport['#],TableTransport[Unit quantity])&lt;&gt;"",_xlfn.XLOOKUP(EX$14,TableTransport['#],TableTransport[Unit quantity]),"")</f>
        <v/>
      </c>
      <c r="EZ20" s="27"/>
      <c r="FB20" s="348" t="str">
        <f>IF(_xlfn.XLOOKUP(FB$14,TableTransport['#],TableTransport[Unit quantity])&lt;&gt;"",_xlfn.XLOOKUP(FB$14,TableTransport['#],TableTransport[Unit quantity]),"")</f>
        <v/>
      </c>
      <c r="FD20" s="27"/>
      <c r="FF20" s="348" t="str">
        <f>IF(_xlfn.XLOOKUP(FF$14,TableTransport['#],TableTransport[Unit quantity])&lt;&gt;"",_xlfn.XLOOKUP(FF$14,TableTransport['#],TableTransport[Unit quantity]),"")</f>
        <v/>
      </c>
      <c r="FH20" s="27"/>
      <c r="FJ20" s="348" t="str">
        <f>IF(_xlfn.XLOOKUP(FJ$14,TableTransport['#],TableTransport[Unit quantity])&lt;&gt;"",_xlfn.XLOOKUP(FJ$14,TableTransport['#],TableTransport[Unit quantity]),"")</f>
        <v/>
      </c>
      <c r="FL20" s="27"/>
      <c r="FN20" s="348" t="str">
        <f>IF(_xlfn.XLOOKUP(FN$14,TableTransport['#],TableTransport[Unit quantity])&lt;&gt;"",_xlfn.XLOOKUP(FN$14,TableTransport['#],TableTransport[Unit quantity]),"")</f>
        <v/>
      </c>
      <c r="FP20" s="27"/>
      <c r="FR20" s="348" t="str">
        <f>IF(_xlfn.XLOOKUP(FR$14,TableTransport['#],TableTransport[Unit quantity])&lt;&gt;"",_xlfn.XLOOKUP(FR$14,TableTransport['#],TableTransport[Unit quantity]),"")</f>
        <v/>
      </c>
      <c r="FT20" s="27"/>
      <c r="FV20" s="348" t="str">
        <f>IF(_xlfn.XLOOKUP(FV$14,TableTransport['#],TableTransport[Unit quantity])&lt;&gt;"",_xlfn.XLOOKUP(FV$14,TableTransport['#],TableTransport[Unit quantity]),"")</f>
        <v/>
      </c>
      <c r="FX20" s="27"/>
      <c r="FZ20" s="348" t="str">
        <f>IF(_xlfn.XLOOKUP(FZ$14,TableTransport['#],TableTransport[Unit quantity])&lt;&gt;"",_xlfn.XLOOKUP(FZ$14,TableTransport['#],TableTransport[Unit quantity]),"")</f>
        <v/>
      </c>
      <c r="GB20" s="27"/>
      <c r="GD20" s="348" t="str">
        <f>IF(_xlfn.XLOOKUP(GD$14,TableTransport['#],TableTransport[Unit quantity])&lt;&gt;"",_xlfn.XLOOKUP(GD$14,TableTransport['#],TableTransport[Unit quantity]),"")</f>
        <v/>
      </c>
      <c r="GF20" s="27"/>
      <c r="GH20" s="348" t="str">
        <f>IF(_xlfn.XLOOKUP(GH$14,TableTransport['#],TableTransport[Unit quantity])&lt;&gt;"",_xlfn.XLOOKUP(GH$14,TableTransport['#],TableTransport[Unit quantity]),"")</f>
        <v/>
      </c>
      <c r="GJ20" s="27"/>
      <c r="GL20" s="348" t="str">
        <f>IF(_xlfn.XLOOKUP(GL$14,TableTransport['#],TableTransport[Unit quantity])&lt;&gt;"",_xlfn.XLOOKUP(GL$14,TableTransport['#],TableTransport[Unit quantity]),"")</f>
        <v/>
      </c>
      <c r="GN20" s="27"/>
      <c r="GP20" s="348" t="str">
        <f>IF(_xlfn.XLOOKUP(GP$14,TableTransport['#],TableTransport[Unit quantity])&lt;&gt;"",_xlfn.XLOOKUP(GP$14,TableTransport['#],TableTransport[Unit quantity]),"")</f>
        <v/>
      </c>
      <c r="GR20" s="27"/>
      <c r="GT20" s="348" t="str">
        <f>IF(_xlfn.XLOOKUP(GT$14,TableTransport['#],TableTransport[Unit quantity])&lt;&gt;"",_xlfn.XLOOKUP(GT$14,TableTransport['#],TableTransport[Unit quantity]),"")</f>
        <v/>
      </c>
      <c r="GV20" s="27"/>
    </row>
    <row r="21" spans="4:204" ht="12" x14ac:dyDescent="0.25">
      <c r="D21" t="s">
        <v>149</v>
      </c>
      <c r="H21" s="162" t="str">
        <f>IFERROR(G19*F20,"")</f>
        <v/>
      </c>
      <c r="L21" s="162" t="str">
        <f>IFERROR(K19*J20,"")</f>
        <v/>
      </c>
      <c r="P21" s="162" t="str">
        <f>IFERROR(O19*N20,"")</f>
        <v/>
      </c>
      <c r="T21" s="162" t="str">
        <f>IFERROR(S19*R20,"")</f>
        <v/>
      </c>
      <c r="X21" s="162" t="str">
        <f>IFERROR(W19*V20,"")</f>
        <v/>
      </c>
      <c r="AB21" s="162" t="str">
        <f>IFERROR(AA19*Z20,"")</f>
        <v/>
      </c>
      <c r="AF21" s="162" t="str">
        <f>IFERROR(AE19*AD20,"")</f>
        <v/>
      </c>
      <c r="AJ21" s="162" t="str">
        <f>IFERROR(AI19*AH20,"")</f>
        <v/>
      </c>
      <c r="AN21" s="162" t="str">
        <f>IFERROR(AM19*AL20,"")</f>
        <v/>
      </c>
      <c r="AR21" s="162" t="str">
        <f>IFERROR(AQ19*AP20,"")</f>
        <v/>
      </c>
      <c r="AV21" s="162" t="str">
        <f>IFERROR(AU19*AT20,"")</f>
        <v/>
      </c>
      <c r="AZ21" s="162" t="str">
        <f>IFERROR(AY19*AX20,"")</f>
        <v/>
      </c>
      <c r="BD21" s="162" t="str">
        <f>IFERROR(BC19*BB20,"")</f>
        <v/>
      </c>
      <c r="BH21" s="162" t="str">
        <f>IFERROR(BG19*BF20,"")</f>
        <v/>
      </c>
      <c r="BL21" s="162" t="str">
        <f>IFERROR(BK19*BJ20,"")</f>
        <v/>
      </c>
      <c r="BP21" s="162" t="str">
        <f>IFERROR(BO19*BN20,"")</f>
        <v/>
      </c>
      <c r="BT21" s="162" t="str">
        <f>IFERROR(BS19*BR20,"")</f>
        <v/>
      </c>
      <c r="BX21" s="162" t="str">
        <f>IFERROR(BW19*BV20,"")</f>
        <v/>
      </c>
      <c r="CB21" s="162" t="str">
        <f>IFERROR(CA19*BZ20,"")</f>
        <v/>
      </c>
      <c r="CF21" s="162" t="str">
        <f>IFERROR(CE19*CD20,"")</f>
        <v/>
      </c>
      <c r="CJ21" s="162" t="str">
        <f>IFERROR(CI19*CH20,"")</f>
        <v/>
      </c>
      <c r="CN21" s="162" t="str">
        <f>IFERROR(CM19*CL20,"")</f>
        <v/>
      </c>
      <c r="CR21" s="162" t="str">
        <f>IFERROR(CQ19*CP20,"")</f>
        <v/>
      </c>
      <c r="CV21" s="162" t="str">
        <f>IFERROR(CU19*CT20,"")</f>
        <v/>
      </c>
      <c r="CZ21" s="162" t="str">
        <f>IFERROR(CY19*CX20,"")</f>
        <v/>
      </c>
      <c r="DD21" s="162" t="str">
        <f>IFERROR(DC19*DB20,"")</f>
        <v/>
      </c>
      <c r="DH21" s="162" t="str">
        <f>IFERROR(DG19*DF20,"")</f>
        <v/>
      </c>
      <c r="DL21" s="162" t="str">
        <f>IFERROR(DK19*DJ20,"")</f>
        <v/>
      </c>
      <c r="DP21" s="162" t="str">
        <f>IFERROR(DO19*DN20,"")</f>
        <v/>
      </c>
      <c r="DT21" s="162" t="str">
        <f>IFERROR(DS19*DR20,"")</f>
        <v/>
      </c>
      <c r="DX21" s="162" t="str">
        <f>IFERROR(DW19*DV20,"")</f>
        <v/>
      </c>
      <c r="EB21" s="162" t="str">
        <f>IFERROR(EA19*DZ20,"")</f>
        <v/>
      </c>
      <c r="EF21" s="162" t="str">
        <f>IFERROR(EE19*ED20,"")</f>
        <v/>
      </c>
      <c r="EJ21" s="162" t="str">
        <f>IFERROR(EI19*EH20,"")</f>
        <v/>
      </c>
      <c r="EN21" s="162" t="str">
        <f>IFERROR(EM19*EL20,"")</f>
        <v/>
      </c>
      <c r="ER21" s="162" t="str">
        <f>IFERROR(EQ19*EP20,"")</f>
        <v/>
      </c>
      <c r="EV21" s="162" t="str">
        <f>IFERROR(EU19*ET20,"")</f>
        <v/>
      </c>
      <c r="EZ21" s="162" t="str">
        <f>IFERROR(EY19*EX20,"")</f>
        <v/>
      </c>
      <c r="FD21" s="162" t="str">
        <f>IFERROR(FC19*FB20,"")</f>
        <v/>
      </c>
      <c r="FH21" s="162" t="str">
        <f>IFERROR(FG19*FF20,"")</f>
        <v/>
      </c>
      <c r="FL21" s="162" t="str">
        <f>IFERROR(FK19*FJ20,"")</f>
        <v/>
      </c>
      <c r="FP21" s="162" t="str">
        <f>IFERROR(FO19*FN20,"")</f>
        <v/>
      </c>
      <c r="FT21" s="162" t="str">
        <f>IFERROR(FS19*FR20,"")</f>
        <v/>
      </c>
      <c r="FX21" s="162" t="str">
        <f>IFERROR(FW19*FV20,"")</f>
        <v/>
      </c>
      <c r="GB21" s="162" t="str">
        <f>IFERROR(GA19*FZ20,"")</f>
        <v/>
      </c>
      <c r="GF21" s="162" t="str">
        <f>IFERROR(GE19*GD20,"")</f>
        <v/>
      </c>
      <c r="GJ21" s="162" t="str">
        <f>IFERROR(GI19*GH20,"")</f>
        <v/>
      </c>
      <c r="GN21" s="162" t="str">
        <f>IFERROR(GM19*GL20,"")</f>
        <v/>
      </c>
      <c r="GR21" s="162" t="str">
        <f>IFERROR(GQ19*GP20,"")</f>
        <v/>
      </c>
      <c r="GV21" s="162" t="str">
        <f>IFERROR(GU19*GT20,"")</f>
        <v/>
      </c>
    </row>
    <row r="22" spans="4:204" x14ac:dyDescent="0.2">
      <c r="D22" t="s">
        <v>150</v>
      </c>
      <c r="F22" s="345" t="str">
        <f>IF(_xlfn.XLOOKUP(F$14,TableTransport['#],TableTransport[Location])&lt;&gt;"",_xlfn.XLOOKUP(F$14,TableTransport['#],TableTransport[Location]),"")</f>
        <v/>
      </c>
      <c r="G22" s="340" t="str">
        <f>IFERROR(_xlfn.XLOOKUP(F22,'Rawlinsons regional indices'!$A$2:$A$63,'Rawlinsons regional indices'!$C$2:$C$63),"")</f>
        <v/>
      </c>
      <c r="H22" s="168" t="str">
        <f>IFERROR(H$21*G22,"")</f>
        <v/>
      </c>
      <c r="J22" s="345" t="str">
        <f>IF(_xlfn.XLOOKUP(J$14,TableTransport['#],TableTransport[Location])&lt;&gt;"",_xlfn.XLOOKUP(J$14,TableTransport['#],TableTransport[Location]),"")</f>
        <v/>
      </c>
      <c r="K22" s="340" t="str">
        <f>IFERROR(_xlfn.XLOOKUP(J22,'Rawlinsons regional indices'!$A$2:$A$63,'Rawlinsons regional indices'!$C$2:$C$63),"")</f>
        <v/>
      </c>
      <c r="L22" s="168" t="str">
        <f>IFERROR(L$21*K22,"")</f>
        <v/>
      </c>
      <c r="N22" s="345" t="str">
        <f>IF(_xlfn.XLOOKUP(N$14,TableTransport['#],TableTransport[Location])&lt;&gt;"",_xlfn.XLOOKUP(N$14,TableTransport['#],TableTransport[Location]),"")</f>
        <v/>
      </c>
      <c r="O22" s="340" t="str">
        <f>IFERROR(_xlfn.XLOOKUP(N22,'Rawlinsons regional indices'!$A$2:$A$63,'Rawlinsons regional indices'!$C$2:$C$63),"")</f>
        <v/>
      </c>
      <c r="P22" s="168" t="str">
        <f>IFERROR(P$21*O22,"")</f>
        <v/>
      </c>
      <c r="R22" s="345" t="str">
        <f>IF(_xlfn.XLOOKUP(R$14,TableTransport['#],TableTransport[Location])&lt;&gt;"",_xlfn.XLOOKUP(R$14,TableTransport['#],TableTransport[Location]),"")</f>
        <v/>
      </c>
      <c r="S22" s="340" t="str">
        <f>IFERROR(_xlfn.XLOOKUP(R22,'Rawlinsons regional indices'!$A$2:$A$63,'Rawlinsons regional indices'!$C$2:$C$63),"")</f>
        <v/>
      </c>
      <c r="T22" s="168" t="str">
        <f>IFERROR(T$21*S22,"")</f>
        <v/>
      </c>
      <c r="V22" s="345" t="str">
        <f>IF(_xlfn.XLOOKUP(V$14,TableTransport['#],TableTransport[Location])&lt;&gt;"",_xlfn.XLOOKUP(V$14,TableTransport['#],TableTransport[Location]),"")</f>
        <v/>
      </c>
      <c r="W22" s="340" t="str">
        <f>IFERROR(_xlfn.XLOOKUP(V22,'Rawlinsons regional indices'!$A$2:$A$63,'Rawlinsons regional indices'!$C$2:$C$63),"")</f>
        <v/>
      </c>
      <c r="X22" s="168" t="str">
        <f>IFERROR(X$21*W22,"")</f>
        <v/>
      </c>
      <c r="Z22" s="345" t="str">
        <f>IF(_xlfn.XLOOKUP(Z$14,TableTransport['#],TableTransport[Location])&lt;&gt;"",_xlfn.XLOOKUP(Z$14,TableTransport['#],TableTransport[Location]),"")</f>
        <v/>
      </c>
      <c r="AA22" s="340" t="str">
        <f>IFERROR(_xlfn.XLOOKUP(Z22,'Rawlinsons regional indices'!$A$2:$A$63,'Rawlinsons regional indices'!$C$2:$C$63),"")</f>
        <v/>
      </c>
      <c r="AB22" s="168" t="str">
        <f>IFERROR(AB$21*AA22,"")</f>
        <v/>
      </c>
      <c r="AD22" s="345" t="str">
        <f>IF(_xlfn.XLOOKUP(AD$14,TableTransport['#],TableTransport[Location])&lt;&gt;"",_xlfn.XLOOKUP(AD$14,TableTransport['#],TableTransport[Location]),"")</f>
        <v/>
      </c>
      <c r="AE22" s="340" t="str">
        <f>IFERROR(_xlfn.XLOOKUP(AD22,'Rawlinsons regional indices'!$A$2:$A$63,'Rawlinsons regional indices'!$C$2:$C$63),"")</f>
        <v/>
      </c>
      <c r="AF22" s="168" t="str">
        <f>IFERROR(AF$21*AE22,"")</f>
        <v/>
      </c>
      <c r="AH22" s="345" t="str">
        <f>IF(_xlfn.XLOOKUP(AH$14,TableTransport['#],TableTransport[Location])&lt;&gt;"",_xlfn.XLOOKUP(AH$14,TableTransport['#],TableTransport[Location]),"")</f>
        <v/>
      </c>
      <c r="AI22" s="340" t="str">
        <f>IFERROR(_xlfn.XLOOKUP(AH22,'Rawlinsons regional indices'!$A$2:$A$63,'Rawlinsons regional indices'!$C$2:$C$63),"")</f>
        <v/>
      </c>
      <c r="AJ22" s="168" t="str">
        <f>IFERROR(AJ$21*AI22,"")</f>
        <v/>
      </c>
      <c r="AL22" s="345" t="str">
        <f>IF(_xlfn.XLOOKUP(AL$14,TableTransport['#],TableTransport[Location])&lt;&gt;"",_xlfn.XLOOKUP(AL$14,TableTransport['#],TableTransport[Location]),"")</f>
        <v/>
      </c>
      <c r="AM22" s="340" t="str">
        <f>IFERROR(_xlfn.XLOOKUP(AL22,'Rawlinsons regional indices'!$A$2:$A$63,'Rawlinsons regional indices'!$C$2:$C$63),"")</f>
        <v/>
      </c>
      <c r="AN22" s="168" t="str">
        <f>IFERROR(AN$21*AM22,"")</f>
        <v/>
      </c>
      <c r="AP22" s="345" t="str">
        <f>IF(_xlfn.XLOOKUP(AP$14,TableTransport['#],TableTransport[Location])&lt;&gt;"",_xlfn.XLOOKUP(AP$14,TableTransport['#],TableTransport[Location]),"")</f>
        <v/>
      </c>
      <c r="AQ22" s="340" t="str">
        <f>IFERROR(_xlfn.XLOOKUP(AP22,'Rawlinsons regional indices'!$A$2:$A$63,'Rawlinsons regional indices'!$C$2:$C$63),"")</f>
        <v/>
      </c>
      <c r="AR22" s="168" t="str">
        <f>IFERROR(AR$21*AQ22,"")</f>
        <v/>
      </c>
      <c r="AT22" s="345" t="str">
        <f>IF(_xlfn.XLOOKUP(AT$14,TableTransport['#],TableTransport[Location])&lt;&gt;"",_xlfn.XLOOKUP(AT$14,TableTransport['#],TableTransport[Location]),"")</f>
        <v/>
      </c>
      <c r="AU22" s="340" t="str">
        <f>IFERROR(_xlfn.XLOOKUP(AT22,'Rawlinsons regional indices'!$A$2:$A$63,'Rawlinsons regional indices'!$C$2:$C$63),"")</f>
        <v/>
      </c>
      <c r="AV22" s="168" t="str">
        <f>IFERROR(AV$21*AU22,"")</f>
        <v/>
      </c>
      <c r="AX22" s="345" t="str">
        <f>IF(_xlfn.XLOOKUP(AX$14,TableTransport['#],TableTransport[Location])&lt;&gt;"",_xlfn.XLOOKUP(AX$14,TableTransport['#],TableTransport[Location]),"")</f>
        <v/>
      </c>
      <c r="AY22" s="340" t="str">
        <f>IFERROR(_xlfn.XLOOKUP(AX22,'Rawlinsons regional indices'!$A$2:$A$63,'Rawlinsons regional indices'!$C$2:$C$63),"")</f>
        <v/>
      </c>
      <c r="AZ22" s="168" t="str">
        <f>IFERROR(AZ$21*AY22,"")</f>
        <v/>
      </c>
      <c r="BB22" s="345" t="str">
        <f>IF(_xlfn.XLOOKUP(BB$14,TableTransport['#],TableTransport[Location])&lt;&gt;"",_xlfn.XLOOKUP(BB$14,TableTransport['#],TableTransport[Location]),"")</f>
        <v/>
      </c>
      <c r="BC22" s="340" t="str">
        <f>IFERROR(_xlfn.XLOOKUP(BB22,'Rawlinsons regional indices'!$A$2:$A$63,'Rawlinsons regional indices'!$C$2:$C$63),"")</f>
        <v/>
      </c>
      <c r="BD22" s="168" t="str">
        <f>IFERROR(BD$21*BC22,"")</f>
        <v/>
      </c>
      <c r="BF22" s="345" t="str">
        <f>IF(_xlfn.XLOOKUP(BF$14,TableTransport['#],TableTransport[Location])&lt;&gt;"",_xlfn.XLOOKUP(BF$14,TableTransport['#],TableTransport[Location]),"")</f>
        <v/>
      </c>
      <c r="BG22" s="340" t="str">
        <f>IFERROR(_xlfn.XLOOKUP(BF22,'Rawlinsons regional indices'!$A$2:$A$63,'Rawlinsons regional indices'!$C$2:$C$63),"")</f>
        <v/>
      </c>
      <c r="BH22" s="168" t="str">
        <f>IFERROR(BH$21*BG22,"")</f>
        <v/>
      </c>
      <c r="BJ22" s="345" t="str">
        <f>IF(_xlfn.XLOOKUP(BJ$14,TableTransport['#],TableTransport[Location])&lt;&gt;"",_xlfn.XLOOKUP(BJ$14,TableTransport['#],TableTransport[Location]),"")</f>
        <v/>
      </c>
      <c r="BK22" s="340" t="str">
        <f>IFERROR(_xlfn.XLOOKUP(BJ22,'Rawlinsons regional indices'!$A$2:$A$63,'Rawlinsons regional indices'!$C$2:$C$63),"")</f>
        <v/>
      </c>
      <c r="BL22" s="168" t="str">
        <f>IFERROR(BL$21*BK22,"")</f>
        <v/>
      </c>
      <c r="BN22" s="345" t="str">
        <f>IF(_xlfn.XLOOKUP(BN$14,TableTransport['#],TableTransport[Location])&lt;&gt;"",_xlfn.XLOOKUP(BN$14,TableTransport['#],TableTransport[Location]),"")</f>
        <v/>
      </c>
      <c r="BO22" s="340" t="str">
        <f>IFERROR(_xlfn.XLOOKUP(BN22,'Rawlinsons regional indices'!$A$2:$A$63,'Rawlinsons regional indices'!$C$2:$C$63),"")</f>
        <v/>
      </c>
      <c r="BP22" s="168" t="str">
        <f>IFERROR(BP$21*BO22,"")</f>
        <v/>
      </c>
      <c r="BR22" s="345" t="str">
        <f>IF(_xlfn.XLOOKUP(BR$14,TableTransport['#],TableTransport[Location])&lt;&gt;"",_xlfn.XLOOKUP(BR$14,TableTransport['#],TableTransport[Location]),"")</f>
        <v/>
      </c>
      <c r="BS22" s="340" t="str">
        <f>IFERROR(_xlfn.XLOOKUP(BR22,'Rawlinsons regional indices'!$A$2:$A$63,'Rawlinsons regional indices'!$C$2:$C$63),"")</f>
        <v/>
      </c>
      <c r="BT22" s="168" t="str">
        <f>IFERROR(BT$21*BS22,"")</f>
        <v/>
      </c>
      <c r="BV22" s="345" t="str">
        <f>IF(_xlfn.XLOOKUP(BV$14,TableTransport['#],TableTransport[Location])&lt;&gt;"",_xlfn.XLOOKUP(BV$14,TableTransport['#],TableTransport[Location]),"")</f>
        <v/>
      </c>
      <c r="BW22" s="340" t="str">
        <f>IFERROR(_xlfn.XLOOKUP(BV22,'Rawlinsons regional indices'!$A$2:$A$63,'Rawlinsons regional indices'!$C$2:$C$63),"")</f>
        <v/>
      </c>
      <c r="BX22" s="168" t="str">
        <f>IFERROR(BX$21*BW22,"")</f>
        <v/>
      </c>
      <c r="BZ22" s="345" t="str">
        <f>IF(_xlfn.XLOOKUP(BZ$14,TableTransport['#],TableTransport[Location])&lt;&gt;"",_xlfn.XLOOKUP(BZ$14,TableTransport['#],TableTransport[Location]),"")</f>
        <v/>
      </c>
      <c r="CA22" s="340" t="str">
        <f>IFERROR(_xlfn.XLOOKUP(BZ22,'Rawlinsons regional indices'!$A$2:$A$63,'Rawlinsons regional indices'!$C$2:$C$63),"")</f>
        <v/>
      </c>
      <c r="CB22" s="168" t="str">
        <f>IFERROR(CB$21*CA22,"")</f>
        <v/>
      </c>
      <c r="CD22" s="345" t="str">
        <f>IF(_xlfn.XLOOKUP(CD$14,TableTransport['#],TableTransport[Location])&lt;&gt;"",_xlfn.XLOOKUP(CD$14,TableTransport['#],TableTransport[Location]),"")</f>
        <v/>
      </c>
      <c r="CE22" s="340" t="str">
        <f>IFERROR(_xlfn.XLOOKUP(CD22,'Rawlinsons regional indices'!$A$2:$A$63,'Rawlinsons regional indices'!$C$2:$C$63),"")</f>
        <v/>
      </c>
      <c r="CF22" s="168" t="str">
        <f>IFERROR(CF$21*CE22,"")</f>
        <v/>
      </c>
      <c r="CH22" s="345" t="str">
        <f>IF(_xlfn.XLOOKUP(CH$14,TableTransport['#],TableTransport[Location])&lt;&gt;"",_xlfn.XLOOKUP(CH$14,TableTransport['#],TableTransport[Location]),"")</f>
        <v/>
      </c>
      <c r="CI22" s="340" t="str">
        <f>IFERROR(_xlfn.XLOOKUP(CH22,'Rawlinsons regional indices'!$A$2:$A$63,'Rawlinsons regional indices'!$C$2:$C$63),"")</f>
        <v/>
      </c>
      <c r="CJ22" s="168" t="str">
        <f>IFERROR(CJ$21*CI22,"")</f>
        <v/>
      </c>
      <c r="CL22" s="345" t="str">
        <f>IF(_xlfn.XLOOKUP(CL$14,TableTransport['#],TableTransport[Location])&lt;&gt;"",_xlfn.XLOOKUP(CL$14,TableTransport['#],TableTransport[Location]),"")</f>
        <v/>
      </c>
      <c r="CM22" s="340" t="str">
        <f>IFERROR(_xlfn.XLOOKUP(CL22,'Rawlinsons regional indices'!$A$2:$A$63,'Rawlinsons regional indices'!$C$2:$C$63),"")</f>
        <v/>
      </c>
      <c r="CN22" s="168" t="str">
        <f>IFERROR(CN$21*CM22,"")</f>
        <v/>
      </c>
      <c r="CP22" s="345" t="str">
        <f>IF(_xlfn.XLOOKUP(CP$14,TableTransport['#],TableTransport[Location])&lt;&gt;"",_xlfn.XLOOKUP(CP$14,TableTransport['#],TableTransport[Location]),"")</f>
        <v/>
      </c>
      <c r="CQ22" s="340" t="str">
        <f>IFERROR(_xlfn.XLOOKUP(CP22,'Rawlinsons regional indices'!$A$2:$A$63,'Rawlinsons regional indices'!$C$2:$C$63),"")</f>
        <v/>
      </c>
      <c r="CR22" s="168" t="str">
        <f>IFERROR(CR$21*CQ22,"")</f>
        <v/>
      </c>
      <c r="CT22" s="345" t="str">
        <f>IF(_xlfn.XLOOKUP(CT$14,TableTransport['#],TableTransport[Location])&lt;&gt;"",_xlfn.XLOOKUP(CT$14,TableTransport['#],TableTransport[Location]),"")</f>
        <v/>
      </c>
      <c r="CU22" s="340" t="str">
        <f>IFERROR(_xlfn.XLOOKUP(CT22,'Rawlinsons regional indices'!$A$2:$A$63,'Rawlinsons regional indices'!$C$2:$C$63),"")</f>
        <v/>
      </c>
      <c r="CV22" s="168" t="str">
        <f>IFERROR(CV$21*CU22,"")</f>
        <v/>
      </c>
      <c r="CX22" s="345" t="str">
        <f>IF(_xlfn.XLOOKUP(CX$14,TableTransport['#],TableTransport[Location])&lt;&gt;"",_xlfn.XLOOKUP(CX$14,TableTransport['#],TableTransport[Location]),"")</f>
        <v/>
      </c>
      <c r="CY22" s="340" t="str">
        <f>IFERROR(_xlfn.XLOOKUP(CX22,'Rawlinsons regional indices'!$A$2:$A$63,'Rawlinsons regional indices'!$C$2:$C$63),"")</f>
        <v/>
      </c>
      <c r="CZ22" s="168" t="str">
        <f>IFERROR(CZ$21*CY22,"")</f>
        <v/>
      </c>
      <c r="DB22" s="345" t="str">
        <f>IF(_xlfn.XLOOKUP(DB$14,TableTransport['#],TableTransport[Location])&lt;&gt;"",_xlfn.XLOOKUP(DB$14,TableTransport['#],TableTransport[Location]),"")</f>
        <v/>
      </c>
      <c r="DC22" s="340" t="str">
        <f>IFERROR(_xlfn.XLOOKUP(DB22,'Rawlinsons regional indices'!$A$2:$A$63,'Rawlinsons regional indices'!$C$2:$C$63),"")</f>
        <v/>
      </c>
      <c r="DD22" s="168" t="str">
        <f>IFERROR(DD$21*DC22,"")</f>
        <v/>
      </c>
      <c r="DF22" s="345" t="str">
        <f>IF(_xlfn.XLOOKUP(DF$14,TableTransport['#],TableTransport[Location])&lt;&gt;"",_xlfn.XLOOKUP(DF$14,TableTransport['#],TableTransport[Location]),"")</f>
        <v/>
      </c>
      <c r="DG22" s="340" t="str">
        <f>IFERROR(_xlfn.XLOOKUP(DF22,'Rawlinsons regional indices'!$A$2:$A$63,'Rawlinsons regional indices'!$C$2:$C$63),"")</f>
        <v/>
      </c>
      <c r="DH22" s="168" t="str">
        <f>IFERROR(DH$21*DG22,"")</f>
        <v/>
      </c>
      <c r="DJ22" s="345" t="str">
        <f>IF(_xlfn.XLOOKUP(DJ$14,TableTransport['#],TableTransport[Location])&lt;&gt;"",_xlfn.XLOOKUP(DJ$14,TableTransport['#],TableTransport[Location]),"")</f>
        <v/>
      </c>
      <c r="DK22" s="340" t="str">
        <f>IFERROR(_xlfn.XLOOKUP(DJ22,'Rawlinsons regional indices'!$A$2:$A$63,'Rawlinsons regional indices'!$C$2:$C$63),"")</f>
        <v/>
      </c>
      <c r="DL22" s="168" t="str">
        <f>IFERROR(DL$21*DK22,"")</f>
        <v/>
      </c>
      <c r="DN22" s="345" t="str">
        <f>IF(_xlfn.XLOOKUP(DN$14,TableTransport['#],TableTransport[Location])&lt;&gt;"",_xlfn.XLOOKUP(DN$14,TableTransport['#],TableTransport[Location]),"")</f>
        <v/>
      </c>
      <c r="DO22" s="340" t="str">
        <f>IFERROR(_xlfn.XLOOKUP(DN22,'Rawlinsons regional indices'!$A$2:$A$63,'Rawlinsons regional indices'!$C$2:$C$63),"")</f>
        <v/>
      </c>
      <c r="DP22" s="168" t="str">
        <f>IFERROR(DP$21*DO22,"")</f>
        <v/>
      </c>
      <c r="DR22" s="345" t="str">
        <f>IF(_xlfn.XLOOKUP(DR$14,TableTransport['#],TableTransport[Location])&lt;&gt;"",_xlfn.XLOOKUP(DR$14,TableTransport['#],TableTransport[Location]),"")</f>
        <v/>
      </c>
      <c r="DS22" s="340" t="str">
        <f>IFERROR(_xlfn.XLOOKUP(DR22,'Rawlinsons regional indices'!$A$2:$A$63,'Rawlinsons regional indices'!$C$2:$C$63),"")</f>
        <v/>
      </c>
      <c r="DT22" s="168" t="str">
        <f>IFERROR(DT$21*DS22,"")</f>
        <v/>
      </c>
      <c r="DV22" s="345" t="str">
        <f>IF(_xlfn.XLOOKUP(DV$14,TableTransport['#],TableTransport[Location])&lt;&gt;"",_xlfn.XLOOKUP(DV$14,TableTransport['#],TableTransport[Location]),"")</f>
        <v/>
      </c>
      <c r="DW22" s="340" t="str">
        <f>IFERROR(_xlfn.XLOOKUP(DV22,'Rawlinsons regional indices'!$A$2:$A$63,'Rawlinsons regional indices'!$C$2:$C$63),"")</f>
        <v/>
      </c>
      <c r="DX22" s="168" t="str">
        <f>IFERROR(DX$21*DW22,"")</f>
        <v/>
      </c>
      <c r="DZ22" s="345" t="str">
        <f>IF(_xlfn.XLOOKUP(DZ$14,TableTransport['#],TableTransport[Location])&lt;&gt;"",_xlfn.XLOOKUP(DZ$14,TableTransport['#],TableTransport[Location]),"")</f>
        <v/>
      </c>
      <c r="EA22" s="340" t="str">
        <f>IFERROR(_xlfn.XLOOKUP(DZ22,'Rawlinsons regional indices'!$A$2:$A$63,'Rawlinsons regional indices'!$C$2:$C$63),"")</f>
        <v/>
      </c>
      <c r="EB22" s="168" t="str">
        <f>IFERROR(EB$21*EA22,"")</f>
        <v/>
      </c>
      <c r="ED22" s="345" t="str">
        <f>IF(_xlfn.XLOOKUP(ED$14,TableTransport['#],TableTransport[Location])&lt;&gt;"",_xlfn.XLOOKUP(ED$14,TableTransport['#],TableTransport[Location]),"")</f>
        <v/>
      </c>
      <c r="EE22" s="340" t="str">
        <f>IFERROR(_xlfn.XLOOKUP(ED22,'Rawlinsons regional indices'!$A$2:$A$63,'Rawlinsons regional indices'!$C$2:$C$63),"")</f>
        <v/>
      </c>
      <c r="EF22" s="168" t="str">
        <f>IFERROR(EF$21*EE22,"")</f>
        <v/>
      </c>
      <c r="EH22" s="345" t="str">
        <f>IF(_xlfn.XLOOKUP(EH$14,TableTransport['#],TableTransport[Location])&lt;&gt;"",_xlfn.XLOOKUP(EH$14,TableTransport['#],TableTransport[Location]),"")</f>
        <v/>
      </c>
      <c r="EI22" s="340" t="str">
        <f>IFERROR(_xlfn.XLOOKUP(EH22,'Rawlinsons regional indices'!$A$2:$A$63,'Rawlinsons regional indices'!$C$2:$C$63),"")</f>
        <v/>
      </c>
      <c r="EJ22" s="168" t="str">
        <f>IFERROR(EJ$21*EI22,"")</f>
        <v/>
      </c>
      <c r="EL22" s="345" t="str">
        <f>IF(_xlfn.XLOOKUP(EL$14,TableTransport['#],TableTransport[Location])&lt;&gt;"",_xlfn.XLOOKUP(EL$14,TableTransport['#],TableTransport[Location]),"")</f>
        <v/>
      </c>
      <c r="EM22" s="340" t="str">
        <f>IFERROR(_xlfn.XLOOKUP(EL22,'Rawlinsons regional indices'!$A$2:$A$63,'Rawlinsons regional indices'!$C$2:$C$63),"")</f>
        <v/>
      </c>
      <c r="EN22" s="168" t="str">
        <f>IFERROR(EN$21*EM22,"")</f>
        <v/>
      </c>
      <c r="EP22" s="345" t="str">
        <f>IF(_xlfn.XLOOKUP(EP$14,TableTransport['#],TableTransport[Location])&lt;&gt;"",_xlfn.XLOOKUP(EP$14,TableTransport['#],TableTransport[Location]),"")</f>
        <v/>
      </c>
      <c r="EQ22" s="340" t="str">
        <f>IFERROR(_xlfn.XLOOKUP(EP22,'Rawlinsons regional indices'!$A$2:$A$63,'Rawlinsons regional indices'!$C$2:$C$63),"")</f>
        <v/>
      </c>
      <c r="ER22" s="168" t="str">
        <f>IFERROR(ER$21*EQ22,"")</f>
        <v/>
      </c>
      <c r="ET22" s="345" t="str">
        <f>IF(_xlfn.XLOOKUP(ET$14,TableTransport['#],TableTransport[Location])&lt;&gt;"",_xlfn.XLOOKUP(ET$14,TableTransport['#],TableTransport[Location]),"")</f>
        <v/>
      </c>
      <c r="EU22" s="340" t="str">
        <f>IFERROR(_xlfn.XLOOKUP(ET22,'Rawlinsons regional indices'!$A$2:$A$63,'Rawlinsons regional indices'!$C$2:$C$63),"")</f>
        <v/>
      </c>
      <c r="EV22" s="168" t="str">
        <f>IFERROR(EV$21*EU22,"")</f>
        <v/>
      </c>
      <c r="EX22" s="345" t="str">
        <f>IF(_xlfn.XLOOKUP(EX$14,TableTransport['#],TableTransport[Location])&lt;&gt;"",_xlfn.XLOOKUP(EX$14,TableTransport['#],TableTransport[Location]),"")</f>
        <v/>
      </c>
      <c r="EY22" s="340" t="str">
        <f>IFERROR(_xlfn.XLOOKUP(EX22,'Rawlinsons regional indices'!$A$2:$A$63,'Rawlinsons regional indices'!$C$2:$C$63),"")</f>
        <v/>
      </c>
      <c r="EZ22" s="168" t="str">
        <f>IFERROR(EZ$21*EY22,"")</f>
        <v/>
      </c>
      <c r="FB22" s="345" t="str">
        <f>IF(_xlfn.XLOOKUP(FB$14,TableTransport['#],TableTransport[Location])&lt;&gt;"",_xlfn.XLOOKUP(FB$14,TableTransport['#],TableTransport[Location]),"")</f>
        <v/>
      </c>
      <c r="FC22" s="340" t="str">
        <f>IFERROR(_xlfn.XLOOKUP(FB22,'Rawlinsons regional indices'!$A$2:$A$63,'Rawlinsons regional indices'!$C$2:$C$63),"")</f>
        <v/>
      </c>
      <c r="FD22" s="168" t="str">
        <f>IFERROR(FD$21*FC22,"")</f>
        <v/>
      </c>
      <c r="FF22" s="345" t="str">
        <f>IF(_xlfn.XLOOKUP(FF$14,TableTransport['#],TableTransport[Location])&lt;&gt;"",_xlfn.XLOOKUP(FF$14,TableTransport['#],TableTransport[Location]),"")</f>
        <v/>
      </c>
      <c r="FG22" s="340" t="str">
        <f>IFERROR(_xlfn.XLOOKUP(FF22,'Rawlinsons regional indices'!$A$2:$A$63,'Rawlinsons regional indices'!$C$2:$C$63),"")</f>
        <v/>
      </c>
      <c r="FH22" s="168" t="str">
        <f>IFERROR(FH$21*FG22,"")</f>
        <v/>
      </c>
      <c r="FJ22" s="345" t="str">
        <f>IF(_xlfn.XLOOKUP(FJ$14,TableTransport['#],TableTransport[Location])&lt;&gt;"",_xlfn.XLOOKUP(FJ$14,TableTransport['#],TableTransport[Location]),"")</f>
        <v/>
      </c>
      <c r="FK22" s="340" t="str">
        <f>IFERROR(_xlfn.XLOOKUP(FJ22,'Rawlinsons regional indices'!$A$2:$A$63,'Rawlinsons regional indices'!$C$2:$C$63),"")</f>
        <v/>
      </c>
      <c r="FL22" s="168" t="str">
        <f>IFERROR(FL$21*FK22,"")</f>
        <v/>
      </c>
      <c r="FN22" s="345" t="str">
        <f>IF(_xlfn.XLOOKUP(FN$14,TableTransport['#],TableTransport[Location])&lt;&gt;"",_xlfn.XLOOKUP(FN$14,TableTransport['#],TableTransport[Location]),"")</f>
        <v/>
      </c>
      <c r="FO22" s="340" t="str">
        <f>IFERROR(_xlfn.XLOOKUP(FN22,'Rawlinsons regional indices'!$A$2:$A$63,'Rawlinsons regional indices'!$C$2:$C$63),"")</f>
        <v/>
      </c>
      <c r="FP22" s="168" t="str">
        <f>IFERROR(FP$21*FO22,"")</f>
        <v/>
      </c>
      <c r="FR22" s="345" t="str">
        <f>IF(_xlfn.XLOOKUP(FR$14,TableTransport['#],TableTransport[Location])&lt;&gt;"",_xlfn.XLOOKUP(FR$14,TableTransport['#],TableTransport[Location]),"")</f>
        <v/>
      </c>
      <c r="FS22" s="340" t="str">
        <f>IFERROR(_xlfn.XLOOKUP(FR22,'Rawlinsons regional indices'!$A$2:$A$63,'Rawlinsons regional indices'!$C$2:$C$63),"")</f>
        <v/>
      </c>
      <c r="FT22" s="168" t="str">
        <f>IFERROR(FT$21*FS22,"")</f>
        <v/>
      </c>
      <c r="FV22" s="345" t="str">
        <f>IF(_xlfn.XLOOKUP(FV$14,TableTransport['#],TableTransport[Location])&lt;&gt;"",_xlfn.XLOOKUP(FV$14,TableTransport['#],TableTransport[Location]),"")</f>
        <v/>
      </c>
      <c r="FW22" s="340" t="str">
        <f>IFERROR(_xlfn.XLOOKUP(FV22,'Rawlinsons regional indices'!$A$2:$A$63,'Rawlinsons regional indices'!$C$2:$C$63),"")</f>
        <v/>
      </c>
      <c r="FX22" s="168" t="str">
        <f>IFERROR(FX$21*FW22,"")</f>
        <v/>
      </c>
      <c r="FZ22" s="345" t="str">
        <f>IF(_xlfn.XLOOKUP(FZ$14,TableTransport['#],TableTransport[Location])&lt;&gt;"",_xlfn.XLOOKUP(FZ$14,TableTransport['#],TableTransport[Location]),"")</f>
        <v/>
      </c>
      <c r="GA22" s="340" t="str">
        <f>IFERROR(_xlfn.XLOOKUP(FZ22,'Rawlinsons regional indices'!$A$2:$A$63,'Rawlinsons regional indices'!$C$2:$C$63),"")</f>
        <v/>
      </c>
      <c r="GB22" s="168" t="str">
        <f>IFERROR(GB$21*GA22,"")</f>
        <v/>
      </c>
      <c r="GD22" s="345" t="str">
        <f>IF(_xlfn.XLOOKUP(GD$14,TableTransport['#],TableTransport[Location])&lt;&gt;"",_xlfn.XLOOKUP(GD$14,TableTransport['#],TableTransport[Location]),"")</f>
        <v/>
      </c>
      <c r="GE22" s="340" t="str">
        <f>IFERROR(_xlfn.XLOOKUP(GD22,'Rawlinsons regional indices'!$A$2:$A$63,'Rawlinsons regional indices'!$C$2:$C$63),"")</f>
        <v/>
      </c>
      <c r="GF22" s="168" t="str">
        <f>IFERROR(GF$21*GE22,"")</f>
        <v/>
      </c>
      <c r="GH22" s="345" t="str">
        <f>IF(_xlfn.XLOOKUP(GH$14,TableTransport['#],TableTransport[Location])&lt;&gt;"",_xlfn.XLOOKUP(GH$14,TableTransport['#],TableTransport[Location]),"")</f>
        <v/>
      </c>
      <c r="GI22" s="340" t="str">
        <f>IFERROR(_xlfn.XLOOKUP(GH22,'Rawlinsons regional indices'!$A$2:$A$63,'Rawlinsons regional indices'!$C$2:$C$63),"")</f>
        <v/>
      </c>
      <c r="GJ22" s="168" t="str">
        <f>IFERROR(GJ$21*GI22,"")</f>
        <v/>
      </c>
      <c r="GL22" s="345" t="str">
        <f>IF(_xlfn.XLOOKUP(GL$14,TableTransport['#],TableTransport[Location])&lt;&gt;"",_xlfn.XLOOKUP(GL$14,TableTransport['#],TableTransport[Location]),"")</f>
        <v/>
      </c>
      <c r="GM22" s="340" t="str">
        <f>IFERROR(_xlfn.XLOOKUP(GL22,'Rawlinsons regional indices'!$A$2:$A$63,'Rawlinsons regional indices'!$C$2:$C$63),"")</f>
        <v/>
      </c>
      <c r="GN22" s="168" t="str">
        <f>IFERROR(GN$21*GM22,"")</f>
        <v/>
      </c>
      <c r="GP22" s="345" t="str">
        <f>IF(_xlfn.XLOOKUP(GP$14,TableTransport['#],TableTransport[Location])&lt;&gt;"",_xlfn.XLOOKUP(GP$14,TableTransport['#],TableTransport[Location]),"")</f>
        <v/>
      </c>
      <c r="GQ22" s="340" t="str">
        <f>IFERROR(_xlfn.XLOOKUP(GP22,'Rawlinsons regional indices'!$A$2:$A$63,'Rawlinsons regional indices'!$C$2:$C$63),"")</f>
        <v/>
      </c>
      <c r="GR22" s="168" t="str">
        <f>IFERROR(GR$21*GQ22,"")</f>
        <v/>
      </c>
      <c r="GT22" s="345" t="str">
        <f>IF(_xlfn.XLOOKUP(GT$14,TableTransport['#],TableTransport[Location])&lt;&gt;"",_xlfn.XLOOKUP(GT$14,TableTransport['#],TableTransport[Location]),"")</f>
        <v/>
      </c>
      <c r="GU22" s="340" t="str">
        <f>IFERROR(_xlfn.XLOOKUP(GT22,'Rawlinsons regional indices'!$A$2:$A$63,'Rawlinsons regional indices'!$C$2:$C$63),"")</f>
        <v/>
      </c>
      <c r="GV22" s="168" t="str">
        <f>IFERROR(GV$21*GU22,"")</f>
        <v/>
      </c>
    </row>
    <row r="23" spans="4:204" x14ac:dyDescent="0.2">
      <c r="D23" t="s">
        <v>151</v>
      </c>
      <c r="F23" s="348" t="str">
        <f>IF(_xlfn.XLOOKUP(F$14,TableTransport['#],TableTransport[Proximity to raw materials (in kilometres)])&lt;&gt;"",_xlfn.XLOOKUP(F$14,TableTransport['#],TableTransport[Proximity to raw materials (in kilometres)]),"")</f>
        <v/>
      </c>
      <c r="G23" s="340" t="str" cm="1">
        <f t="array" ref="G23">IF(F23&lt;&gt;"",_xlfn.IFS(F23&lt;'Variable index'!$J$17,'Variable index'!$K$14,AND(F23&gt;='Variable index'!$J$17,F23&lt;'Variable index'!$J$18),'Variable index'!$L$14,F23&gt;='Variable index'!$J$18,'Variable index'!$M$14),"")</f>
        <v/>
      </c>
      <c r="H23" s="168" t="str">
        <f>IFERROR(H$21*G23,"")</f>
        <v/>
      </c>
      <c r="J23" s="348" t="str">
        <f>IF(_xlfn.XLOOKUP(J$14,TableTransport['#],TableTransport[Proximity to raw materials (in kilometres)])&lt;&gt;"",_xlfn.XLOOKUP(J$14,TableTransport['#],TableTransport[Proximity to raw materials (in kilometres)]),"")</f>
        <v/>
      </c>
      <c r="K23" s="340" t="str" cm="1">
        <f t="array" ref="K23">IF(J23&lt;&gt;"",_xlfn.IFS(J23&lt;'Variable index'!$J$17,'Variable index'!$K$14,AND(J23&gt;='Variable index'!$J$17,J23&lt;'Variable index'!$J$18),'Variable index'!$L$14,J23&gt;='Variable index'!$J$18,'Variable index'!$M$14),"")</f>
        <v/>
      </c>
      <c r="L23" s="168" t="str">
        <f>IFERROR(L$21*K23,"")</f>
        <v/>
      </c>
      <c r="N23" s="348" t="str">
        <f>IF(_xlfn.XLOOKUP(N$14,TableTransport['#],TableTransport[Proximity to raw materials (in kilometres)])&lt;&gt;"",_xlfn.XLOOKUP(N$14,TableTransport['#],TableTransport[Proximity to raw materials (in kilometres)]),"")</f>
        <v/>
      </c>
      <c r="O23" s="340" t="str" cm="1">
        <f t="array" ref="O23">IF(N23&lt;&gt;"",_xlfn.IFS(N23&lt;'Variable index'!$J$17,'Variable index'!$K$14,AND(N23&gt;='Variable index'!$J$17,N23&lt;'Variable index'!$J$18),'Variable index'!$L$14,N23&gt;='Variable index'!$J$18,'Variable index'!$M$14),"")</f>
        <v/>
      </c>
      <c r="P23" s="168" t="str">
        <f>IFERROR(P$21*O23,"")</f>
        <v/>
      </c>
      <c r="R23" s="348" t="str">
        <f>IF(_xlfn.XLOOKUP(R$14,TableTransport['#],TableTransport[Proximity to raw materials (in kilometres)])&lt;&gt;"",_xlfn.XLOOKUP(R$14,TableTransport['#],TableTransport[Proximity to raw materials (in kilometres)]),"")</f>
        <v/>
      </c>
      <c r="S23" s="340" t="str" cm="1">
        <f t="array" ref="S23">IF(R23&lt;&gt;"",_xlfn.IFS(R23&lt;'Variable index'!$J$17,'Variable index'!$K$14,AND(R23&gt;='Variable index'!$J$17,R23&lt;'Variable index'!$J$18),'Variable index'!$L$14,R23&gt;='Variable index'!$J$18,'Variable index'!$M$14),"")</f>
        <v/>
      </c>
      <c r="T23" s="168" t="str">
        <f>IFERROR(T$21*S23,"")</f>
        <v/>
      </c>
      <c r="V23" s="348" t="str">
        <f>IF(_xlfn.XLOOKUP(V$14,TableTransport['#],TableTransport[Proximity to raw materials (in kilometres)])&lt;&gt;"",_xlfn.XLOOKUP(V$14,TableTransport['#],TableTransport[Proximity to raw materials (in kilometres)]),"")</f>
        <v/>
      </c>
      <c r="W23" s="340" t="str" cm="1">
        <f t="array" ref="W23">IF(V23&lt;&gt;"",_xlfn.IFS(V23&lt;'Variable index'!$J$17,'Variable index'!$K$14,AND(V23&gt;='Variable index'!$J$17,V23&lt;'Variable index'!$J$18),'Variable index'!$L$14,V23&gt;='Variable index'!$J$18,'Variable index'!$M$14),"")</f>
        <v/>
      </c>
      <c r="X23" s="168" t="str">
        <f>IFERROR(X$21*W23,"")</f>
        <v/>
      </c>
      <c r="Z23" s="348" t="str">
        <f>IF(_xlfn.XLOOKUP(Z$14,TableTransport['#],TableTransport[Proximity to raw materials (in kilometres)])&lt;&gt;"",_xlfn.XLOOKUP(Z$14,TableTransport['#],TableTransport[Proximity to raw materials (in kilometres)]),"")</f>
        <v/>
      </c>
      <c r="AA23" s="340" t="str" cm="1">
        <f t="array" ref="AA23">IF(Z23&lt;&gt;"",_xlfn.IFS(Z23&lt;'Variable index'!$J$17,'Variable index'!$K$14,AND(Z23&gt;='Variable index'!$J$17,Z23&lt;'Variable index'!$J$18),'Variable index'!$L$14,Z23&gt;='Variable index'!$J$18,'Variable index'!$M$14),"")</f>
        <v/>
      </c>
      <c r="AB23" s="168" t="str">
        <f>IFERROR(AB$21*AA23,"")</f>
        <v/>
      </c>
      <c r="AD23" s="348" t="str">
        <f>IF(_xlfn.XLOOKUP(AD$14,TableTransport['#],TableTransport[Proximity to raw materials (in kilometres)])&lt;&gt;"",_xlfn.XLOOKUP(AD$14,TableTransport['#],TableTransport[Proximity to raw materials (in kilometres)]),"")</f>
        <v/>
      </c>
      <c r="AE23" s="340" t="str" cm="1">
        <f t="array" ref="AE23">IF(AD23&lt;&gt;"",_xlfn.IFS(AD23&lt;'Variable index'!$J$17,'Variable index'!$K$14,AND(AD23&gt;='Variable index'!$J$17,AD23&lt;'Variable index'!$J$18),'Variable index'!$L$14,AD23&gt;='Variable index'!$J$18,'Variable index'!$M$14),"")</f>
        <v/>
      </c>
      <c r="AF23" s="168" t="str">
        <f>IFERROR(AF$21*AE23,"")</f>
        <v/>
      </c>
      <c r="AH23" s="348" t="str">
        <f>IF(_xlfn.XLOOKUP(AH$14,TableTransport['#],TableTransport[Proximity to raw materials (in kilometres)])&lt;&gt;"",_xlfn.XLOOKUP(AH$14,TableTransport['#],TableTransport[Proximity to raw materials (in kilometres)]),"")</f>
        <v/>
      </c>
      <c r="AI23" s="340" t="str" cm="1">
        <f t="array" ref="AI23">IF(AH23&lt;&gt;"",_xlfn.IFS(AH23&lt;'Variable index'!$J$17,'Variable index'!$K$14,AND(AH23&gt;='Variable index'!$J$17,AH23&lt;'Variable index'!$J$18),'Variable index'!$L$14,AH23&gt;='Variable index'!$J$18,'Variable index'!$M$14),"")</f>
        <v/>
      </c>
      <c r="AJ23" s="168" t="str">
        <f>IFERROR(AJ$21*AI23,"")</f>
        <v/>
      </c>
      <c r="AL23" s="348" t="str">
        <f>IF(_xlfn.XLOOKUP(AL$14,TableTransport['#],TableTransport[Proximity to raw materials (in kilometres)])&lt;&gt;"",_xlfn.XLOOKUP(AL$14,TableTransport['#],TableTransport[Proximity to raw materials (in kilometres)]),"")</f>
        <v/>
      </c>
      <c r="AM23" s="340" t="str" cm="1">
        <f t="array" ref="AM23">IF(AL23&lt;&gt;"",_xlfn.IFS(AL23&lt;'Variable index'!$J$17,'Variable index'!$K$14,AND(AL23&gt;='Variable index'!$J$17,AL23&lt;'Variable index'!$J$18),'Variable index'!$L$14,AL23&gt;='Variable index'!$J$18,'Variable index'!$M$14),"")</f>
        <v/>
      </c>
      <c r="AN23" s="168" t="str">
        <f>IFERROR(AN$21*AM23,"")</f>
        <v/>
      </c>
      <c r="AP23" s="348" t="str">
        <f>IF(_xlfn.XLOOKUP(AP$14,TableTransport['#],TableTransport[Proximity to raw materials (in kilometres)])&lt;&gt;"",_xlfn.XLOOKUP(AP$14,TableTransport['#],TableTransport[Proximity to raw materials (in kilometres)]),"")</f>
        <v/>
      </c>
      <c r="AQ23" s="340" t="str" cm="1">
        <f t="array" ref="AQ23">IF(AP23&lt;&gt;"",_xlfn.IFS(AP23&lt;'Variable index'!$J$17,'Variable index'!$K$14,AND(AP23&gt;='Variable index'!$J$17,AP23&lt;'Variable index'!$J$18),'Variable index'!$L$14,AP23&gt;='Variable index'!$J$18,'Variable index'!$M$14),"")</f>
        <v/>
      </c>
      <c r="AR23" s="168" t="str">
        <f>IFERROR(AR$21*AQ23,"")</f>
        <v/>
      </c>
      <c r="AT23" s="348" t="str">
        <f>IF(_xlfn.XLOOKUP(AT$14,TableTransport['#],TableTransport[Proximity to raw materials (in kilometres)])&lt;&gt;"",_xlfn.XLOOKUP(AT$14,TableTransport['#],TableTransport[Proximity to raw materials (in kilometres)]),"")</f>
        <v/>
      </c>
      <c r="AU23" s="340" t="str" cm="1">
        <f t="array" ref="AU23">IF(AT23&lt;&gt;"",_xlfn.IFS(AT23&lt;'Variable index'!$J$17,'Variable index'!$K$14,AND(AT23&gt;='Variable index'!$J$17,AT23&lt;'Variable index'!$J$18),'Variable index'!$L$14,AT23&gt;='Variable index'!$J$18,'Variable index'!$M$14),"")</f>
        <v/>
      </c>
      <c r="AV23" s="168" t="str">
        <f>IFERROR(AV$21*AU23,"")</f>
        <v/>
      </c>
      <c r="AX23" s="348" t="str">
        <f>IF(_xlfn.XLOOKUP(AX$14,TableTransport['#],TableTransport[Proximity to raw materials (in kilometres)])&lt;&gt;"",_xlfn.XLOOKUP(AX$14,TableTransport['#],TableTransport[Proximity to raw materials (in kilometres)]),"")</f>
        <v/>
      </c>
      <c r="AY23" s="340" t="str" cm="1">
        <f t="array" ref="AY23">IF(AX23&lt;&gt;"",_xlfn.IFS(AX23&lt;'Variable index'!$J$17,'Variable index'!$K$14,AND(AX23&gt;='Variable index'!$J$17,AX23&lt;'Variable index'!$J$18),'Variable index'!$L$14,AX23&gt;='Variable index'!$J$18,'Variable index'!$M$14),"")</f>
        <v/>
      </c>
      <c r="AZ23" s="168" t="str">
        <f>IFERROR(AZ$21*AY23,"")</f>
        <v/>
      </c>
      <c r="BB23" s="348" t="str">
        <f>IF(_xlfn.XLOOKUP(BB$14,TableTransport['#],TableTransport[Proximity to raw materials (in kilometres)])&lt;&gt;"",_xlfn.XLOOKUP(BB$14,TableTransport['#],TableTransport[Proximity to raw materials (in kilometres)]),"")</f>
        <v/>
      </c>
      <c r="BC23" s="340" t="str" cm="1">
        <f t="array" ref="BC23">IF(BB23&lt;&gt;"",_xlfn.IFS(BB23&lt;'Variable index'!$J$17,'Variable index'!$K$14,AND(BB23&gt;='Variable index'!$J$17,BB23&lt;'Variable index'!$J$18),'Variable index'!$L$14,BB23&gt;='Variable index'!$J$18,'Variable index'!$M$14),"")</f>
        <v/>
      </c>
      <c r="BD23" s="168" t="str">
        <f>IFERROR(BD$21*BC23,"")</f>
        <v/>
      </c>
      <c r="BF23" s="348" t="str">
        <f>IF(_xlfn.XLOOKUP(BF$14,TableTransport['#],TableTransport[Proximity to raw materials (in kilometres)])&lt;&gt;"",_xlfn.XLOOKUP(BF$14,TableTransport['#],TableTransport[Proximity to raw materials (in kilometres)]),"")</f>
        <v/>
      </c>
      <c r="BG23" s="340" t="str" cm="1">
        <f t="array" ref="BG23">IF(BF23&lt;&gt;"",_xlfn.IFS(BF23&lt;'Variable index'!$J$17,'Variable index'!$K$14,AND(BF23&gt;='Variable index'!$J$17,BF23&lt;'Variable index'!$J$18),'Variable index'!$L$14,BF23&gt;='Variable index'!$J$18,'Variable index'!$M$14),"")</f>
        <v/>
      </c>
      <c r="BH23" s="168" t="str">
        <f>IFERROR(BH$21*BG23,"")</f>
        <v/>
      </c>
      <c r="BJ23" s="348" t="str">
        <f>IF(_xlfn.XLOOKUP(BJ$14,TableTransport['#],TableTransport[Proximity to raw materials (in kilometres)])&lt;&gt;"",_xlfn.XLOOKUP(BJ$14,TableTransport['#],TableTransport[Proximity to raw materials (in kilometres)]),"")</f>
        <v/>
      </c>
      <c r="BK23" s="340" t="str" cm="1">
        <f t="array" ref="BK23">IF(BJ23&lt;&gt;"",_xlfn.IFS(BJ23&lt;'Variable index'!$J$17,'Variable index'!$K$14,AND(BJ23&gt;='Variable index'!$J$17,BJ23&lt;'Variable index'!$J$18),'Variable index'!$L$14,BJ23&gt;='Variable index'!$J$18,'Variable index'!$M$14),"")</f>
        <v/>
      </c>
      <c r="BL23" s="168" t="str">
        <f>IFERROR(BL$21*BK23,"")</f>
        <v/>
      </c>
      <c r="BN23" s="348" t="str">
        <f>IF(_xlfn.XLOOKUP(BN$14,TableTransport['#],TableTransport[Proximity to raw materials (in kilometres)])&lt;&gt;"",_xlfn.XLOOKUP(BN$14,TableTransport['#],TableTransport[Proximity to raw materials (in kilometres)]),"")</f>
        <v/>
      </c>
      <c r="BO23" s="340" t="str" cm="1">
        <f t="array" ref="BO23">IF(BN23&lt;&gt;"",_xlfn.IFS(BN23&lt;'Variable index'!$J$17,'Variable index'!$K$14,AND(BN23&gt;='Variable index'!$J$17,BN23&lt;'Variable index'!$J$18),'Variable index'!$L$14,BN23&gt;='Variable index'!$J$18,'Variable index'!$M$14),"")</f>
        <v/>
      </c>
      <c r="BP23" s="168" t="str">
        <f>IFERROR(BP$21*BO23,"")</f>
        <v/>
      </c>
      <c r="BR23" s="348" t="str">
        <f>IF(_xlfn.XLOOKUP(BR$14,TableTransport['#],TableTransport[Proximity to raw materials (in kilometres)])&lt;&gt;"",_xlfn.XLOOKUP(BR$14,TableTransport['#],TableTransport[Proximity to raw materials (in kilometres)]),"")</f>
        <v/>
      </c>
      <c r="BS23" s="340" t="str" cm="1">
        <f t="array" ref="BS23">IF(BR23&lt;&gt;"",_xlfn.IFS(BR23&lt;'Variable index'!$J$17,'Variable index'!$K$14,AND(BR23&gt;='Variable index'!$J$17,BR23&lt;'Variable index'!$J$18),'Variable index'!$L$14,BR23&gt;='Variable index'!$J$18,'Variable index'!$M$14),"")</f>
        <v/>
      </c>
      <c r="BT23" s="168" t="str">
        <f>IFERROR(BT$21*BS23,"")</f>
        <v/>
      </c>
      <c r="BV23" s="348" t="str">
        <f>IF(_xlfn.XLOOKUP(BV$14,TableTransport['#],TableTransport[Proximity to raw materials (in kilometres)])&lt;&gt;"",_xlfn.XLOOKUP(BV$14,TableTransport['#],TableTransport[Proximity to raw materials (in kilometres)]),"")</f>
        <v/>
      </c>
      <c r="BW23" s="340" t="str" cm="1">
        <f t="array" ref="BW23">IF(BV23&lt;&gt;"",_xlfn.IFS(BV23&lt;'Variable index'!$J$17,'Variable index'!$K$14,AND(BV23&gt;='Variable index'!$J$17,BV23&lt;'Variable index'!$J$18),'Variable index'!$L$14,BV23&gt;='Variable index'!$J$18,'Variable index'!$M$14),"")</f>
        <v/>
      </c>
      <c r="BX23" s="168" t="str">
        <f>IFERROR(BX$21*BW23,"")</f>
        <v/>
      </c>
      <c r="BZ23" s="348" t="str">
        <f>IF(_xlfn.XLOOKUP(BZ$14,TableTransport['#],TableTransport[Proximity to raw materials (in kilometres)])&lt;&gt;"",_xlfn.XLOOKUP(BZ$14,TableTransport['#],TableTransport[Proximity to raw materials (in kilometres)]),"")</f>
        <v/>
      </c>
      <c r="CA23" s="340" t="str" cm="1">
        <f t="array" ref="CA23">IF(BZ23&lt;&gt;"",_xlfn.IFS(BZ23&lt;'Variable index'!$J$17,'Variable index'!$K$14,AND(BZ23&gt;='Variable index'!$J$17,BZ23&lt;'Variable index'!$J$18),'Variable index'!$L$14,BZ23&gt;='Variable index'!$J$18,'Variable index'!$M$14),"")</f>
        <v/>
      </c>
      <c r="CB23" s="168" t="str">
        <f>IFERROR(CB$21*CA23,"")</f>
        <v/>
      </c>
      <c r="CD23" s="348" t="str">
        <f>IF(_xlfn.XLOOKUP(CD$14,TableTransport['#],TableTransport[Proximity to raw materials (in kilometres)])&lt;&gt;"",_xlfn.XLOOKUP(CD$14,TableTransport['#],TableTransport[Proximity to raw materials (in kilometres)]),"")</f>
        <v/>
      </c>
      <c r="CE23" s="340" t="str" cm="1">
        <f t="array" ref="CE23">IF(CD23&lt;&gt;"",_xlfn.IFS(CD23&lt;'Variable index'!$J$17,'Variable index'!$K$14,AND(CD23&gt;='Variable index'!$J$17,CD23&lt;'Variable index'!$J$18),'Variable index'!$L$14,CD23&gt;='Variable index'!$J$18,'Variable index'!$M$14),"")</f>
        <v/>
      </c>
      <c r="CF23" s="168" t="str">
        <f>IFERROR(CF$21*CE23,"")</f>
        <v/>
      </c>
      <c r="CH23" s="348" t="str">
        <f>IF(_xlfn.XLOOKUP(CH$14,TableTransport['#],TableTransport[Proximity to raw materials (in kilometres)])&lt;&gt;"",_xlfn.XLOOKUP(CH$14,TableTransport['#],TableTransport[Proximity to raw materials (in kilometres)]),"")</f>
        <v/>
      </c>
      <c r="CI23" s="340" t="str" cm="1">
        <f t="array" ref="CI23">IF(CH23&lt;&gt;"",_xlfn.IFS(CH23&lt;'Variable index'!$J$17,'Variable index'!$K$14,AND(CH23&gt;='Variable index'!$J$17,CH23&lt;'Variable index'!$J$18),'Variable index'!$L$14,CH23&gt;='Variable index'!$J$18,'Variable index'!$M$14),"")</f>
        <v/>
      </c>
      <c r="CJ23" s="168" t="str">
        <f>IFERROR(CJ$21*CI23,"")</f>
        <v/>
      </c>
      <c r="CL23" s="348" t="str">
        <f>IF(_xlfn.XLOOKUP(CL$14,TableTransport['#],TableTransport[Proximity to raw materials (in kilometres)])&lt;&gt;"",_xlfn.XLOOKUP(CL$14,TableTransport['#],TableTransport[Proximity to raw materials (in kilometres)]),"")</f>
        <v/>
      </c>
      <c r="CM23" s="340" t="str" cm="1">
        <f t="array" ref="CM23">IF(CL23&lt;&gt;"",_xlfn.IFS(CL23&lt;'Variable index'!$J$17,'Variable index'!$K$14,AND(CL23&gt;='Variable index'!$J$17,CL23&lt;'Variable index'!$J$18),'Variable index'!$L$14,CL23&gt;='Variable index'!$J$18,'Variable index'!$M$14),"")</f>
        <v/>
      </c>
      <c r="CN23" s="168" t="str">
        <f>IFERROR(CN$21*CM23,"")</f>
        <v/>
      </c>
      <c r="CP23" s="348" t="str">
        <f>IF(_xlfn.XLOOKUP(CP$14,TableTransport['#],TableTransport[Proximity to raw materials (in kilometres)])&lt;&gt;"",_xlfn.XLOOKUP(CP$14,TableTransport['#],TableTransport[Proximity to raw materials (in kilometres)]),"")</f>
        <v/>
      </c>
      <c r="CQ23" s="340" t="str" cm="1">
        <f t="array" ref="CQ23">IF(CP23&lt;&gt;"",_xlfn.IFS(CP23&lt;'Variable index'!$J$17,'Variable index'!$K$14,AND(CP23&gt;='Variable index'!$J$17,CP23&lt;'Variable index'!$J$18),'Variable index'!$L$14,CP23&gt;='Variable index'!$J$18,'Variable index'!$M$14),"")</f>
        <v/>
      </c>
      <c r="CR23" s="168" t="str">
        <f>IFERROR(CR$21*CQ23,"")</f>
        <v/>
      </c>
      <c r="CT23" s="348" t="str">
        <f>IF(_xlfn.XLOOKUP(CT$14,TableTransport['#],TableTransport[Proximity to raw materials (in kilometres)])&lt;&gt;"",_xlfn.XLOOKUP(CT$14,TableTransport['#],TableTransport[Proximity to raw materials (in kilometres)]),"")</f>
        <v/>
      </c>
      <c r="CU23" s="340" t="str" cm="1">
        <f t="array" ref="CU23">IF(CT23&lt;&gt;"",_xlfn.IFS(CT23&lt;'Variable index'!$J$17,'Variable index'!$K$14,AND(CT23&gt;='Variable index'!$J$17,CT23&lt;'Variable index'!$J$18),'Variable index'!$L$14,CT23&gt;='Variable index'!$J$18,'Variable index'!$M$14),"")</f>
        <v/>
      </c>
      <c r="CV23" s="168" t="str">
        <f>IFERROR(CV$21*CU23,"")</f>
        <v/>
      </c>
      <c r="CX23" s="348" t="str">
        <f>IF(_xlfn.XLOOKUP(CX$14,TableTransport['#],TableTransport[Proximity to raw materials (in kilometres)])&lt;&gt;"",_xlfn.XLOOKUP(CX$14,TableTransport['#],TableTransport[Proximity to raw materials (in kilometres)]),"")</f>
        <v/>
      </c>
      <c r="CY23" s="340" t="str" cm="1">
        <f t="array" ref="CY23">IF(CX23&lt;&gt;"",_xlfn.IFS(CX23&lt;'Variable index'!$J$17,'Variable index'!$K$14,AND(CX23&gt;='Variable index'!$J$17,CX23&lt;'Variable index'!$J$18),'Variable index'!$L$14,CX23&gt;='Variable index'!$J$18,'Variable index'!$M$14),"")</f>
        <v/>
      </c>
      <c r="CZ23" s="168" t="str">
        <f>IFERROR(CZ$21*CY23,"")</f>
        <v/>
      </c>
      <c r="DB23" s="348" t="str">
        <f>IF(_xlfn.XLOOKUP(DB$14,TableTransport['#],TableTransport[Proximity to raw materials (in kilometres)])&lt;&gt;"",_xlfn.XLOOKUP(DB$14,TableTransport['#],TableTransport[Proximity to raw materials (in kilometres)]),"")</f>
        <v/>
      </c>
      <c r="DC23" s="340" t="str" cm="1">
        <f t="array" ref="DC23">IF(DB23&lt;&gt;"",_xlfn.IFS(DB23&lt;'Variable index'!$J$17,'Variable index'!$K$14,AND(DB23&gt;='Variable index'!$J$17,DB23&lt;'Variable index'!$J$18),'Variable index'!$L$14,DB23&gt;='Variable index'!$J$18,'Variable index'!$M$14),"")</f>
        <v/>
      </c>
      <c r="DD23" s="168" t="str">
        <f>IFERROR(DD$21*DC23,"")</f>
        <v/>
      </c>
      <c r="DF23" s="348" t="str">
        <f>IF(_xlfn.XLOOKUP(DF$14,TableTransport['#],TableTransport[Proximity to raw materials (in kilometres)])&lt;&gt;"",_xlfn.XLOOKUP(DF$14,TableTransport['#],TableTransport[Proximity to raw materials (in kilometres)]),"")</f>
        <v/>
      </c>
      <c r="DG23" s="340" t="str" cm="1">
        <f t="array" ref="DG23">IF(DF23&lt;&gt;"",_xlfn.IFS(DF23&lt;'Variable index'!$J$17,'Variable index'!$K$14,AND(DF23&gt;='Variable index'!$J$17,DF23&lt;'Variable index'!$J$18),'Variable index'!$L$14,DF23&gt;='Variable index'!$J$18,'Variable index'!$M$14),"")</f>
        <v/>
      </c>
      <c r="DH23" s="168" t="str">
        <f>IFERROR(DH$21*DG23,"")</f>
        <v/>
      </c>
      <c r="DJ23" s="348" t="str">
        <f>IF(_xlfn.XLOOKUP(DJ$14,TableTransport['#],TableTransport[Proximity to raw materials (in kilometres)])&lt;&gt;"",_xlfn.XLOOKUP(DJ$14,TableTransport['#],TableTransport[Proximity to raw materials (in kilometres)]),"")</f>
        <v/>
      </c>
      <c r="DK23" s="340" t="str" cm="1">
        <f t="array" ref="DK23">IF(DJ23&lt;&gt;"",_xlfn.IFS(DJ23&lt;'Variable index'!$J$17,'Variable index'!$K$14,AND(DJ23&gt;='Variable index'!$J$17,DJ23&lt;'Variable index'!$J$18),'Variable index'!$L$14,DJ23&gt;='Variable index'!$J$18,'Variable index'!$M$14),"")</f>
        <v/>
      </c>
      <c r="DL23" s="168" t="str">
        <f>IFERROR(DL$21*DK23,"")</f>
        <v/>
      </c>
      <c r="DN23" s="348" t="str">
        <f>IF(_xlfn.XLOOKUP(DN$14,TableTransport['#],TableTransport[Proximity to raw materials (in kilometres)])&lt;&gt;"",_xlfn.XLOOKUP(DN$14,TableTransport['#],TableTransport[Proximity to raw materials (in kilometres)]),"")</f>
        <v/>
      </c>
      <c r="DO23" s="340" t="str" cm="1">
        <f t="array" ref="DO23">IF(DN23&lt;&gt;"",_xlfn.IFS(DN23&lt;'Variable index'!$J$17,'Variable index'!$K$14,AND(DN23&gt;='Variable index'!$J$17,DN23&lt;'Variable index'!$J$18),'Variable index'!$L$14,DN23&gt;='Variable index'!$J$18,'Variable index'!$M$14),"")</f>
        <v/>
      </c>
      <c r="DP23" s="168" t="str">
        <f>IFERROR(DP$21*DO23,"")</f>
        <v/>
      </c>
      <c r="DR23" s="348" t="str">
        <f>IF(_xlfn.XLOOKUP(DR$14,TableTransport['#],TableTransport[Proximity to raw materials (in kilometres)])&lt;&gt;"",_xlfn.XLOOKUP(DR$14,TableTransport['#],TableTransport[Proximity to raw materials (in kilometres)]),"")</f>
        <v/>
      </c>
      <c r="DS23" s="340" t="str" cm="1">
        <f t="array" ref="DS23">IF(DR23&lt;&gt;"",_xlfn.IFS(DR23&lt;'Variable index'!$J$17,'Variable index'!$K$14,AND(DR23&gt;='Variable index'!$J$17,DR23&lt;'Variable index'!$J$18),'Variable index'!$L$14,DR23&gt;='Variable index'!$J$18,'Variable index'!$M$14),"")</f>
        <v/>
      </c>
      <c r="DT23" s="168" t="str">
        <f>IFERROR(DT$21*DS23,"")</f>
        <v/>
      </c>
      <c r="DV23" s="348" t="str">
        <f>IF(_xlfn.XLOOKUP(DV$14,TableTransport['#],TableTransport[Proximity to raw materials (in kilometres)])&lt;&gt;"",_xlfn.XLOOKUP(DV$14,TableTransport['#],TableTransport[Proximity to raw materials (in kilometres)]),"")</f>
        <v/>
      </c>
      <c r="DW23" s="340" t="str" cm="1">
        <f t="array" ref="DW23">IF(DV23&lt;&gt;"",_xlfn.IFS(DV23&lt;'Variable index'!$J$17,'Variable index'!$K$14,AND(DV23&gt;='Variable index'!$J$17,DV23&lt;'Variable index'!$J$18),'Variable index'!$L$14,DV23&gt;='Variable index'!$J$18,'Variable index'!$M$14),"")</f>
        <v/>
      </c>
      <c r="DX23" s="168" t="str">
        <f>IFERROR(DX$21*DW23,"")</f>
        <v/>
      </c>
      <c r="DZ23" s="348" t="str">
        <f>IF(_xlfn.XLOOKUP(DZ$14,TableTransport['#],TableTransport[Proximity to raw materials (in kilometres)])&lt;&gt;"",_xlfn.XLOOKUP(DZ$14,TableTransport['#],TableTransport[Proximity to raw materials (in kilometres)]),"")</f>
        <v/>
      </c>
      <c r="EA23" s="340" t="str" cm="1">
        <f t="array" ref="EA23">IF(DZ23&lt;&gt;"",_xlfn.IFS(DZ23&lt;'Variable index'!$J$17,'Variable index'!$K$14,AND(DZ23&gt;='Variable index'!$J$17,DZ23&lt;'Variable index'!$J$18),'Variable index'!$L$14,DZ23&gt;='Variable index'!$J$18,'Variable index'!$M$14),"")</f>
        <v/>
      </c>
      <c r="EB23" s="168" t="str">
        <f>IFERROR(EB$21*EA23,"")</f>
        <v/>
      </c>
      <c r="ED23" s="348" t="str">
        <f>IF(_xlfn.XLOOKUP(ED$14,TableTransport['#],TableTransport[Proximity to raw materials (in kilometres)])&lt;&gt;"",_xlfn.XLOOKUP(ED$14,TableTransport['#],TableTransport[Proximity to raw materials (in kilometres)]),"")</f>
        <v/>
      </c>
      <c r="EE23" s="340" t="str" cm="1">
        <f t="array" ref="EE23">IF(ED23&lt;&gt;"",_xlfn.IFS(ED23&lt;'Variable index'!$J$17,'Variable index'!$K$14,AND(ED23&gt;='Variable index'!$J$17,ED23&lt;'Variable index'!$J$18),'Variable index'!$L$14,ED23&gt;='Variable index'!$J$18,'Variable index'!$M$14),"")</f>
        <v/>
      </c>
      <c r="EF23" s="168" t="str">
        <f>IFERROR(EF$21*EE23,"")</f>
        <v/>
      </c>
      <c r="EH23" s="348" t="str">
        <f>IF(_xlfn.XLOOKUP(EH$14,TableTransport['#],TableTransport[Proximity to raw materials (in kilometres)])&lt;&gt;"",_xlfn.XLOOKUP(EH$14,TableTransport['#],TableTransport[Proximity to raw materials (in kilometres)]),"")</f>
        <v/>
      </c>
      <c r="EI23" s="340" t="str" cm="1">
        <f t="array" ref="EI23">IF(EH23&lt;&gt;"",_xlfn.IFS(EH23&lt;'Variable index'!$J$17,'Variable index'!$K$14,AND(EH23&gt;='Variable index'!$J$17,EH23&lt;'Variable index'!$J$18),'Variable index'!$L$14,EH23&gt;='Variable index'!$J$18,'Variable index'!$M$14),"")</f>
        <v/>
      </c>
      <c r="EJ23" s="168" t="str">
        <f>IFERROR(EJ$21*EI23,"")</f>
        <v/>
      </c>
      <c r="EL23" s="348" t="str">
        <f>IF(_xlfn.XLOOKUP(EL$14,TableTransport['#],TableTransport[Proximity to raw materials (in kilometres)])&lt;&gt;"",_xlfn.XLOOKUP(EL$14,TableTransport['#],TableTransport[Proximity to raw materials (in kilometres)]),"")</f>
        <v/>
      </c>
      <c r="EM23" s="340" t="str" cm="1">
        <f t="array" ref="EM23">IF(EL23&lt;&gt;"",_xlfn.IFS(EL23&lt;'Variable index'!$J$17,'Variable index'!$K$14,AND(EL23&gt;='Variable index'!$J$17,EL23&lt;'Variable index'!$J$18),'Variable index'!$L$14,EL23&gt;='Variable index'!$J$18,'Variable index'!$M$14),"")</f>
        <v/>
      </c>
      <c r="EN23" s="168" t="str">
        <f>IFERROR(EN$21*EM23,"")</f>
        <v/>
      </c>
      <c r="EP23" s="348" t="str">
        <f>IF(_xlfn.XLOOKUP(EP$14,TableTransport['#],TableTransport[Proximity to raw materials (in kilometres)])&lt;&gt;"",_xlfn.XLOOKUP(EP$14,TableTransport['#],TableTransport[Proximity to raw materials (in kilometres)]),"")</f>
        <v/>
      </c>
      <c r="EQ23" s="340" t="str" cm="1">
        <f t="array" ref="EQ23">IF(EP23&lt;&gt;"",_xlfn.IFS(EP23&lt;'Variable index'!$J$17,'Variable index'!$K$14,AND(EP23&gt;='Variable index'!$J$17,EP23&lt;'Variable index'!$J$18),'Variable index'!$L$14,EP23&gt;='Variable index'!$J$18,'Variable index'!$M$14),"")</f>
        <v/>
      </c>
      <c r="ER23" s="168" t="str">
        <f>IFERROR(ER$21*EQ23,"")</f>
        <v/>
      </c>
      <c r="ET23" s="348" t="str">
        <f>IF(_xlfn.XLOOKUP(ET$14,TableTransport['#],TableTransport[Proximity to raw materials (in kilometres)])&lt;&gt;"",_xlfn.XLOOKUP(ET$14,TableTransport['#],TableTransport[Proximity to raw materials (in kilometres)]),"")</f>
        <v/>
      </c>
      <c r="EU23" s="340" t="str" cm="1">
        <f t="array" ref="EU23">IF(ET23&lt;&gt;"",_xlfn.IFS(ET23&lt;'Variable index'!$J$17,'Variable index'!$K$14,AND(ET23&gt;='Variable index'!$J$17,ET23&lt;'Variable index'!$J$18),'Variable index'!$L$14,ET23&gt;='Variable index'!$J$18,'Variable index'!$M$14),"")</f>
        <v/>
      </c>
      <c r="EV23" s="168" t="str">
        <f>IFERROR(EV$21*EU23,"")</f>
        <v/>
      </c>
      <c r="EX23" s="348" t="str">
        <f>IF(_xlfn.XLOOKUP(EX$14,TableTransport['#],TableTransport[Proximity to raw materials (in kilometres)])&lt;&gt;"",_xlfn.XLOOKUP(EX$14,TableTransport['#],TableTransport[Proximity to raw materials (in kilometres)]),"")</f>
        <v/>
      </c>
      <c r="EY23" s="340" t="str" cm="1">
        <f t="array" ref="EY23">IF(EX23&lt;&gt;"",_xlfn.IFS(EX23&lt;'Variable index'!$J$17,'Variable index'!$K$14,AND(EX23&gt;='Variable index'!$J$17,EX23&lt;'Variable index'!$J$18),'Variable index'!$L$14,EX23&gt;='Variable index'!$J$18,'Variable index'!$M$14),"")</f>
        <v/>
      </c>
      <c r="EZ23" s="168" t="str">
        <f>IFERROR(EZ$21*EY23,"")</f>
        <v/>
      </c>
      <c r="FB23" s="348" t="str">
        <f>IF(_xlfn.XLOOKUP(FB$14,TableTransport['#],TableTransport[Proximity to raw materials (in kilometres)])&lt;&gt;"",_xlfn.XLOOKUP(FB$14,TableTransport['#],TableTransport[Proximity to raw materials (in kilometres)]),"")</f>
        <v/>
      </c>
      <c r="FC23" s="340" t="str" cm="1">
        <f t="array" ref="FC23">IF(FB23&lt;&gt;"",_xlfn.IFS(FB23&lt;'Variable index'!$J$17,'Variable index'!$K$14,AND(FB23&gt;='Variable index'!$J$17,FB23&lt;'Variable index'!$J$18),'Variable index'!$L$14,FB23&gt;='Variable index'!$J$18,'Variable index'!$M$14),"")</f>
        <v/>
      </c>
      <c r="FD23" s="168" t="str">
        <f>IFERROR(FD$21*FC23,"")</f>
        <v/>
      </c>
      <c r="FF23" s="348" t="str">
        <f>IF(_xlfn.XLOOKUP(FF$14,TableTransport['#],TableTransport[Proximity to raw materials (in kilometres)])&lt;&gt;"",_xlfn.XLOOKUP(FF$14,TableTransport['#],TableTransport[Proximity to raw materials (in kilometres)]),"")</f>
        <v/>
      </c>
      <c r="FG23" s="340" t="str" cm="1">
        <f t="array" ref="FG23">IF(FF23&lt;&gt;"",_xlfn.IFS(FF23&lt;'Variable index'!$J$17,'Variable index'!$K$14,AND(FF23&gt;='Variable index'!$J$17,FF23&lt;'Variable index'!$J$18),'Variable index'!$L$14,FF23&gt;='Variable index'!$J$18,'Variable index'!$M$14),"")</f>
        <v/>
      </c>
      <c r="FH23" s="168" t="str">
        <f>IFERROR(FH$21*FG23,"")</f>
        <v/>
      </c>
      <c r="FJ23" s="348" t="str">
        <f>IF(_xlfn.XLOOKUP(FJ$14,TableTransport['#],TableTransport[Proximity to raw materials (in kilometres)])&lt;&gt;"",_xlfn.XLOOKUP(FJ$14,TableTransport['#],TableTransport[Proximity to raw materials (in kilometres)]),"")</f>
        <v/>
      </c>
      <c r="FK23" s="340" t="str" cm="1">
        <f t="array" ref="FK23">IF(FJ23&lt;&gt;"",_xlfn.IFS(FJ23&lt;'Variable index'!$J$17,'Variable index'!$K$14,AND(FJ23&gt;='Variable index'!$J$17,FJ23&lt;'Variable index'!$J$18),'Variable index'!$L$14,FJ23&gt;='Variable index'!$J$18,'Variable index'!$M$14),"")</f>
        <v/>
      </c>
      <c r="FL23" s="168" t="str">
        <f>IFERROR(FL$21*FK23,"")</f>
        <v/>
      </c>
      <c r="FN23" s="348" t="str">
        <f>IF(_xlfn.XLOOKUP(FN$14,TableTransport['#],TableTransport[Proximity to raw materials (in kilometres)])&lt;&gt;"",_xlfn.XLOOKUP(FN$14,TableTransport['#],TableTransport[Proximity to raw materials (in kilometres)]),"")</f>
        <v/>
      </c>
      <c r="FO23" s="340" t="str" cm="1">
        <f t="array" ref="FO23">IF(FN23&lt;&gt;"",_xlfn.IFS(FN23&lt;'Variable index'!$J$17,'Variable index'!$K$14,AND(FN23&gt;='Variable index'!$J$17,FN23&lt;'Variable index'!$J$18),'Variable index'!$L$14,FN23&gt;='Variable index'!$J$18,'Variable index'!$M$14),"")</f>
        <v/>
      </c>
      <c r="FP23" s="168" t="str">
        <f>IFERROR(FP$21*FO23,"")</f>
        <v/>
      </c>
      <c r="FR23" s="348" t="str">
        <f>IF(_xlfn.XLOOKUP(FR$14,TableTransport['#],TableTransport[Proximity to raw materials (in kilometres)])&lt;&gt;"",_xlfn.XLOOKUP(FR$14,TableTransport['#],TableTransport[Proximity to raw materials (in kilometres)]),"")</f>
        <v/>
      </c>
      <c r="FS23" s="340" t="str" cm="1">
        <f t="array" ref="FS23">IF(FR23&lt;&gt;"",_xlfn.IFS(FR23&lt;'Variable index'!$J$17,'Variable index'!$K$14,AND(FR23&gt;='Variable index'!$J$17,FR23&lt;'Variable index'!$J$18),'Variable index'!$L$14,FR23&gt;='Variable index'!$J$18,'Variable index'!$M$14),"")</f>
        <v/>
      </c>
      <c r="FT23" s="168" t="str">
        <f>IFERROR(FT$21*FS23,"")</f>
        <v/>
      </c>
      <c r="FV23" s="348" t="str">
        <f>IF(_xlfn.XLOOKUP(FV$14,TableTransport['#],TableTransport[Proximity to raw materials (in kilometres)])&lt;&gt;"",_xlfn.XLOOKUP(FV$14,TableTransport['#],TableTransport[Proximity to raw materials (in kilometres)]),"")</f>
        <v/>
      </c>
      <c r="FW23" s="340" t="str" cm="1">
        <f t="array" ref="FW23">IF(FV23&lt;&gt;"",_xlfn.IFS(FV23&lt;'Variable index'!$J$17,'Variable index'!$K$14,AND(FV23&gt;='Variable index'!$J$17,FV23&lt;'Variable index'!$J$18),'Variable index'!$L$14,FV23&gt;='Variable index'!$J$18,'Variable index'!$M$14),"")</f>
        <v/>
      </c>
      <c r="FX23" s="168" t="str">
        <f>IFERROR(FX$21*FW23,"")</f>
        <v/>
      </c>
      <c r="FZ23" s="348" t="str">
        <f>IF(_xlfn.XLOOKUP(FZ$14,TableTransport['#],TableTransport[Proximity to raw materials (in kilometres)])&lt;&gt;"",_xlfn.XLOOKUP(FZ$14,TableTransport['#],TableTransport[Proximity to raw materials (in kilometres)]),"")</f>
        <v/>
      </c>
      <c r="GA23" s="340" t="str" cm="1">
        <f t="array" ref="GA23">IF(FZ23&lt;&gt;"",_xlfn.IFS(FZ23&lt;'Variable index'!$J$17,'Variable index'!$K$14,AND(FZ23&gt;='Variable index'!$J$17,FZ23&lt;'Variable index'!$J$18),'Variable index'!$L$14,FZ23&gt;='Variable index'!$J$18,'Variable index'!$M$14),"")</f>
        <v/>
      </c>
      <c r="GB23" s="168" t="str">
        <f>IFERROR(GB$21*GA23,"")</f>
        <v/>
      </c>
      <c r="GD23" s="348" t="str">
        <f>IF(_xlfn.XLOOKUP(GD$14,TableTransport['#],TableTransport[Proximity to raw materials (in kilometres)])&lt;&gt;"",_xlfn.XLOOKUP(GD$14,TableTransport['#],TableTransport[Proximity to raw materials (in kilometres)]),"")</f>
        <v/>
      </c>
      <c r="GE23" s="340" t="str" cm="1">
        <f t="array" ref="GE23">IF(GD23&lt;&gt;"",_xlfn.IFS(GD23&lt;'Variable index'!$J$17,'Variable index'!$K$14,AND(GD23&gt;='Variable index'!$J$17,GD23&lt;'Variable index'!$J$18),'Variable index'!$L$14,GD23&gt;='Variable index'!$J$18,'Variable index'!$M$14),"")</f>
        <v/>
      </c>
      <c r="GF23" s="168" t="str">
        <f>IFERROR(GF$21*GE23,"")</f>
        <v/>
      </c>
      <c r="GH23" s="348" t="str">
        <f>IF(_xlfn.XLOOKUP(GH$14,TableTransport['#],TableTransport[Proximity to raw materials (in kilometres)])&lt;&gt;"",_xlfn.XLOOKUP(GH$14,TableTransport['#],TableTransport[Proximity to raw materials (in kilometres)]),"")</f>
        <v/>
      </c>
      <c r="GI23" s="340" t="str" cm="1">
        <f t="array" ref="GI23">IF(GH23&lt;&gt;"",_xlfn.IFS(GH23&lt;'Variable index'!$J$17,'Variable index'!$K$14,AND(GH23&gt;='Variable index'!$J$17,GH23&lt;'Variable index'!$J$18),'Variable index'!$L$14,GH23&gt;='Variable index'!$J$18,'Variable index'!$M$14),"")</f>
        <v/>
      </c>
      <c r="GJ23" s="168" t="str">
        <f>IFERROR(GJ$21*GI23,"")</f>
        <v/>
      </c>
      <c r="GL23" s="348" t="str">
        <f>IF(_xlfn.XLOOKUP(GL$14,TableTransport['#],TableTransport[Proximity to raw materials (in kilometres)])&lt;&gt;"",_xlfn.XLOOKUP(GL$14,TableTransport['#],TableTransport[Proximity to raw materials (in kilometres)]),"")</f>
        <v/>
      </c>
      <c r="GM23" s="340" t="str" cm="1">
        <f t="array" ref="GM23">IF(GL23&lt;&gt;"",_xlfn.IFS(GL23&lt;'Variable index'!$J$17,'Variable index'!$K$14,AND(GL23&gt;='Variable index'!$J$17,GL23&lt;'Variable index'!$J$18),'Variable index'!$L$14,GL23&gt;='Variable index'!$J$18,'Variable index'!$M$14),"")</f>
        <v/>
      </c>
      <c r="GN23" s="168" t="str">
        <f>IFERROR(GN$21*GM23,"")</f>
        <v/>
      </c>
      <c r="GP23" s="348" t="str">
        <f>IF(_xlfn.XLOOKUP(GP$14,TableTransport['#],TableTransport[Proximity to raw materials (in kilometres)])&lt;&gt;"",_xlfn.XLOOKUP(GP$14,TableTransport['#],TableTransport[Proximity to raw materials (in kilometres)]),"")</f>
        <v/>
      </c>
      <c r="GQ23" s="340" t="str" cm="1">
        <f t="array" ref="GQ23">IF(GP23&lt;&gt;"",_xlfn.IFS(GP23&lt;'Variable index'!$J$17,'Variable index'!$K$14,AND(GP23&gt;='Variable index'!$J$17,GP23&lt;'Variable index'!$J$18),'Variable index'!$L$14,GP23&gt;='Variable index'!$J$18,'Variable index'!$M$14),"")</f>
        <v/>
      </c>
      <c r="GR23" s="168" t="str">
        <f>IFERROR(GR$21*GQ23,"")</f>
        <v/>
      </c>
      <c r="GT23" s="348" t="str">
        <f>IF(_xlfn.XLOOKUP(GT$14,TableTransport['#],TableTransport[Proximity to raw materials (in kilometres)])&lt;&gt;"",_xlfn.XLOOKUP(GT$14,TableTransport['#],TableTransport[Proximity to raw materials (in kilometres)]),"")</f>
        <v/>
      </c>
      <c r="GU23" s="340" t="str" cm="1">
        <f t="array" ref="GU23">IF(GT23&lt;&gt;"",_xlfn.IFS(GT23&lt;'Variable index'!$J$17,'Variable index'!$K$14,AND(GT23&gt;='Variable index'!$J$17,GT23&lt;'Variable index'!$J$18),'Variable index'!$L$14,GT23&gt;='Variable index'!$J$18,'Variable index'!$M$14),"")</f>
        <v/>
      </c>
      <c r="GV23" s="168" t="str">
        <f>IFERROR(GV$21*GU23,"")</f>
        <v/>
      </c>
    </row>
    <row r="24" spans="4:204" x14ac:dyDescent="0.2">
      <c r="D24" t="s">
        <v>152</v>
      </c>
      <c r="F24" s="349" t="str">
        <f>IF(_xlfn.XLOOKUP(F$14,TableTransport['#],TableTransport[Site constraints (as a percentage %)])&lt;&gt;"",_xlfn.XLOOKUP(F$14,TableTransport['#],TableTransport[Site constraints (as a percentage %)]),"")</f>
        <v/>
      </c>
      <c r="G24" s="144" t="str">
        <f>F24</f>
        <v/>
      </c>
      <c r="H24" s="168" t="str">
        <f>IFERROR(H$21*G24,"")</f>
        <v/>
      </c>
      <c r="J24" s="349" t="str">
        <f>IF(_xlfn.XLOOKUP(J$14,TableTransport['#],TableTransport[Site constraints (as a percentage %)])&lt;&gt;"",_xlfn.XLOOKUP(J$14,TableTransport['#],TableTransport[Site constraints (as a percentage %)]),"")</f>
        <v/>
      </c>
      <c r="K24" s="144" t="str">
        <f>J24</f>
        <v/>
      </c>
      <c r="L24" s="168" t="str">
        <f>IFERROR(L$21*K24,"")</f>
        <v/>
      </c>
      <c r="N24" s="349" t="str">
        <f>IF(_xlfn.XLOOKUP(N$14,TableTransport['#],TableTransport[Site constraints (as a percentage %)])&lt;&gt;"",_xlfn.XLOOKUP(N$14,TableTransport['#],TableTransport[Site constraints (as a percentage %)]),"")</f>
        <v/>
      </c>
      <c r="O24" s="144" t="str">
        <f>N24</f>
        <v/>
      </c>
      <c r="P24" s="168" t="str">
        <f>IFERROR(P$21*O24,"")</f>
        <v/>
      </c>
      <c r="R24" s="349" t="str">
        <f>IF(_xlfn.XLOOKUP(R$14,TableTransport['#],TableTransport[Site constraints (as a percentage %)])&lt;&gt;"",_xlfn.XLOOKUP(R$14,TableTransport['#],TableTransport[Site constraints (as a percentage %)]),"")</f>
        <v/>
      </c>
      <c r="S24" s="144" t="str">
        <f>R24</f>
        <v/>
      </c>
      <c r="T24" s="168" t="str">
        <f>IFERROR(T$21*S24,"")</f>
        <v/>
      </c>
      <c r="V24" s="349" t="str">
        <f>IF(_xlfn.XLOOKUP(V$14,TableTransport['#],TableTransport[Site constraints (as a percentage %)])&lt;&gt;"",_xlfn.XLOOKUP(V$14,TableTransport['#],TableTransport[Site constraints (as a percentage %)]),"")</f>
        <v/>
      </c>
      <c r="W24" s="144" t="str">
        <f>V24</f>
        <v/>
      </c>
      <c r="X24" s="168" t="str">
        <f>IFERROR(X$21*W24,"")</f>
        <v/>
      </c>
      <c r="Z24" s="349" t="str">
        <f>IF(_xlfn.XLOOKUP(Z$14,TableTransport['#],TableTransport[Site constraints (as a percentage %)])&lt;&gt;"",_xlfn.XLOOKUP(Z$14,TableTransport['#],TableTransport[Site constraints (as a percentage %)]),"")</f>
        <v/>
      </c>
      <c r="AA24" s="144" t="str">
        <f>Z24</f>
        <v/>
      </c>
      <c r="AB24" s="168" t="str">
        <f>IFERROR(AB$21*AA24,"")</f>
        <v/>
      </c>
      <c r="AD24" s="349" t="str">
        <f>IF(_xlfn.XLOOKUP(AD$14,TableTransport['#],TableTransport[Site constraints (as a percentage %)])&lt;&gt;"",_xlfn.XLOOKUP(AD$14,TableTransport['#],TableTransport[Site constraints (as a percentage %)]),"")</f>
        <v/>
      </c>
      <c r="AE24" s="144" t="str">
        <f>AD24</f>
        <v/>
      </c>
      <c r="AF24" s="168" t="str">
        <f>IFERROR(AF$21*AE24,"")</f>
        <v/>
      </c>
      <c r="AH24" s="349" t="str">
        <f>IF(_xlfn.XLOOKUP(AH$14,TableTransport['#],TableTransport[Site constraints (as a percentage %)])&lt;&gt;"",_xlfn.XLOOKUP(AH$14,TableTransport['#],TableTransport[Site constraints (as a percentage %)]),"")</f>
        <v/>
      </c>
      <c r="AI24" s="144" t="str">
        <f>AH24</f>
        <v/>
      </c>
      <c r="AJ24" s="168" t="str">
        <f>IFERROR(AJ$21*AI24,"")</f>
        <v/>
      </c>
      <c r="AL24" s="349" t="str">
        <f>IF(_xlfn.XLOOKUP(AL$14,TableTransport['#],TableTransport[Site constraints (as a percentage %)])&lt;&gt;"",_xlfn.XLOOKUP(AL$14,TableTransport['#],TableTransport[Site constraints (as a percentage %)]),"")</f>
        <v/>
      </c>
      <c r="AM24" s="144" t="str">
        <f>AL24</f>
        <v/>
      </c>
      <c r="AN24" s="168" t="str">
        <f>IFERROR(AN$21*AM24,"")</f>
        <v/>
      </c>
      <c r="AP24" s="349" t="str">
        <f>IF(_xlfn.XLOOKUP(AP$14,TableTransport['#],TableTransport[Site constraints (as a percentage %)])&lt;&gt;"",_xlfn.XLOOKUP(AP$14,TableTransport['#],TableTransport[Site constraints (as a percentage %)]),"")</f>
        <v/>
      </c>
      <c r="AQ24" s="144" t="str">
        <f>AP24</f>
        <v/>
      </c>
      <c r="AR24" s="168" t="str">
        <f>IFERROR(AR$21*AQ24,"")</f>
        <v/>
      </c>
      <c r="AT24" s="349" t="str">
        <f>IF(_xlfn.XLOOKUP(AT$14,TableTransport['#],TableTransport[Site constraints (as a percentage %)])&lt;&gt;"",_xlfn.XLOOKUP(AT$14,TableTransport['#],TableTransport[Site constraints (as a percentage %)]),"")</f>
        <v/>
      </c>
      <c r="AU24" s="144" t="str">
        <f>AT24</f>
        <v/>
      </c>
      <c r="AV24" s="168" t="str">
        <f>IFERROR(AV$21*AU24,"")</f>
        <v/>
      </c>
      <c r="AX24" s="349" t="str">
        <f>IF(_xlfn.XLOOKUP(AX$14,TableTransport['#],TableTransport[Site constraints (as a percentage %)])&lt;&gt;"",_xlfn.XLOOKUP(AX$14,TableTransport['#],TableTransport[Site constraints (as a percentage %)]),"")</f>
        <v/>
      </c>
      <c r="AY24" s="144" t="str">
        <f>AX24</f>
        <v/>
      </c>
      <c r="AZ24" s="168" t="str">
        <f>IFERROR(AZ$21*AY24,"")</f>
        <v/>
      </c>
      <c r="BB24" s="349" t="str">
        <f>IF(_xlfn.XLOOKUP(BB$14,TableTransport['#],TableTransport[Site constraints (as a percentage %)])&lt;&gt;"",_xlfn.XLOOKUP(BB$14,TableTransport['#],TableTransport[Site constraints (as a percentage %)]),"")</f>
        <v/>
      </c>
      <c r="BC24" s="144" t="str">
        <f>BB24</f>
        <v/>
      </c>
      <c r="BD24" s="168" t="str">
        <f>IFERROR(BD$21*BC24,"")</f>
        <v/>
      </c>
      <c r="BF24" s="349" t="str">
        <f>IF(_xlfn.XLOOKUP(BF$14,TableTransport['#],TableTransport[Site constraints (as a percentage %)])&lt;&gt;"",_xlfn.XLOOKUP(BF$14,TableTransport['#],TableTransport[Site constraints (as a percentage %)]),"")</f>
        <v/>
      </c>
      <c r="BG24" s="144" t="str">
        <f>BF24</f>
        <v/>
      </c>
      <c r="BH24" s="168" t="str">
        <f>IFERROR(BH$21*BG24,"")</f>
        <v/>
      </c>
      <c r="BJ24" s="349" t="str">
        <f>IF(_xlfn.XLOOKUP(BJ$14,TableTransport['#],TableTransport[Site constraints (as a percentage %)])&lt;&gt;"",_xlfn.XLOOKUP(BJ$14,TableTransport['#],TableTransport[Site constraints (as a percentage %)]),"")</f>
        <v/>
      </c>
      <c r="BK24" s="144" t="str">
        <f>BJ24</f>
        <v/>
      </c>
      <c r="BL24" s="168" t="str">
        <f>IFERROR(BL$21*BK24,"")</f>
        <v/>
      </c>
      <c r="BN24" s="349" t="str">
        <f>IF(_xlfn.XLOOKUP(BN$14,TableTransport['#],TableTransport[Site constraints (as a percentage %)])&lt;&gt;"",_xlfn.XLOOKUP(BN$14,TableTransport['#],TableTransport[Site constraints (as a percentage %)]),"")</f>
        <v/>
      </c>
      <c r="BO24" s="144" t="str">
        <f>BN24</f>
        <v/>
      </c>
      <c r="BP24" s="168" t="str">
        <f>IFERROR(BP$21*BO24,"")</f>
        <v/>
      </c>
      <c r="BR24" s="349" t="str">
        <f>IF(_xlfn.XLOOKUP(BR$14,TableTransport['#],TableTransport[Site constraints (as a percentage %)])&lt;&gt;"",_xlfn.XLOOKUP(BR$14,TableTransport['#],TableTransport[Site constraints (as a percentage %)]),"")</f>
        <v/>
      </c>
      <c r="BS24" s="144" t="str">
        <f>BR24</f>
        <v/>
      </c>
      <c r="BT24" s="168" t="str">
        <f>IFERROR(BT$21*BS24,"")</f>
        <v/>
      </c>
      <c r="BV24" s="349" t="str">
        <f>IF(_xlfn.XLOOKUP(BV$14,TableTransport['#],TableTransport[Site constraints (as a percentage %)])&lt;&gt;"",_xlfn.XLOOKUP(BV$14,TableTransport['#],TableTransport[Site constraints (as a percentage %)]),"")</f>
        <v/>
      </c>
      <c r="BW24" s="144" t="str">
        <f>BV24</f>
        <v/>
      </c>
      <c r="BX24" s="168" t="str">
        <f>IFERROR(BX$21*BW24,"")</f>
        <v/>
      </c>
      <c r="BZ24" s="349" t="str">
        <f>IF(_xlfn.XLOOKUP(BZ$14,TableTransport['#],TableTransport[Site constraints (as a percentage %)])&lt;&gt;"",_xlfn.XLOOKUP(BZ$14,TableTransport['#],TableTransport[Site constraints (as a percentage %)]),"")</f>
        <v/>
      </c>
      <c r="CA24" s="144" t="str">
        <f>BZ24</f>
        <v/>
      </c>
      <c r="CB24" s="168" t="str">
        <f>IFERROR(CB$21*CA24,"")</f>
        <v/>
      </c>
      <c r="CD24" s="349" t="str">
        <f>IF(_xlfn.XLOOKUP(CD$14,TableTransport['#],TableTransport[Site constraints (as a percentage %)])&lt;&gt;"",_xlfn.XLOOKUP(CD$14,TableTransport['#],TableTransport[Site constraints (as a percentage %)]),"")</f>
        <v/>
      </c>
      <c r="CE24" s="144" t="str">
        <f>CD24</f>
        <v/>
      </c>
      <c r="CF24" s="168" t="str">
        <f>IFERROR(CF$21*CE24,"")</f>
        <v/>
      </c>
      <c r="CH24" s="349" t="str">
        <f>IF(_xlfn.XLOOKUP(CH$14,TableTransport['#],TableTransport[Site constraints (as a percentage %)])&lt;&gt;"",_xlfn.XLOOKUP(CH$14,TableTransport['#],TableTransport[Site constraints (as a percentage %)]),"")</f>
        <v/>
      </c>
      <c r="CI24" s="144" t="str">
        <f>CH24</f>
        <v/>
      </c>
      <c r="CJ24" s="168" t="str">
        <f>IFERROR(CJ$21*CI24,"")</f>
        <v/>
      </c>
      <c r="CL24" s="349" t="str">
        <f>IF(_xlfn.XLOOKUP(CL$14,TableTransport['#],TableTransport[Site constraints (as a percentage %)])&lt;&gt;"",_xlfn.XLOOKUP(CL$14,TableTransport['#],TableTransport[Site constraints (as a percentage %)]),"")</f>
        <v/>
      </c>
      <c r="CM24" s="144" t="str">
        <f>CL24</f>
        <v/>
      </c>
      <c r="CN24" s="168" t="str">
        <f>IFERROR(CN$21*CM24,"")</f>
        <v/>
      </c>
      <c r="CP24" s="349" t="str">
        <f>IF(_xlfn.XLOOKUP(CP$14,TableTransport['#],TableTransport[Site constraints (as a percentage %)])&lt;&gt;"",_xlfn.XLOOKUP(CP$14,TableTransport['#],TableTransport[Site constraints (as a percentage %)]),"")</f>
        <v/>
      </c>
      <c r="CQ24" s="144" t="str">
        <f>CP24</f>
        <v/>
      </c>
      <c r="CR24" s="168" t="str">
        <f>IFERROR(CR$21*CQ24,"")</f>
        <v/>
      </c>
      <c r="CT24" s="349" t="str">
        <f>IF(_xlfn.XLOOKUP(CT$14,TableTransport['#],TableTransport[Site constraints (as a percentage %)])&lt;&gt;"",_xlfn.XLOOKUP(CT$14,TableTransport['#],TableTransport[Site constraints (as a percentage %)]),"")</f>
        <v/>
      </c>
      <c r="CU24" s="144" t="str">
        <f>CT24</f>
        <v/>
      </c>
      <c r="CV24" s="168" t="str">
        <f>IFERROR(CV$21*CU24,"")</f>
        <v/>
      </c>
      <c r="CX24" s="349" t="str">
        <f>IF(_xlfn.XLOOKUP(CX$14,TableTransport['#],TableTransport[Site constraints (as a percentage %)])&lt;&gt;"",_xlfn.XLOOKUP(CX$14,TableTransport['#],TableTransport[Site constraints (as a percentage %)]),"")</f>
        <v/>
      </c>
      <c r="CY24" s="144" t="str">
        <f>CX24</f>
        <v/>
      </c>
      <c r="CZ24" s="168" t="str">
        <f>IFERROR(CZ$21*CY24,"")</f>
        <v/>
      </c>
      <c r="DB24" s="349" t="str">
        <f>IF(_xlfn.XLOOKUP(DB$14,TableTransport['#],TableTransport[Site constraints (as a percentage %)])&lt;&gt;"",_xlfn.XLOOKUP(DB$14,TableTransport['#],TableTransport[Site constraints (as a percentage %)]),"")</f>
        <v/>
      </c>
      <c r="DC24" s="144" t="str">
        <f>DB24</f>
        <v/>
      </c>
      <c r="DD24" s="168" t="str">
        <f>IFERROR(DD$21*DC24,"")</f>
        <v/>
      </c>
      <c r="DF24" s="349" t="str">
        <f>IF(_xlfn.XLOOKUP(DF$14,TableTransport['#],TableTransport[Site constraints (as a percentage %)])&lt;&gt;"",_xlfn.XLOOKUP(DF$14,TableTransport['#],TableTransport[Site constraints (as a percentage %)]),"")</f>
        <v/>
      </c>
      <c r="DG24" s="144" t="str">
        <f>DF24</f>
        <v/>
      </c>
      <c r="DH24" s="168" t="str">
        <f>IFERROR(DH$21*DG24,"")</f>
        <v/>
      </c>
      <c r="DJ24" s="349" t="str">
        <f>IF(_xlfn.XLOOKUP(DJ$14,TableTransport['#],TableTransport[Site constraints (as a percentage %)])&lt;&gt;"",_xlfn.XLOOKUP(DJ$14,TableTransport['#],TableTransport[Site constraints (as a percentage %)]),"")</f>
        <v/>
      </c>
      <c r="DK24" s="144" t="str">
        <f>DJ24</f>
        <v/>
      </c>
      <c r="DL24" s="168" t="str">
        <f>IFERROR(DL$21*DK24,"")</f>
        <v/>
      </c>
      <c r="DN24" s="349" t="str">
        <f>IF(_xlfn.XLOOKUP(DN$14,TableTransport['#],TableTransport[Site constraints (as a percentage %)])&lt;&gt;"",_xlfn.XLOOKUP(DN$14,TableTransport['#],TableTransport[Site constraints (as a percentage %)]),"")</f>
        <v/>
      </c>
      <c r="DO24" s="144" t="str">
        <f>DN24</f>
        <v/>
      </c>
      <c r="DP24" s="168" t="str">
        <f>IFERROR(DP$21*DO24,"")</f>
        <v/>
      </c>
      <c r="DR24" s="349" t="str">
        <f>IF(_xlfn.XLOOKUP(DR$14,TableTransport['#],TableTransport[Site constraints (as a percentage %)])&lt;&gt;"",_xlfn.XLOOKUP(DR$14,TableTransport['#],TableTransport[Site constraints (as a percentage %)]),"")</f>
        <v/>
      </c>
      <c r="DS24" s="144" t="str">
        <f>DR24</f>
        <v/>
      </c>
      <c r="DT24" s="168" t="str">
        <f>IFERROR(DT$21*DS24,"")</f>
        <v/>
      </c>
      <c r="DV24" s="349" t="str">
        <f>IF(_xlfn.XLOOKUP(DV$14,TableTransport['#],TableTransport[Site constraints (as a percentage %)])&lt;&gt;"",_xlfn.XLOOKUP(DV$14,TableTransport['#],TableTransport[Site constraints (as a percentage %)]),"")</f>
        <v/>
      </c>
      <c r="DW24" s="144" t="str">
        <f>DV24</f>
        <v/>
      </c>
      <c r="DX24" s="168" t="str">
        <f>IFERROR(DX$21*DW24,"")</f>
        <v/>
      </c>
      <c r="DZ24" s="349" t="str">
        <f>IF(_xlfn.XLOOKUP(DZ$14,TableTransport['#],TableTransport[Site constraints (as a percentage %)])&lt;&gt;"",_xlfn.XLOOKUP(DZ$14,TableTransport['#],TableTransport[Site constraints (as a percentage %)]),"")</f>
        <v/>
      </c>
      <c r="EA24" s="144" t="str">
        <f>DZ24</f>
        <v/>
      </c>
      <c r="EB24" s="168" t="str">
        <f>IFERROR(EB$21*EA24,"")</f>
        <v/>
      </c>
      <c r="ED24" s="349" t="str">
        <f>IF(_xlfn.XLOOKUP(ED$14,TableTransport['#],TableTransport[Site constraints (as a percentage %)])&lt;&gt;"",_xlfn.XLOOKUP(ED$14,TableTransport['#],TableTransport[Site constraints (as a percentage %)]),"")</f>
        <v/>
      </c>
      <c r="EE24" s="144" t="str">
        <f>ED24</f>
        <v/>
      </c>
      <c r="EF24" s="168" t="str">
        <f>IFERROR(EF$21*EE24,"")</f>
        <v/>
      </c>
      <c r="EH24" s="349" t="str">
        <f>IF(_xlfn.XLOOKUP(EH$14,TableTransport['#],TableTransport[Site constraints (as a percentage %)])&lt;&gt;"",_xlfn.XLOOKUP(EH$14,TableTransport['#],TableTransport[Site constraints (as a percentage %)]),"")</f>
        <v/>
      </c>
      <c r="EI24" s="144" t="str">
        <f>EH24</f>
        <v/>
      </c>
      <c r="EJ24" s="168" t="str">
        <f>IFERROR(EJ$21*EI24,"")</f>
        <v/>
      </c>
      <c r="EL24" s="349" t="str">
        <f>IF(_xlfn.XLOOKUP(EL$14,TableTransport['#],TableTransport[Site constraints (as a percentage %)])&lt;&gt;"",_xlfn.XLOOKUP(EL$14,TableTransport['#],TableTransport[Site constraints (as a percentage %)]),"")</f>
        <v/>
      </c>
      <c r="EM24" s="144" t="str">
        <f>EL24</f>
        <v/>
      </c>
      <c r="EN24" s="168" t="str">
        <f>IFERROR(EN$21*EM24,"")</f>
        <v/>
      </c>
      <c r="EP24" s="349" t="str">
        <f>IF(_xlfn.XLOOKUP(EP$14,TableTransport['#],TableTransport[Site constraints (as a percentage %)])&lt;&gt;"",_xlfn.XLOOKUP(EP$14,TableTransport['#],TableTransport[Site constraints (as a percentage %)]),"")</f>
        <v/>
      </c>
      <c r="EQ24" s="144" t="str">
        <f>EP24</f>
        <v/>
      </c>
      <c r="ER24" s="168" t="str">
        <f>IFERROR(ER$21*EQ24,"")</f>
        <v/>
      </c>
      <c r="ET24" s="349" t="str">
        <f>IF(_xlfn.XLOOKUP(ET$14,TableTransport['#],TableTransport[Site constraints (as a percentage %)])&lt;&gt;"",_xlfn.XLOOKUP(ET$14,TableTransport['#],TableTransport[Site constraints (as a percentage %)]),"")</f>
        <v/>
      </c>
      <c r="EU24" s="144" t="str">
        <f>ET24</f>
        <v/>
      </c>
      <c r="EV24" s="168" t="str">
        <f>IFERROR(EV$21*EU24,"")</f>
        <v/>
      </c>
      <c r="EX24" s="349" t="str">
        <f>IF(_xlfn.XLOOKUP(EX$14,TableTransport['#],TableTransport[Site constraints (as a percentage %)])&lt;&gt;"",_xlfn.XLOOKUP(EX$14,TableTransport['#],TableTransport[Site constraints (as a percentage %)]),"")</f>
        <v/>
      </c>
      <c r="EY24" s="144" t="str">
        <f>EX24</f>
        <v/>
      </c>
      <c r="EZ24" s="168" t="str">
        <f>IFERROR(EZ$21*EY24,"")</f>
        <v/>
      </c>
      <c r="FB24" s="349" t="str">
        <f>IF(_xlfn.XLOOKUP(FB$14,TableTransport['#],TableTransport[Site constraints (as a percentage %)])&lt;&gt;"",_xlfn.XLOOKUP(FB$14,TableTransport['#],TableTransport[Site constraints (as a percentage %)]),"")</f>
        <v/>
      </c>
      <c r="FC24" s="144" t="str">
        <f>FB24</f>
        <v/>
      </c>
      <c r="FD24" s="168" t="str">
        <f>IFERROR(FD$21*FC24,"")</f>
        <v/>
      </c>
      <c r="FF24" s="349" t="str">
        <f>IF(_xlfn.XLOOKUP(FF$14,TableTransport['#],TableTransport[Site constraints (as a percentage %)])&lt;&gt;"",_xlfn.XLOOKUP(FF$14,TableTransport['#],TableTransport[Site constraints (as a percentage %)]),"")</f>
        <v/>
      </c>
      <c r="FG24" s="144" t="str">
        <f>FF24</f>
        <v/>
      </c>
      <c r="FH24" s="168" t="str">
        <f>IFERROR(FH$21*FG24,"")</f>
        <v/>
      </c>
      <c r="FJ24" s="349" t="str">
        <f>IF(_xlfn.XLOOKUP(FJ$14,TableTransport['#],TableTransport[Site constraints (as a percentage %)])&lt;&gt;"",_xlfn.XLOOKUP(FJ$14,TableTransport['#],TableTransport[Site constraints (as a percentage %)]),"")</f>
        <v/>
      </c>
      <c r="FK24" s="144" t="str">
        <f>FJ24</f>
        <v/>
      </c>
      <c r="FL24" s="168" t="str">
        <f>IFERROR(FL$21*FK24,"")</f>
        <v/>
      </c>
      <c r="FN24" s="349" t="str">
        <f>IF(_xlfn.XLOOKUP(FN$14,TableTransport['#],TableTransport[Site constraints (as a percentage %)])&lt;&gt;"",_xlfn.XLOOKUP(FN$14,TableTransport['#],TableTransport[Site constraints (as a percentage %)]),"")</f>
        <v/>
      </c>
      <c r="FO24" s="144" t="str">
        <f>FN24</f>
        <v/>
      </c>
      <c r="FP24" s="168" t="str">
        <f>IFERROR(FP$21*FO24,"")</f>
        <v/>
      </c>
      <c r="FR24" s="349" t="str">
        <f>IF(_xlfn.XLOOKUP(FR$14,TableTransport['#],TableTransport[Site constraints (as a percentage %)])&lt;&gt;"",_xlfn.XLOOKUP(FR$14,TableTransport['#],TableTransport[Site constraints (as a percentage %)]),"")</f>
        <v/>
      </c>
      <c r="FS24" s="144" t="str">
        <f>FR24</f>
        <v/>
      </c>
      <c r="FT24" s="168" t="str">
        <f>IFERROR(FT$21*FS24,"")</f>
        <v/>
      </c>
      <c r="FV24" s="349" t="str">
        <f>IF(_xlfn.XLOOKUP(FV$14,TableTransport['#],TableTransport[Site constraints (as a percentage %)])&lt;&gt;"",_xlfn.XLOOKUP(FV$14,TableTransport['#],TableTransport[Site constraints (as a percentage %)]),"")</f>
        <v/>
      </c>
      <c r="FW24" s="144" t="str">
        <f>FV24</f>
        <v/>
      </c>
      <c r="FX24" s="168" t="str">
        <f>IFERROR(FX$21*FW24,"")</f>
        <v/>
      </c>
      <c r="FZ24" s="349" t="str">
        <f>IF(_xlfn.XLOOKUP(FZ$14,TableTransport['#],TableTransport[Site constraints (as a percentage %)])&lt;&gt;"",_xlfn.XLOOKUP(FZ$14,TableTransport['#],TableTransport[Site constraints (as a percentage %)]),"")</f>
        <v/>
      </c>
      <c r="GA24" s="144" t="str">
        <f>FZ24</f>
        <v/>
      </c>
      <c r="GB24" s="168" t="str">
        <f>IFERROR(GB$21*GA24,"")</f>
        <v/>
      </c>
      <c r="GD24" s="349" t="str">
        <f>IF(_xlfn.XLOOKUP(GD$14,TableTransport['#],TableTransport[Site constraints (as a percentage %)])&lt;&gt;"",_xlfn.XLOOKUP(GD$14,TableTransport['#],TableTransport[Site constraints (as a percentage %)]),"")</f>
        <v/>
      </c>
      <c r="GE24" s="144" t="str">
        <f>GD24</f>
        <v/>
      </c>
      <c r="GF24" s="168" t="str">
        <f>IFERROR(GF$21*GE24,"")</f>
        <v/>
      </c>
      <c r="GH24" s="349" t="str">
        <f>IF(_xlfn.XLOOKUP(GH$14,TableTransport['#],TableTransport[Site constraints (as a percentage %)])&lt;&gt;"",_xlfn.XLOOKUP(GH$14,TableTransport['#],TableTransport[Site constraints (as a percentage %)]),"")</f>
        <v/>
      </c>
      <c r="GI24" s="144" t="str">
        <f>GH24</f>
        <v/>
      </c>
      <c r="GJ24" s="168" t="str">
        <f>IFERROR(GJ$21*GI24,"")</f>
        <v/>
      </c>
      <c r="GL24" s="349" t="str">
        <f>IF(_xlfn.XLOOKUP(GL$14,TableTransport['#],TableTransport[Site constraints (as a percentage %)])&lt;&gt;"",_xlfn.XLOOKUP(GL$14,TableTransport['#],TableTransport[Site constraints (as a percentage %)]),"")</f>
        <v/>
      </c>
      <c r="GM24" s="144" t="str">
        <f>GL24</f>
        <v/>
      </c>
      <c r="GN24" s="168" t="str">
        <f>IFERROR(GN$21*GM24,"")</f>
        <v/>
      </c>
      <c r="GP24" s="349" t="str">
        <f>IF(_xlfn.XLOOKUP(GP$14,TableTransport['#],TableTransport[Site constraints (as a percentage %)])&lt;&gt;"",_xlfn.XLOOKUP(GP$14,TableTransport['#],TableTransport[Site constraints (as a percentage %)]),"")</f>
        <v/>
      </c>
      <c r="GQ24" s="144" t="str">
        <f>GP24</f>
        <v/>
      </c>
      <c r="GR24" s="168" t="str">
        <f>IFERROR(GR$21*GQ24,"")</f>
        <v/>
      </c>
      <c r="GT24" s="349" t="str">
        <f>IF(_xlfn.XLOOKUP(GT$14,TableTransport['#],TableTransport[Site constraints (as a percentage %)])&lt;&gt;"",_xlfn.XLOOKUP(GT$14,TableTransport['#],TableTransport[Site constraints (as a percentage %)]),"")</f>
        <v/>
      </c>
      <c r="GU24" s="144" t="str">
        <f>GT24</f>
        <v/>
      </c>
      <c r="GV24" s="168" t="str">
        <f>IFERROR(GV$21*GU24,"")</f>
        <v/>
      </c>
    </row>
    <row r="25" spans="4:204" x14ac:dyDescent="0.2">
      <c r="D25" t="s">
        <v>153</v>
      </c>
      <c r="F25" s="345" t="str">
        <f>IF(_xlfn.XLOOKUP(F$14,TableTransport['#],TableTransport[Waste disposal - type of waste (if applicable)])&lt;&gt;"",_xlfn.XLOOKUP(F$14,TableTransport['#],TableTransport[Waste disposal - type of waste (if applicable)]),"")</f>
        <v/>
      </c>
      <c r="G25" s="347" t="str" cm="1">
        <f t="array" ref="G25">IFERROR(INDEX('Variable index'!$E$57:$F$65,MATCH(F$25,'Variable index'!$C$57:$C$65,0),$D$12),"")</f>
        <v/>
      </c>
      <c r="J25" s="345" t="str">
        <f>IF(_xlfn.XLOOKUP(J$14,TableTransport['#],TableTransport[Waste disposal - type of waste (if applicable)])&lt;&gt;"",_xlfn.XLOOKUP(J$14,TableTransport['#],TableTransport[Waste disposal - type of waste (if applicable)]),"")</f>
        <v/>
      </c>
      <c r="K25" s="347" t="str" cm="1">
        <f t="array" ref="K25">IFERROR(INDEX('Variable index'!$E$57:$F$65,MATCH(J$25,'Variable index'!$C$57:$C$65,0),$D$12),"")</f>
        <v/>
      </c>
      <c r="N25" s="345" t="str">
        <f>IF(_xlfn.XLOOKUP(N$14,TableTransport['#],TableTransport[Waste disposal - type of waste (if applicable)])&lt;&gt;"",_xlfn.XLOOKUP(N$14,TableTransport['#],TableTransport[Waste disposal - type of waste (if applicable)]),"")</f>
        <v/>
      </c>
      <c r="O25" s="347" t="str" cm="1">
        <f t="array" ref="O25">IFERROR(INDEX('Variable index'!$E$57:$F$65,MATCH(N$25,'Variable index'!$C$57:$C$65,0),$D$12),"")</f>
        <v/>
      </c>
      <c r="R25" s="345" t="str">
        <f>IF(_xlfn.XLOOKUP(R$14,TableTransport['#],TableTransport[Waste disposal - type of waste (if applicable)])&lt;&gt;"",_xlfn.XLOOKUP(R$14,TableTransport['#],TableTransport[Waste disposal - type of waste (if applicable)]),"")</f>
        <v/>
      </c>
      <c r="S25" s="347" t="str" cm="1">
        <f t="array" ref="S25">IFERROR(INDEX('Variable index'!$E$57:$F$65,MATCH(R$25,'Variable index'!$C$57:$C$65,0),$D$12),"")</f>
        <v/>
      </c>
      <c r="V25" s="345" t="str">
        <f>IF(_xlfn.XLOOKUP(V$14,TableTransport['#],TableTransport[Waste disposal - type of waste (if applicable)])&lt;&gt;"",_xlfn.XLOOKUP(V$14,TableTransport['#],TableTransport[Waste disposal - type of waste (if applicable)]),"")</f>
        <v/>
      </c>
      <c r="W25" s="347" t="str" cm="1">
        <f t="array" ref="W25">IFERROR(INDEX('Variable index'!$E$57:$F$65,MATCH(V$25,'Variable index'!$C$57:$C$65,0),$D$12),"")</f>
        <v/>
      </c>
      <c r="Z25" s="345" t="str">
        <f>IF(_xlfn.XLOOKUP(Z$14,TableTransport['#],TableTransport[Waste disposal - type of waste (if applicable)])&lt;&gt;"",_xlfn.XLOOKUP(Z$14,TableTransport['#],TableTransport[Waste disposal - type of waste (if applicable)]),"")</f>
        <v/>
      </c>
      <c r="AA25" s="347" t="str" cm="1">
        <f t="array" ref="AA25">IFERROR(INDEX('Variable index'!$E$57:$F$65,MATCH(Z$25,'Variable index'!$C$57:$C$65,0),$D$12),"")</f>
        <v/>
      </c>
      <c r="AD25" s="345" t="str">
        <f>IF(_xlfn.XLOOKUP(AD$14,TableTransport['#],TableTransport[Waste disposal - type of waste (if applicable)])&lt;&gt;"",_xlfn.XLOOKUP(AD$14,TableTransport['#],TableTransport[Waste disposal - type of waste (if applicable)]),"")</f>
        <v/>
      </c>
      <c r="AE25" s="347" t="str" cm="1">
        <f t="array" ref="AE25">IFERROR(INDEX('Variable index'!$E$57:$F$65,MATCH(AD$25,'Variable index'!$C$57:$C$65,0),$D$12),"")</f>
        <v/>
      </c>
      <c r="AH25" s="345" t="str">
        <f>IF(_xlfn.XLOOKUP(AH$14,TableTransport['#],TableTransport[Waste disposal - type of waste (if applicable)])&lt;&gt;"",_xlfn.XLOOKUP(AH$14,TableTransport['#],TableTransport[Waste disposal - type of waste (if applicable)]),"")</f>
        <v/>
      </c>
      <c r="AI25" s="347" t="str" cm="1">
        <f t="array" ref="AI25">IFERROR(INDEX('Variable index'!$E$57:$F$65,MATCH(AH$25,'Variable index'!$C$57:$C$65,0),$D$12),"")</f>
        <v/>
      </c>
      <c r="AL25" s="345" t="str">
        <f>IF(_xlfn.XLOOKUP(AL$14,TableTransport['#],TableTransport[Waste disposal - type of waste (if applicable)])&lt;&gt;"",_xlfn.XLOOKUP(AL$14,TableTransport['#],TableTransport[Waste disposal - type of waste (if applicable)]),"")</f>
        <v/>
      </c>
      <c r="AM25" s="347" t="str" cm="1">
        <f t="array" ref="AM25">IFERROR(INDEX('Variable index'!$E$57:$F$65,MATCH(AL$25,'Variable index'!$C$57:$C$65,0),$D$12),"")</f>
        <v/>
      </c>
      <c r="AP25" s="345" t="str">
        <f>IF(_xlfn.XLOOKUP(AP$14,TableTransport['#],TableTransport[Waste disposal - type of waste (if applicable)])&lt;&gt;"",_xlfn.XLOOKUP(AP$14,TableTransport['#],TableTransport[Waste disposal - type of waste (if applicable)]),"")</f>
        <v/>
      </c>
      <c r="AQ25" s="347" t="str" cm="1">
        <f t="array" ref="AQ25">IFERROR(INDEX('Variable index'!$E$57:$F$65,MATCH(AP$25,'Variable index'!$C$57:$C$65,0),$D$12),"")</f>
        <v/>
      </c>
      <c r="AT25" s="345" t="str">
        <f>IF(_xlfn.XLOOKUP(AT$14,TableTransport['#],TableTransport[Waste disposal - type of waste (if applicable)])&lt;&gt;"",_xlfn.XLOOKUP(AT$14,TableTransport['#],TableTransport[Waste disposal - type of waste (if applicable)]),"")</f>
        <v/>
      </c>
      <c r="AU25" s="347" t="str" cm="1">
        <f t="array" ref="AU25">IFERROR(INDEX('Variable index'!$E$57:$F$65,MATCH(AT$25,'Variable index'!$C$57:$C$65,0),$D$12),"")</f>
        <v/>
      </c>
      <c r="AX25" s="345" t="str">
        <f>IF(_xlfn.XLOOKUP(AX$14,TableTransport['#],TableTransport[Waste disposal - type of waste (if applicable)])&lt;&gt;"",_xlfn.XLOOKUP(AX$14,TableTransport['#],TableTransport[Waste disposal - type of waste (if applicable)]),"")</f>
        <v/>
      </c>
      <c r="AY25" s="347" t="str" cm="1">
        <f t="array" ref="AY25">IFERROR(INDEX('Variable index'!$E$57:$F$65,MATCH(AX$25,'Variable index'!$C$57:$C$65,0),$D$12),"")</f>
        <v/>
      </c>
      <c r="BB25" s="345" t="str">
        <f>IF(_xlfn.XLOOKUP(BB$14,TableTransport['#],TableTransport[Waste disposal - type of waste (if applicable)])&lt;&gt;"",_xlfn.XLOOKUP(BB$14,TableTransport['#],TableTransport[Waste disposal - type of waste (if applicable)]),"")</f>
        <v/>
      </c>
      <c r="BC25" s="347" t="str" cm="1">
        <f t="array" ref="BC25">IFERROR(INDEX('Variable index'!$E$57:$F$65,MATCH(BB$25,'Variable index'!$C$57:$C$65,0),$D$12),"")</f>
        <v/>
      </c>
      <c r="BF25" s="345" t="str">
        <f>IF(_xlfn.XLOOKUP(BF$14,TableTransport['#],TableTransport[Waste disposal - type of waste (if applicable)])&lt;&gt;"",_xlfn.XLOOKUP(BF$14,TableTransport['#],TableTransport[Waste disposal - type of waste (if applicable)]),"")</f>
        <v/>
      </c>
      <c r="BG25" s="347" t="str" cm="1">
        <f t="array" ref="BG25">IFERROR(INDEX('Variable index'!$E$57:$F$65,MATCH(BF$25,'Variable index'!$C$57:$C$65,0),$D$12),"")</f>
        <v/>
      </c>
      <c r="BJ25" s="345" t="str">
        <f>IF(_xlfn.XLOOKUP(BJ$14,TableTransport['#],TableTransport[Waste disposal - type of waste (if applicable)])&lt;&gt;"",_xlfn.XLOOKUP(BJ$14,TableTransport['#],TableTransport[Waste disposal - type of waste (if applicable)]),"")</f>
        <v/>
      </c>
      <c r="BK25" s="347" t="str" cm="1">
        <f t="array" ref="BK25">IFERROR(INDEX('Variable index'!$E$57:$F$65,MATCH(BJ$25,'Variable index'!$C$57:$C$65,0),$D$12),"")</f>
        <v/>
      </c>
      <c r="BN25" s="345" t="str">
        <f>IF(_xlfn.XLOOKUP(BN$14,TableTransport['#],TableTransport[Waste disposal - type of waste (if applicable)])&lt;&gt;"",_xlfn.XLOOKUP(BN$14,TableTransport['#],TableTransport[Waste disposal - type of waste (if applicable)]),"")</f>
        <v/>
      </c>
      <c r="BO25" s="347" t="str" cm="1">
        <f t="array" ref="BO25">IFERROR(INDEX('Variable index'!$E$57:$F$65,MATCH(BN$25,'Variable index'!$C$57:$C$65,0),$D$12),"")</f>
        <v/>
      </c>
      <c r="BR25" s="345" t="str">
        <f>IF(_xlfn.XLOOKUP(BR$14,TableTransport['#],TableTransport[Waste disposal - type of waste (if applicable)])&lt;&gt;"",_xlfn.XLOOKUP(BR$14,TableTransport['#],TableTransport[Waste disposal - type of waste (if applicable)]),"")</f>
        <v/>
      </c>
      <c r="BS25" s="347" t="str" cm="1">
        <f t="array" ref="BS25">IFERROR(INDEX('Variable index'!$E$57:$F$65,MATCH(BR$25,'Variable index'!$C$57:$C$65,0),$D$12),"")</f>
        <v/>
      </c>
      <c r="BV25" s="345" t="str">
        <f>IF(_xlfn.XLOOKUP(BV$14,TableTransport['#],TableTransport[Waste disposal - type of waste (if applicable)])&lt;&gt;"",_xlfn.XLOOKUP(BV$14,TableTransport['#],TableTransport[Waste disposal - type of waste (if applicable)]),"")</f>
        <v/>
      </c>
      <c r="BW25" s="347" t="str" cm="1">
        <f t="array" ref="BW25">IFERROR(INDEX('Variable index'!$E$57:$F$65,MATCH(BV$25,'Variable index'!$C$57:$C$65,0),$D$12),"")</f>
        <v/>
      </c>
      <c r="BZ25" s="345" t="str">
        <f>IF(_xlfn.XLOOKUP(BZ$14,TableTransport['#],TableTransport[Waste disposal - type of waste (if applicable)])&lt;&gt;"",_xlfn.XLOOKUP(BZ$14,TableTransport['#],TableTransport[Waste disposal - type of waste (if applicable)]),"")</f>
        <v/>
      </c>
      <c r="CA25" s="347" t="str" cm="1">
        <f t="array" ref="CA25">IFERROR(INDEX('Variable index'!$E$57:$F$65,MATCH(BZ$25,'Variable index'!$C$57:$C$65,0),$D$12),"")</f>
        <v/>
      </c>
      <c r="CD25" s="345" t="str">
        <f>IF(_xlfn.XLOOKUP(CD$14,TableTransport['#],TableTransport[Waste disposal - type of waste (if applicable)])&lt;&gt;"",_xlfn.XLOOKUP(CD$14,TableTransport['#],TableTransport[Waste disposal - type of waste (if applicable)]),"")</f>
        <v/>
      </c>
      <c r="CE25" s="347" t="str" cm="1">
        <f t="array" ref="CE25">IFERROR(INDEX('Variable index'!$E$57:$F$65,MATCH(CD$25,'Variable index'!$C$57:$C$65,0),$D$12),"")</f>
        <v/>
      </c>
      <c r="CH25" s="345" t="str">
        <f>IF(_xlfn.XLOOKUP(CH$14,TableTransport['#],TableTransport[Waste disposal - type of waste (if applicable)])&lt;&gt;"",_xlfn.XLOOKUP(CH$14,TableTransport['#],TableTransport[Waste disposal - type of waste (if applicable)]),"")</f>
        <v/>
      </c>
      <c r="CI25" s="347" t="str" cm="1">
        <f t="array" ref="CI25">IFERROR(INDEX('Variable index'!$E$57:$F$65,MATCH(CH$25,'Variable index'!$C$57:$C$65,0),$D$12),"")</f>
        <v/>
      </c>
      <c r="CL25" s="345" t="str">
        <f>IF(_xlfn.XLOOKUP(CL$14,TableTransport['#],TableTransport[Waste disposal - type of waste (if applicable)])&lt;&gt;"",_xlfn.XLOOKUP(CL$14,TableTransport['#],TableTransport[Waste disposal - type of waste (if applicable)]),"")</f>
        <v/>
      </c>
      <c r="CM25" s="347" t="str" cm="1">
        <f t="array" ref="CM25">IFERROR(INDEX('Variable index'!$E$57:$F$65,MATCH(CL$25,'Variable index'!$C$57:$C$65,0),$D$12),"")</f>
        <v/>
      </c>
      <c r="CP25" s="345" t="str">
        <f>IF(_xlfn.XLOOKUP(CP$14,TableTransport['#],TableTransport[Waste disposal - type of waste (if applicable)])&lt;&gt;"",_xlfn.XLOOKUP(CP$14,TableTransport['#],TableTransport[Waste disposal - type of waste (if applicable)]),"")</f>
        <v/>
      </c>
      <c r="CQ25" s="347" t="str" cm="1">
        <f t="array" ref="CQ25">IFERROR(INDEX('Variable index'!$E$57:$F$65,MATCH(CP$25,'Variable index'!$C$57:$C$65,0),$D$12),"")</f>
        <v/>
      </c>
      <c r="CT25" s="345" t="str">
        <f>IF(_xlfn.XLOOKUP(CT$14,TableTransport['#],TableTransport[Waste disposal - type of waste (if applicable)])&lt;&gt;"",_xlfn.XLOOKUP(CT$14,TableTransport['#],TableTransport[Waste disposal - type of waste (if applicable)]),"")</f>
        <v/>
      </c>
      <c r="CU25" s="347" t="str" cm="1">
        <f t="array" ref="CU25">IFERROR(INDEX('Variable index'!$E$57:$F$65,MATCH(CT$25,'Variable index'!$C$57:$C$65,0),$D$12),"")</f>
        <v/>
      </c>
      <c r="CX25" s="345" t="str">
        <f>IF(_xlfn.XLOOKUP(CX$14,TableTransport['#],TableTransport[Waste disposal - type of waste (if applicable)])&lt;&gt;"",_xlfn.XLOOKUP(CX$14,TableTransport['#],TableTransport[Waste disposal - type of waste (if applicable)]),"")</f>
        <v/>
      </c>
      <c r="CY25" s="347" t="str" cm="1">
        <f t="array" ref="CY25">IFERROR(INDEX('Variable index'!$E$57:$F$65,MATCH(CX$25,'Variable index'!$C$57:$C$65,0),$D$12),"")</f>
        <v/>
      </c>
      <c r="DB25" s="345" t="str">
        <f>IF(_xlfn.XLOOKUP(DB$14,TableTransport['#],TableTransport[Waste disposal - type of waste (if applicable)])&lt;&gt;"",_xlfn.XLOOKUP(DB$14,TableTransport['#],TableTransport[Waste disposal - type of waste (if applicable)]),"")</f>
        <v/>
      </c>
      <c r="DC25" s="347" t="str" cm="1">
        <f t="array" ref="DC25">IFERROR(INDEX('Variable index'!$E$57:$F$65,MATCH(DB$25,'Variable index'!$C$57:$C$65,0),$D$12),"")</f>
        <v/>
      </c>
      <c r="DF25" s="345" t="str">
        <f>IF(_xlfn.XLOOKUP(DF$14,TableTransport['#],TableTransport[Waste disposal - type of waste (if applicable)])&lt;&gt;"",_xlfn.XLOOKUP(DF$14,TableTransport['#],TableTransport[Waste disposal - type of waste (if applicable)]),"")</f>
        <v/>
      </c>
      <c r="DG25" s="347" t="str" cm="1">
        <f t="array" ref="DG25">IFERROR(INDEX('Variable index'!$E$57:$F$65,MATCH(DF$25,'Variable index'!$C$57:$C$65,0),$D$12),"")</f>
        <v/>
      </c>
      <c r="DJ25" s="345" t="str">
        <f>IF(_xlfn.XLOOKUP(DJ$14,TableTransport['#],TableTransport[Waste disposal - type of waste (if applicable)])&lt;&gt;"",_xlfn.XLOOKUP(DJ$14,TableTransport['#],TableTransport[Waste disposal - type of waste (if applicable)]),"")</f>
        <v/>
      </c>
      <c r="DK25" s="347" t="str" cm="1">
        <f t="array" ref="DK25">IFERROR(INDEX('Variable index'!$E$57:$F$65,MATCH(DJ$25,'Variable index'!$C$57:$C$65,0),$D$12),"")</f>
        <v/>
      </c>
      <c r="DN25" s="345" t="str">
        <f>IF(_xlfn.XLOOKUP(DN$14,TableTransport['#],TableTransport[Waste disposal - type of waste (if applicable)])&lt;&gt;"",_xlfn.XLOOKUP(DN$14,TableTransport['#],TableTransport[Waste disposal - type of waste (if applicable)]),"")</f>
        <v/>
      </c>
      <c r="DO25" s="347" t="str" cm="1">
        <f t="array" ref="DO25">IFERROR(INDEX('Variable index'!$E$57:$F$65,MATCH(DN$25,'Variable index'!$C$57:$C$65,0),$D$12),"")</f>
        <v/>
      </c>
      <c r="DR25" s="345" t="str">
        <f>IF(_xlfn.XLOOKUP(DR$14,TableTransport['#],TableTransport[Waste disposal - type of waste (if applicable)])&lt;&gt;"",_xlfn.XLOOKUP(DR$14,TableTransport['#],TableTransport[Waste disposal - type of waste (if applicable)]),"")</f>
        <v/>
      </c>
      <c r="DS25" s="347" t="str" cm="1">
        <f t="array" ref="DS25">IFERROR(INDEX('Variable index'!$E$57:$F$65,MATCH(DR$25,'Variable index'!$C$57:$C$65,0),$D$12),"")</f>
        <v/>
      </c>
      <c r="DV25" s="345" t="str">
        <f>IF(_xlfn.XLOOKUP(DV$14,TableTransport['#],TableTransport[Waste disposal - type of waste (if applicable)])&lt;&gt;"",_xlfn.XLOOKUP(DV$14,TableTransport['#],TableTransport[Waste disposal - type of waste (if applicable)]),"")</f>
        <v/>
      </c>
      <c r="DW25" s="347" t="str" cm="1">
        <f t="array" ref="DW25">IFERROR(INDEX('Variable index'!$E$57:$F$65,MATCH(DV$25,'Variable index'!$C$57:$C$65,0),$D$12),"")</f>
        <v/>
      </c>
      <c r="DZ25" s="345" t="str">
        <f>IF(_xlfn.XLOOKUP(DZ$14,TableTransport['#],TableTransport[Waste disposal - type of waste (if applicable)])&lt;&gt;"",_xlfn.XLOOKUP(DZ$14,TableTransport['#],TableTransport[Waste disposal - type of waste (if applicable)]),"")</f>
        <v/>
      </c>
      <c r="EA25" s="347" t="str" cm="1">
        <f t="array" ref="EA25">IFERROR(INDEX('Variable index'!$E$57:$F$65,MATCH(DZ$25,'Variable index'!$C$57:$C$65,0),$D$12),"")</f>
        <v/>
      </c>
      <c r="ED25" s="345" t="str">
        <f>IF(_xlfn.XLOOKUP(ED$14,TableTransport['#],TableTransport[Waste disposal - type of waste (if applicable)])&lt;&gt;"",_xlfn.XLOOKUP(ED$14,TableTransport['#],TableTransport[Waste disposal - type of waste (if applicable)]),"")</f>
        <v/>
      </c>
      <c r="EE25" s="347" t="str" cm="1">
        <f t="array" ref="EE25">IFERROR(INDEX('Variable index'!$E$57:$F$65,MATCH(ED$25,'Variable index'!$C$57:$C$65,0),$D$12),"")</f>
        <v/>
      </c>
      <c r="EH25" s="345" t="str">
        <f>IF(_xlfn.XLOOKUP(EH$14,TableTransport['#],TableTransport[Waste disposal - type of waste (if applicable)])&lt;&gt;"",_xlfn.XLOOKUP(EH$14,TableTransport['#],TableTransport[Waste disposal - type of waste (if applicable)]),"")</f>
        <v/>
      </c>
      <c r="EI25" s="347" t="str" cm="1">
        <f t="array" ref="EI25">IFERROR(INDEX('Variable index'!$E$57:$F$65,MATCH(EH$25,'Variable index'!$C$57:$C$65,0),$D$12),"")</f>
        <v/>
      </c>
      <c r="EL25" s="345" t="str">
        <f>IF(_xlfn.XLOOKUP(EL$14,TableTransport['#],TableTransport[Waste disposal - type of waste (if applicable)])&lt;&gt;"",_xlfn.XLOOKUP(EL$14,TableTransport['#],TableTransport[Waste disposal - type of waste (if applicable)]),"")</f>
        <v/>
      </c>
      <c r="EM25" s="347" t="str" cm="1">
        <f t="array" ref="EM25">IFERROR(INDEX('Variable index'!$E$57:$F$65,MATCH(EL$25,'Variable index'!$C$57:$C$65,0),$D$12),"")</f>
        <v/>
      </c>
      <c r="EP25" s="345" t="str">
        <f>IF(_xlfn.XLOOKUP(EP$14,TableTransport['#],TableTransport[Waste disposal - type of waste (if applicable)])&lt;&gt;"",_xlfn.XLOOKUP(EP$14,TableTransport['#],TableTransport[Waste disposal - type of waste (if applicable)]),"")</f>
        <v/>
      </c>
      <c r="EQ25" s="347" t="str" cm="1">
        <f t="array" ref="EQ25">IFERROR(INDEX('Variable index'!$E$57:$F$65,MATCH(EP$25,'Variable index'!$C$57:$C$65,0),$D$12),"")</f>
        <v/>
      </c>
      <c r="ET25" s="345" t="str">
        <f>IF(_xlfn.XLOOKUP(ET$14,TableTransport['#],TableTransport[Waste disposal - type of waste (if applicable)])&lt;&gt;"",_xlfn.XLOOKUP(ET$14,TableTransport['#],TableTransport[Waste disposal - type of waste (if applicable)]),"")</f>
        <v/>
      </c>
      <c r="EU25" s="347" t="str" cm="1">
        <f t="array" ref="EU25">IFERROR(INDEX('Variable index'!$E$57:$F$65,MATCH(ET$25,'Variable index'!$C$57:$C$65,0),$D$12),"")</f>
        <v/>
      </c>
      <c r="EX25" s="345" t="str">
        <f>IF(_xlfn.XLOOKUP(EX$14,TableTransport['#],TableTransport[Waste disposal - type of waste (if applicable)])&lt;&gt;"",_xlfn.XLOOKUP(EX$14,TableTransport['#],TableTransport[Waste disposal - type of waste (if applicable)]),"")</f>
        <v/>
      </c>
      <c r="EY25" s="347" t="str" cm="1">
        <f t="array" ref="EY25">IFERROR(INDEX('Variable index'!$E$57:$F$65,MATCH(EX$25,'Variable index'!$C$57:$C$65,0),$D$12),"")</f>
        <v/>
      </c>
      <c r="FB25" s="345" t="str">
        <f>IF(_xlfn.XLOOKUP(FB$14,TableTransport['#],TableTransport[Waste disposal - type of waste (if applicable)])&lt;&gt;"",_xlfn.XLOOKUP(FB$14,TableTransport['#],TableTransport[Waste disposal - type of waste (if applicable)]),"")</f>
        <v/>
      </c>
      <c r="FC25" s="347" t="str" cm="1">
        <f t="array" ref="FC25">IFERROR(INDEX('Variable index'!$E$57:$F$65,MATCH(FB$25,'Variable index'!$C$57:$C$65,0),$D$12),"")</f>
        <v/>
      </c>
      <c r="FF25" s="345" t="str">
        <f>IF(_xlfn.XLOOKUP(FF$14,TableTransport['#],TableTransport[Waste disposal - type of waste (if applicable)])&lt;&gt;"",_xlfn.XLOOKUP(FF$14,TableTransport['#],TableTransport[Waste disposal - type of waste (if applicable)]),"")</f>
        <v/>
      </c>
      <c r="FG25" s="347" t="str" cm="1">
        <f t="array" ref="FG25">IFERROR(INDEX('Variable index'!$E$57:$F$65,MATCH(FF$25,'Variable index'!$C$57:$C$65,0),$D$12),"")</f>
        <v/>
      </c>
      <c r="FJ25" s="345" t="str">
        <f>IF(_xlfn.XLOOKUP(FJ$14,TableTransport['#],TableTransport[Waste disposal - type of waste (if applicable)])&lt;&gt;"",_xlfn.XLOOKUP(FJ$14,TableTransport['#],TableTransport[Waste disposal - type of waste (if applicable)]),"")</f>
        <v/>
      </c>
      <c r="FK25" s="347" t="str" cm="1">
        <f t="array" ref="FK25">IFERROR(INDEX('Variable index'!$E$57:$F$65,MATCH(FJ$25,'Variable index'!$C$57:$C$65,0),$D$12),"")</f>
        <v/>
      </c>
      <c r="FN25" s="345" t="str">
        <f>IF(_xlfn.XLOOKUP(FN$14,TableTransport['#],TableTransport[Waste disposal - type of waste (if applicable)])&lt;&gt;"",_xlfn.XLOOKUP(FN$14,TableTransport['#],TableTransport[Waste disposal - type of waste (if applicable)]),"")</f>
        <v/>
      </c>
      <c r="FO25" s="347" t="str" cm="1">
        <f t="array" ref="FO25">IFERROR(INDEX('Variable index'!$E$57:$F$65,MATCH(FN$25,'Variable index'!$C$57:$C$65,0),$D$12),"")</f>
        <v/>
      </c>
      <c r="FR25" s="345" t="str">
        <f>IF(_xlfn.XLOOKUP(FR$14,TableTransport['#],TableTransport[Waste disposal - type of waste (if applicable)])&lt;&gt;"",_xlfn.XLOOKUP(FR$14,TableTransport['#],TableTransport[Waste disposal - type of waste (if applicable)]),"")</f>
        <v/>
      </c>
      <c r="FS25" s="347" t="str" cm="1">
        <f t="array" ref="FS25">IFERROR(INDEX('Variable index'!$E$57:$F$65,MATCH(FR$25,'Variable index'!$C$57:$C$65,0),$D$12),"")</f>
        <v/>
      </c>
      <c r="FV25" s="345" t="str">
        <f>IF(_xlfn.XLOOKUP(FV$14,TableTransport['#],TableTransport[Waste disposal - type of waste (if applicable)])&lt;&gt;"",_xlfn.XLOOKUP(FV$14,TableTransport['#],TableTransport[Waste disposal - type of waste (if applicable)]),"")</f>
        <v/>
      </c>
      <c r="FW25" s="347" t="str" cm="1">
        <f t="array" ref="FW25">IFERROR(INDEX('Variable index'!$E$57:$F$65,MATCH(FV$25,'Variable index'!$C$57:$C$65,0),$D$12),"")</f>
        <v/>
      </c>
      <c r="FZ25" s="345" t="str">
        <f>IF(_xlfn.XLOOKUP(FZ$14,TableTransport['#],TableTransport[Waste disposal - type of waste (if applicable)])&lt;&gt;"",_xlfn.XLOOKUP(FZ$14,TableTransport['#],TableTransport[Waste disposal - type of waste (if applicable)]),"")</f>
        <v/>
      </c>
      <c r="GA25" s="347" t="str" cm="1">
        <f t="array" ref="GA25">IFERROR(INDEX('Variable index'!$E$57:$F$65,MATCH(FZ$25,'Variable index'!$C$57:$C$65,0),$D$12),"")</f>
        <v/>
      </c>
      <c r="GD25" s="345" t="str">
        <f>IF(_xlfn.XLOOKUP(GD$14,TableTransport['#],TableTransport[Waste disposal - type of waste (if applicable)])&lt;&gt;"",_xlfn.XLOOKUP(GD$14,TableTransport['#],TableTransport[Waste disposal - type of waste (if applicable)]),"")</f>
        <v/>
      </c>
      <c r="GE25" s="347" t="str" cm="1">
        <f t="array" ref="GE25">IFERROR(INDEX('Variable index'!$E$57:$F$65,MATCH(GD$25,'Variable index'!$C$57:$C$65,0),$D$12),"")</f>
        <v/>
      </c>
      <c r="GH25" s="345" t="str">
        <f>IF(_xlfn.XLOOKUP(GH$14,TableTransport['#],TableTransport[Waste disposal - type of waste (if applicable)])&lt;&gt;"",_xlfn.XLOOKUP(GH$14,TableTransport['#],TableTransport[Waste disposal - type of waste (if applicable)]),"")</f>
        <v/>
      </c>
      <c r="GI25" s="347" t="str" cm="1">
        <f t="array" ref="GI25">IFERROR(INDEX('Variable index'!$E$57:$F$65,MATCH(GH$25,'Variable index'!$C$57:$C$65,0),$D$12),"")</f>
        <v/>
      </c>
      <c r="GL25" s="345" t="str">
        <f>IF(_xlfn.XLOOKUP(GL$14,TableTransport['#],TableTransport[Waste disposal - type of waste (if applicable)])&lt;&gt;"",_xlfn.XLOOKUP(GL$14,TableTransport['#],TableTransport[Waste disposal - type of waste (if applicable)]),"")</f>
        <v/>
      </c>
      <c r="GM25" s="347" t="str" cm="1">
        <f t="array" ref="GM25">IFERROR(INDEX('Variable index'!$E$57:$F$65,MATCH(GL$25,'Variable index'!$C$57:$C$65,0),$D$12),"")</f>
        <v/>
      </c>
      <c r="GP25" s="345" t="str">
        <f>IF(_xlfn.XLOOKUP(GP$14,TableTransport['#],TableTransport[Waste disposal - type of waste (if applicable)])&lt;&gt;"",_xlfn.XLOOKUP(GP$14,TableTransport['#],TableTransport[Waste disposal - type of waste (if applicable)]),"")</f>
        <v/>
      </c>
      <c r="GQ25" s="347" t="str" cm="1">
        <f t="array" ref="GQ25">IFERROR(INDEX('Variable index'!$E$57:$F$65,MATCH(GP$25,'Variable index'!$C$57:$C$65,0),$D$12),"")</f>
        <v/>
      </c>
      <c r="GT25" s="345" t="str">
        <f>IF(_xlfn.XLOOKUP(GT$14,TableTransport['#],TableTransport[Waste disposal - type of waste (if applicable)])&lt;&gt;"",_xlfn.XLOOKUP(GT$14,TableTransport['#],TableTransport[Waste disposal - type of waste (if applicable)]),"")</f>
        <v/>
      </c>
      <c r="GU25" s="347" t="str" cm="1">
        <f t="array" ref="GU25">IFERROR(INDEX('Variable index'!$E$57:$F$65,MATCH(GT$25,'Variable index'!$C$57:$C$65,0),$D$12),"")</f>
        <v/>
      </c>
    </row>
    <row r="26" spans="4:204" x14ac:dyDescent="0.2">
      <c r="D26" t="s">
        <v>154</v>
      </c>
      <c r="F26" s="348" t="str">
        <f>IF(_xlfn.XLOOKUP(F$14,TableTransport['#],TableTransport[Waste disposal quantity (in tonnes)])&lt;&gt;"",_xlfn.XLOOKUP(F$14,TableTransport['#],TableTransport[Waste disposal quantity (in tonnes)]),"")</f>
        <v/>
      </c>
      <c r="H26" s="168" t="str">
        <f>IFERROR(G25*F26,"")</f>
        <v/>
      </c>
      <c r="J26" s="348" t="str">
        <f>IF(_xlfn.XLOOKUP(J$14,TableTransport['#],TableTransport[Waste disposal quantity (in tonnes)])&lt;&gt;"",_xlfn.XLOOKUP(J$14,TableTransport['#],TableTransport[Waste disposal quantity (in tonnes)]),"")</f>
        <v/>
      </c>
      <c r="L26" s="168" t="str">
        <f>IFERROR(K25*J26,"")</f>
        <v/>
      </c>
      <c r="N26" s="348" t="str">
        <f>IF(_xlfn.XLOOKUP(N$14,TableTransport['#],TableTransport[Waste disposal quantity (in tonnes)])&lt;&gt;"",_xlfn.XLOOKUP(N$14,TableTransport['#],TableTransport[Waste disposal quantity (in tonnes)]),"")</f>
        <v/>
      </c>
      <c r="P26" s="168" t="str">
        <f>IFERROR(O25*N26,"")</f>
        <v/>
      </c>
      <c r="R26" s="348" t="str">
        <f>IF(_xlfn.XLOOKUP(R$14,TableTransport['#],TableTransport[Waste disposal quantity (in tonnes)])&lt;&gt;"",_xlfn.XLOOKUP(R$14,TableTransport['#],TableTransport[Waste disposal quantity (in tonnes)]),"")</f>
        <v/>
      </c>
      <c r="T26" s="168" t="str">
        <f>IFERROR(S25*R26,"")</f>
        <v/>
      </c>
      <c r="V26" s="348" t="str">
        <f>IF(_xlfn.XLOOKUP(V$14,TableTransport['#],TableTransport[Waste disposal quantity (in tonnes)])&lt;&gt;"",_xlfn.XLOOKUP(V$14,TableTransport['#],TableTransport[Waste disposal quantity (in tonnes)]),"")</f>
        <v/>
      </c>
      <c r="X26" s="168" t="str">
        <f>IFERROR(W25*V26,"")</f>
        <v/>
      </c>
      <c r="Z26" s="348" t="str">
        <f>IF(_xlfn.XLOOKUP(Z$14,TableTransport['#],TableTransport[Waste disposal quantity (in tonnes)])&lt;&gt;"",_xlfn.XLOOKUP(Z$14,TableTransport['#],TableTransport[Waste disposal quantity (in tonnes)]),"")</f>
        <v/>
      </c>
      <c r="AB26" s="168" t="str">
        <f>IFERROR(AA25*Z26,"")</f>
        <v/>
      </c>
      <c r="AD26" s="348" t="str">
        <f>IF(_xlfn.XLOOKUP(AD$14,TableTransport['#],TableTransport[Waste disposal quantity (in tonnes)])&lt;&gt;"",_xlfn.XLOOKUP(AD$14,TableTransport['#],TableTransport[Waste disposal quantity (in tonnes)]),"")</f>
        <v/>
      </c>
      <c r="AF26" s="168" t="str">
        <f>IFERROR(AE25*AD26,"")</f>
        <v/>
      </c>
      <c r="AH26" s="348" t="str">
        <f>IF(_xlfn.XLOOKUP(AH$14,TableTransport['#],TableTransport[Waste disposal quantity (in tonnes)])&lt;&gt;"",_xlfn.XLOOKUP(AH$14,TableTransport['#],TableTransport[Waste disposal quantity (in tonnes)]),"")</f>
        <v/>
      </c>
      <c r="AJ26" s="168" t="str">
        <f>IFERROR(AI25*AH26,"")</f>
        <v/>
      </c>
      <c r="AL26" s="348" t="str">
        <f>IF(_xlfn.XLOOKUP(AL$14,TableTransport['#],TableTransport[Waste disposal quantity (in tonnes)])&lt;&gt;"",_xlfn.XLOOKUP(AL$14,TableTransport['#],TableTransport[Waste disposal quantity (in tonnes)]),"")</f>
        <v/>
      </c>
      <c r="AN26" s="168" t="str">
        <f>IFERROR(AM25*AL26,"")</f>
        <v/>
      </c>
      <c r="AP26" s="348" t="str">
        <f>IF(_xlfn.XLOOKUP(AP$14,TableTransport['#],TableTransport[Waste disposal quantity (in tonnes)])&lt;&gt;"",_xlfn.XLOOKUP(AP$14,TableTransport['#],TableTransport[Waste disposal quantity (in tonnes)]),"")</f>
        <v/>
      </c>
      <c r="AR26" s="168" t="str">
        <f>IFERROR(AQ25*AP26,"")</f>
        <v/>
      </c>
      <c r="AT26" s="348" t="str">
        <f>IF(_xlfn.XLOOKUP(AT$14,TableTransport['#],TableTransport[Waste disposal quantity (in tonnes)])&lt;&gt;"",_xlfn.XLOOKUP(AT$14,TableTransport['#],TableTransport[Waste disposal quantity (in tonnes)]),"")</f>
        <v/>
      </c>
      <c r="AV26" s="168" t="str">
        <f>IFERROR(AU25*AT26,"")</f>
        <v/>
      </c>
      <c r="AX26" s="348" t="str">
        <f>IF(_xlfn.XLOOKUP(AX$14,TableTransport['#],TableTransport[Waste disposal quantity (in tonnes)])&lt;&gt;"",_xlfn.XLOOKUP(AX$14,TableTransport['#],TableTransport[Waste disposal quantity (in tonnes)]),"")</f>
        <v/>
      </c>
      <c r="AZ26" s="168" t="str">
        <f>IFERROR(AY25*AX26,"")</f>
        <v/>
      </c>
      <c r="BB26" s="348" t="str">
        <f>IF(_xlfn.XLOOKUP(BB$14,TableTransport['#],TableTransport[Waste disposal quantity (in tonnes)])&lt;&gt;"",_xlfn.XLOOKUP(BB$14,TableTransport['#],TableTransport[Waste disposal quantity (in tonnes)]),"")</f>
        <v/>
      </c>
      <c r="BD26" s="168" t="str">
        <f>IFERROR(BC25*BB26,"")</f>
        <v/>
      </c>
      <c r="BF26" s="348" t="str">
        <f>IF(_xlfn.XLOOKUP(BF$14,TableTransport['#],TableTransport[Waste disposal quantity (in tonnes)])&lt;&gt;"",_xlfn.XLOOKUP(BF$14,TableTransport['#],TableTransport[Waste disposal quantity (in tonnes)]),"")</f>
        <v/>
      </c>
      <c r="BH26" s="168" t="str">
        <f>IFERROR(BG25*BF26,"")</f>
        <v/>
      </c>
      <c r="BJ26" s="348" t="str">
        <f>IF(_xlfn.XLOOKUP(BJ$14,TableTransport['#],TableTransport[Waste disposal quantity (in tonnes)])&lt;&gt;"",_xlfn.XLOOKUP(BJ$14,TableTransport['#],TableTransport[Waste disposal quantity (in tonnes)]),"")</f>
        <v/>
      </c>
      <c r="BL26" s="168" t="str">
        <f>IFERROR(BK25*BJ26,"")</f>
        <v/>
      </c>
      <c r="BN26" s="348" t="str">
        <f>IF(_xlfn.XLOOKUP(BN$14,TableTransport['#],TableTransport[Waste disposal quantity (in tonnes)])&lt;&gt;"",_xlfn.XLOOKUP(BN$14,TableTransport['#],TableTransport[Waste disposal quantity (in tonnes)]),"")</f>
        <v/>
      </c>
      <c r="BP26" s="168" t="str">
        <f>IFERROR(BO25*BN26,"")</f>
        <v/>
      </c>
      <c r="BR26" s="348" t="str">
        <f>IF(_xlfn.XLOOKUP(BR$14,TableTransport['#],TableTransport[Waste disposal quantity (in tonnes)])&lt;&gt;"",_xlfn.XLOOKUP(BR$14,TableTransport['#],TableTransport[Waste disposal quantity (in tonnes)]),"")</f>
        <v/>
      </c>
      <c r="BT26" s="168" t="str">
        <f>IFERROR(BS25*BR26,"")</f>
        <v/>
      </c>
      <c r="BV26" s="348" t="str">
        <f>IF(_xlfn.XLOOKUP(BV$14,TableTransport['#],TableTransport[Waste disposal quantity (in tonnes)])&lt;&gt;"",_xlfn.XLOOKUP(BV$14,TableTransport['#],TableTransport[Waste disposal quantity (in tonnes)]),"")</f>
        <v/>
      </c>
      <c r="BX26" s="168" t="str">
        <f>IFERROR(BW25*BV26,"")</f>
        <v/>
      </c>
      <c r="BZ26" s="348" t="str">
        <f>IF(_xlfn.XLOOKUP(BZ$14,TableTransport['#],TableTransport[Waste disposal quantity (in tonnes)])&lt;&gt;"",_xlfn.XLOOKUP(BZ$14,TableTransport['#],TableTransport[Waste disposal quantity (in tonnes)]),"")</f>
        <v/>
      </c>
      <c r="CB26" s="168" t="str">
        <f>IFERROR(CA25*BZ26,"")</f>
        <v/>
      </c>
      <c r="CD26" s="348" t="str">
        <f>IF(_xlfn.XLOOKUP(CD$14,TableTransport['#],TableTransport[Waste disposal quantity (in tonnes)])&lt;&gt;"",_xlfn.XLOOKUP(CD$14,TableTransport['#],TableTransport[Waste disposal quantity (in tonnes)]),"")</f>
        <v/>
      </c>
      <c r="CF26" s="168" t="str">
        <f>IFERROR(CE25*CD26,"")</f>
        <v/>
      </c>
      <c r="CH26" s="348" t="str">
        <f>IF(_xlfn.XLOOKUP(CH$14,TableTransport['#],TableTransport[Waste disposal quantity (in tonnes)])&lt;&gt;"",_xlfn.XLOOKUP(CH$14,TableTransport['#],TableTransport[Waste disposal quantity (in tonnes)]),"")</f>
        <v/>
      </c>
      <c r="CJ26" s="168" t="str">
        <f>IFERROR(CI25*CH26,"")</f>
        <v/>
      </c>
      <c r="CL26" s="348" t="str">
        <f>IF(_xlfn.XLOOKUP(CL$14,TableTransport['#],TableTransport[Waste disposal quantity (in tonnes)])&lt;&gt;"",_xlfn.XLOOKUP(CL$14,TableTransport['#],TableTransport[Waste disposal quantity (in tonnes)]),"")</f>
        <v/>
      </c>
      <c r="CN26" s="168" t="str">
        <f>IFERROR(CM25*CL26,"")</f>
        <v/>
      </c>
      <c r="CP26" s="348" t="str">
        <f>IF(_xlfn.XLOOKUP(CP$14,TableTransport['#],TableTransport[Waste disposal quantity (in tonnes)])&lt;&gt;"",_xlfn.XLOOKUP(CP$14,TableTransport['#],TableTransport[Waste disposal quantity (in tonnes)]),"")</f>
        <v/>
      </c>
      <c r="CR26" s="168" t="str">
        <f>IFERROR(CQ25*CP26,"")</f>
        <v/>
      </c>
      <c r="CT26" s="348" t="str">
        <f>IF(_xlfn.XLOOKUP(CT$14,TableTransport['#],TableTransport[Waste disposal quantity (in tonnes)])&lt;&gt;"",_xlfn.XLOOKUP(CT$14,TableTransport['#],TableTransport[Waste disposal quantity (in tonnes)]),"")</f>
        <v/>
      </c>
      <c r="CV26" s="168" t="str">
        <f>IFERROR(CU25*CT26,"")</f>
        <v/>
      </c>
      <c r="CX26" s="348" t="str">
        <f>IF(_xlfn.XLOOKUP(CX$14,TableTransport['#],TableTransport[Waste disposal quantity (in tonnes)])&lt;&gt;"",_xlfn.XLOOKUP(CX$14,TableTransport['#],TableTransport[Waste disposal quantity (in tonnes)]),"")</f>
        <v/>
      </c>
      <c r="CZ26" s="168" t="str">
        <f>IFERROR(CY25*CX26,"")</f>
        <v/>
      </c>
      <c r="DB26" s="348" t="str">
        <f>IF(_xlfn.XLOOKUP(DB$14,TableTransport['#],TableTransport[Waste disposal quantity (in tonnes)])&lt;&gt;"",_xlfn.XLOOKUP(DB$14,TableTransport['#],TableTransport[Waste disposal quantity (in tonnes)]),"")</f>
        <v/>
      </c>
      <c r="DD26" s="168" t="str">
        <f>IFERROR(DC25*DB26,"")</f>
        <v/>
      </c>
      <c r="DF26" s="348" t="str">
        <f>IF(_xlfn.XLOOKUP(DF$14,TableTransport['#],TableTransport[Waste disposal quantity (in tonnes)])&lt;&gt;"",_xlfn.XLOOKUP(DF$14,TableTransport['#],TableTransport[Waste disposal quantity (in tonnes)]),"")</f>
        <v/>
      </c>
      <c r="DH26" s="168" t="str">
        <f>IFERROR(DG25*DF26,"")</f>
        <v/>
      </c>
      <c r="DJ26" s="348" t="str">
        <f>IF(_xlfn.XLOOKUP(DJ$14,TableTransport['#],TableTransport[Waste disposal quantity (in tonnes)])&lt;&gt;"",_xlfn.XLOOKUP(DJ$14,TableTransport['#],TableTransport[Waste disposal quantity (in tonnes)]),"")</f>
        <v/>
      </c>
      <c r="DL26" s="168" t="str">
        <f>IFERROR(DK25*DJ26,"")</f>
        <v/>
      </c>
      <c r="DN26" s="348" t="str">
        <f>IF(_xlfn.XLOOKUP(DN$14,TableTransport['#],TableTransport[Waste disposal quantity (in tonnes)])&lt;&gt;"",_xlfn.XLOOKUP(DN$14,TableTransport['#],TableTransport[Waste disposal quantity (in tonnes)]),"")</f>
        <v/>
      </c>
      <c r="DP26" s="168" t="str">
        <f>IFERROR(DO25*DN26,"")</f>
        <v/>
      </c>
      <c r="DR26" s="348" t="str">
        <f>IF(_xlfn.XLOOKUP(DR$14,TableTransport['#],TableTransport[Waste disposal quantity (in tonnes)])&lt;&gt;"",_xlfn.XLOOKUP(DR$14,TableTransport['#],TableTransport[Waste disposal quantity (in tonnes)]),"")</f>
        <v/>
      </c>
      <c r="DT26" s="168" t="str">
        <f>IFERROR(DS25*DR26,"")</f>
        <v/>
      </c>
      <c r="DV26" s="348" t="str">
        <f>IF(_xlfn.XLOOKUP(DV$14,TableTransport['#],TableTransport[Waste disposal quantity (in tonnes)])&lt;&gt;"",_xlfn.XLOOKUP(DV$14,TableTransport['#],TableTransport[Waste disposal quantity (in tonnes)]),"")</f>
        <v/>
      </c>
      <c r="DX26" s="168" t="str">
        <f>IFERROR(DW25*DV26,"")</f>
        <v/>
      </c>
      <c r="DZ26" s="348" t="str">
        <f>IF(_xlfn.XLOOKUP(DZ$14,TableTransport['#],TableTransport[Waste disposal quantity (in tonnes)])&lt;&gt;"",_xlfn.XLOOKUP(DZ$14,TableTransport['#],TableTransport[Waste disposal quantity (in tonnes)]),"")</f>
        <v/>
      </c>
      <c r="EB26" s="168" t="str">
        <f>IFERROR(EA25*DZ26,"")</f>
        <v/>
      </c>
      <c r="ED26" s="348" t="str">
        <f>IF(_xlfn.XLOOKUP(ED$14,TableTransport['#],TableTransport[Waste disposal quantity (in tonnes)])&lt;&gt;"",_xlfn.XLOOKUP(ED$14,TableTransport['#],TableTransport[Waste disposal quantity (in tonnes)]),"")</f>
        <v/>
      </c>
      <c r="EF26" s="168" t="str">
        <f>IFERROR(EE25*ED26,"")</f>
        <v/>
      </c>
      <c r="EH26" s="348" t="str">
        <f>IF(_xlfn.XLOOKUP(EH$14,TableTransport['#],TableTransport[Waste disposal quantity (in tonnes)])&lt;&gt;"",_xlfn.XLOOKUP(EH$14,TableTransport['#],TableTransport[Waste disposal quantity (in tonnes)]),"")</f>
        <v/>
      </c>
      <c r="EJ26" s="168" t="str">
        <f>IFERROR(EI25*EH26,"")</f>
        <v/>
      </c>
      <c r="EL26" s="348" t="str">
        <f>IF(_xlfn.XLOOKUP(EL$14,TableTransport['#],TableTransport[Waste disposal quantity (in tonnes)])&lt;&gt;"",_xlfn.XLOOKUP(EL$14,TableTransport['#],TableTransport[Waste disposal quantity (in tonnes)]),"")</f>
        <v/>
      </c>
      <c r="EN26" s="168" t="str">
        <f>IFERROR(EM25*EL26,"")</f>
        <v/>
      </c>
      <c r="EP26" s="348" t="str">
        <f>IF(_xlfn.XLOOKUP(EP$14,TableTransport['#],TableTransport[Waste disposal quantity (in tonnes)])&lt;&gt;"",_xlfn.XLOOKUP(EP$14,TableTransport['#],TableTransport[Waste disposal quantity (in tonnes)]),"")</f>
        <v/>
      </c>
      <c r="ER26" s="168" t="str">
        <f>IFERROR(EQ25*EP26,"")</f>
        <v/>
      </c>
      <c r="ET26" s="348" t="str">
        <f>IF(_xlfn.XLOOKUP(ET$14,TableTransport['#],TableTransport[Waste disposal quantity (in tonnes)])&lt;&gt;"",_xlfn.XLOOKUP(ET$14,TableTransport['#],TableTransport[Waste disposal quantity (in tonnes)]),"")</f>
        <v/>
      </c>
      <c r="EV26" s="168" t="str">
        <f>IFERROR(EU25*ET26,"")</f>
        <v/>
      </c>
      <c r="EX26" s="348" t="str">
        <f>IF(_xlfn.XLOOKUP(EX$14,TableTransport['#],TableTransport[Waste disposal quantity (in tonnes)])&lt;&gt;"",_xlfn.XLOOKUP(EX$14,TableTransport['#],TableTransport[Waste disposal quantity (in tonnes)]),"")</f>
        <v/>
      </c>
      <c r="EZ26" s="168" t="str">
        <f>IFERROR(EY25*EX26,"")</f>
        <v/>
      </c>
      <c r="FB26" s="348" t="str">
        <f>IF(_xlfn.XLOOKUP(FB$14,TableTransport['#],TableTransport[Waste disposal quantity (in tonnes)])&lt;&gt;"",_xlfn.XLOOKUP(FB$14,TableTransport['#],TableTransport[Waste disposal quantity (in tonnes)]),"")</f>
        <v/>
      </c>
      <c r="FD26" s="168" t="str">
        <f>IFERROR(FC25*FB26,"")</f>
        <v/>
      </c>
      <c r="FF26" s="348" t="str">
        <f>IF(_xlfn.XLOOKUP(FF$14,TableTransport['#],TableTransport[Waste disposal quantity (in tonnes)])&lt;&gt;"",_xlfn.XLOOKUP(FF$14,TableTransport['#],TableTransport[Waste disposal quantity (in tonnes)]),"")</f>
        <v/>
      </c>
      <c r="FH26" s="168" t="str">
        <f>IFERROR(FG25*FF26,"")</f>
        <v/>
      </c>
      <c r="FJ26" s="348" t="str">
        <f>IF(_xlfn.XLOOKUP(FJ$14,TableTransport['#],TableTransport[Waste disposal quantity (in tonnes)])&lt;&gt;"",_xlfn.XLOOKUP(FJ$14,TableTransport['#],TableTransport[Waste disposal quantity (in tonnes)]),"")</f>
        <v/>
      </c>
      <c r="FL26" s="168" t="str">
        <f>IFERROR(FK25*FJ26,"")</f>
        <v/>
      </c>
      <c r="FN26" s="348" t="str">
        <f>IF(_xlfn.XLOOKUP(FN$14,TableTransport['#],TableTransport[Waste disposal quantity (in tonnes)])&lt;&gt;"",_xlfn.XLOOKUP(FN$14,TableTransport['#],TableTransport[Waste disposal quantity (in tonnes)]),"")</f>
        <v/>
      </c>
      <c r="FP26" s="168" t="str">
        <f>IFERROR(FO25*FN26,"")</f>
        <v/>
      </c>
      <c r="FR26" s="348" t="str">
        <f>IF(_xlfn.XLOOKUP(FR$14,TableTransport['#],TableTransport[Waste disposal quantity (in tonnes)])&lt;&gt;"",_xlfn.XLOOKUP(FR$14,TableTransport['#],TableTransport[Waste disposal quantity (in tonnes)]),"")</f>
        <v/>
      </c>
      <c r="FT26" s="168" t="str">
        <f>IFERROR(FS25*FR26,"")</f>
        <v/>
      </c>
      <c r="FV26" s="348" t="str">
        <f>IF(_xlfn.XLOOKUP(FV$14,TableTransport['#],TableTransport[Waste disposal quantity (in tonnes)])&lt;&gt;"",_xlfn.XLOOKUP(FV$14,TableTransport['#],TableTransport[Waste disposal quantity (in tonnes)]),"")</f>
        <v/>
      </c>
      <c r="FX26" s="168" t="str">
        <f>IFERROR(FW25*FV26,"")</f>
        <v/>
      </c>
      <c r="FZ26" s="348" t="str">
        <f>IF(_xlfn.XLOOKUP(FZ$14,TableTransport['#],TableTransport[Waste disposal quantity (in tonnes)])&lt;&gt;"",_xlfn.XLOOKUP(FZ$14,TableTransport['#],TableTransport[Waste disposal quantity (in tonnes)]),"")</f>
        <v/>
      </c>
      <c r="GB26" s="168" t="str">
        <f>IFERROR(GA25*FZ26,"")</f>
        <v/>
      </c>
      <c r="GD26" s="348" t="str">
        <f>IF(_xlfn.XLOOKUP(GD$14,TableTransport['#],TableTransport[Waste disposal quantity (in tonnes)])&lt;&gt;"",_xlfn.XLOOKUP(GD$14,TableTransport['#],TableTransport[Waste disposal quantity (in tonnes)]),"")</f>
        <v/>
      </c>
      <c r="GF26" s="168" t="str">
        <f>IFERROR(GE25*GD26,"")</f>
        <v/>
      </c>
      <c r="GH26" s="348" t="str">
        <f>IF(_xlfn.XLOOKUP(GH$14,TableTransport['#],TableTransport[Waste disposal quantity (in tonnes)])&lt;&gt;"",_xlfn.XLOOKUP(GH$14,TableTransport['#],TableTransport[Waste disposal quantity (in tonnes)]),"")</f>
        <v/>
      </c>
      <c r="GJ26" s="168" t="str">
        <f>IFERROR(GI25*GH26,"")</f>
        <v/>
      </c>
      <c r="GL26" s="348" t="str">
        <f>IF(_xlfn.XLOOKUP(GL$14,TableTransport['#],TableTransport[Waste disposal quantity (in tonnes)])&lt;&gt;"",_xlfn.XLOOKUP(GL$14,TableTransport['#],TableTransport[Waste disposal quantity (in tonnes)]),"")</f>
        <v/>
      </c>
      <c r="GN26" s="168" t="str">
        <f>IFERROR(GM25*GL26,"")</f>
        <v/>
      </c>
      <c r="GP26" s="348" t="str">
        <f>IF(_xlfn.XLOOKUP(GP$14,TableTransport['#],TableTransport[Waste disposal quantity (in tonnes)])&lt;&gt;"",_xlfn.XLOOKUP(GP$14,TableTransport['#],TableTransport[Waste disposal quantity (in tonnes)]),"")</f>
        <v/>
      </c>
      <c r="GR26" s="168" t="str">
        <f>IFERROR(GQ25*GP26,"")</f>
        <v/>
      </c>
      <c r="GT26" s="348" t="str">
        <f>IF(_xlfn.XLOOKUP(GT$14,TableTransport['#],TableTransport[Waste disposal quantity (in tonnes)])&lt;&gt;"",_xlfn.XLOOKUP(GT$14,TableTransport['#],TableTransport[Waste disposal quantity (in tonnes)]),"")</f>
        <v/>
      </c>
      <c r="GV26" s="168" t="str">
        <f>IFERROR(GU25*GT26,"")</f>
        <v/>
      </c>
    </row>
    <row r="27" spans="4:204" x14ac:dyDescent="0.2">
      <c r="D27" t="s">
        <v>155</v>
      </c>
      <c r="F27" s="345" t="str">
        <f>IF(_xlfn.XLOOKUP(F$14,TableTransport['#],TableTransport[Contaminated land remediation (if applicable)])&lt;&gt;"",_xlfn.XLOOKUP(F$14,TableTransport['#],TableTransport[Contaminated land remediation (if applicable)]),"")</f>
        <v/>
      </c>
      <c r="G27" s="347" t="str" cm="1">
        <f t="array" ref="G27">IFERROR(INDEX('Variable index'!$E$68:$F$73,MATCH(F$27,'Variable index'!$C$68:$C$73,0),$D$12),"")</f>
        <v/>
      </c>
      <c r="J27" s="345" t="str">
        <f>IF(_xlfn.XLOOKUP(J$14,TableTransport['#],TableTransport[Contaminated land remediation (if applicable)])&lt;&gt;"",_xlfn.XLOOKUP(J$14,TableTransport['#],TableTransport[Contaminated land remediation (if applicable)]),"")</f>
        <v/>
      </c>
      <c r="K27" s="347" t="str" cm="1">
        <f t="array" ref="K27">IFERROR(INDEX('Variable index'!$E$68:$F$73,MATCH(J$27,'Variable index'!$C$68:$C$73,0),$D$12),"")</f>
        <v/>
      </c>
      <c r="N27" s="345" t="str">
        <f>IF(_xlfn.XLOOKUP(N$14,TableTransport['#],TableTransport[Contaminated land remediation (if applicable)])&lt;&gt;"",_xlfn.XLOOKUP(N$14,TableTransport['#],TableTransport[Contaminated land remediation (if applicable)]),"")</f>
        <v/>
      </c>
      <c r="O27" s="347" t="str" cm="1">
        <f t="array" ref="O27">IFERROR(INDEX('Variable index'!$E$68:$F$73,MATCH(N$27,'Variable index'!$C$68:$C$73,0),$D$12),"")</f>
        <v/>
      </c>
      <c r="R27" s="345" t="str">
        <f>IF(_xlfn.XLOOKUP(R$14,TableTransport['#],TableTransport[Contaminated land remediation (if applicable)])&lt;&gt;"",_xlfn.XLOOKUP(R$14,TableTransport['#],TableTransport[Contaminated land remediation (if applicable)]),"")</f>
        <v/>
      </c>
      <c r="S27" s="347" t="str" cm="1">
        <f t="array" ref="S27">IFERROR(INDEX('Variable index'!$E$68:$F$73,MATCH(R$27,'Variable index'!$C$68:$C$73,0),$D$12),"")</f>
        <v/>
      </c>
      <c r="V27" s="345" t="str">
        <f>IF(_xlfn.XLOOKUP(V$14,TableTransport['#],TableTransport[Contaminated land remediation (if applicable)])&lt;&gt;"",_xlfn.XLOOKUP(V$14,TableTransport['#],TableTransport[Contaminated land remediation (if applicable)]),"")</f>
        <v/>
      </c>
      <c r="W27" s="347" t="str" cm="1">
        <f t="array" ref="W27">IFERROR(INDEX('Variable index'!$E$68:$F$73,MATCH(V$27,'Variable index'!$C$68:$C$73,0),$D$12),"")</f>
        <v/>
      </c>
      <c r="Z27" s="345" t="str">
        <f>IF(_xlfn.XLOOKUP(Z$14,TableTransport['#],TableTransport[Contaminated land remediation (if applicable)])&lt;&gt;"",_xlfn.XLOOKUP(Z$14,TableTransport['#],TableTransport[Contaminated land remediation (if applicable)]),"")</f>
        <v/>
      </c>
      <c r="AA27" s="347" t="str" cm="1">
        <f t="array" ref="AA27">IFERROR(INDEX('Variable index'!$E$68:$F$73,MATCH(Z$27,'Variable index'!$C$68:$C$73,0),$D$12),"")</f>
        <v/>
      </c>
      <c r="AD27" s="345" t="str">
        <f>IF(_xlfn.XLOOKUP(AD$14,TableTransport['#],TableTransport[Contaminated land remediation (if applicable)])&lt;&gt;"",_xlfn.XLOOKUP(AD$14,TableTransport['#],TableTransport[Contaminated land remediation (if applicable)]),"")</f>
        <v/>
      </c>
      <c r="AE27" s="347" t="str" cm="1">
        <f t="array" ref="AE27">IFERROR(INDEX('Variable index'!$E$68:$F$73,MATCH(AD$27,'Variable index'!$C$68:$C$73,0),$D$12),"")</f>
        <v/>
      </c>
      <c r="AH27" s="345" t="str">
        <f>IF(_xlfn.XLOOKUP(AH$14,TableTransport['#],TableTransport[Contaminated land remediation (if applicable)])&lt;&gt;"",_xlfn.XLOOKUP(AH$14,TableTransport['#],TableTransport[Contaminated land remediation (if applicable)]),"")</f>
        <v/>
      </c>
      <c r="AI27" s="347" t="str" cm="1">
        <f t="array" ref="AI27">IFERROR(INDEX('Variable index'!$E$68:$F$73,MATCH(AH$27,'Variable index'!$C$68:$C$73,0),$D$12),"")</f>
        <v/>
      </c>
      <c r="AL27" s="345" t="str">
        <f>IF(_xlfn.XLOOKUP(AL$14,TableTransport['#],TableTransport[Contaminated land remediation (if applicable)])&lt;&gt;"",_xlfn.XLOOKUP(AL$14,TableTransport['#],TableTransport[Contaminated land remediation (if applicable)]),"")</f>
        <v/>
      </c>
      <c r="AM27" s="347" t="str" cm="1">
        <f t="array" ref="AM27">IFERROR(INDEX('Variable index'!$E$68:$F$73,MATCH(AL$27,'Variable index'!$C$68:$C$73,0),$D$12),"")</f>
        <v/>
      </c>
      <c r="AP27" s="345" t="str">
        <f>IF(_xlfn.XLOOKUP(AP$14,TableTransport['#],TableTransport[Contaminated land remediation (if applicable)])&lt;&gt;"",_xlfn.XLOOKUP(AP$14,TableTransport['#],TableTransport[Contaminated land remediation (if applicable)]),"")</f>
        <v/>
      </c>
      <c r="AQ27" s="347" t="str" cm="1">
        <f t="array" ref="AQ27">IFERROR(INDEX('Variable index'!$E$68:$F$73,MATCH(AP$27,'Variable index'!$C$68:$C$73,0),$D$12),"")</f>
        <v/>
      </c>
      <c r="AT27" s="345" t="str">
        <f>IF(_xlfn.XLOOKUP(AT$14,TableTransport['#],TableTransport[Contaminated land remediation (if applicable)])&lt;&gt;"",_xlfn.XLOOKUP(AT$14,TableTransport['#],TableTransport[Contaminated land remediation (if applicable)]),"")</f>
        <v/>
      </c>
      <c r="AU27" s="347" t="str" cm="1">
        <f t="array" ref="AU27">IFERROR(INDEX('Variable index'!$E$68:$F$73,MATCH(AT$27,'Variable index'!$C$68:$C$73,0),$D$12),"")</f>
        <v/>
      </c>
      <c r="AX27" s="345" t="str">
        <f>IF(_xlfn.XLOOKUP(AX$14,TableTransport['#],TableTransport[Contaminated land remediation (if applicable)])&lt;&gt;"",_xlfn.XLOOKUP(AX$14,TableTransport['#],TableTransport[Contaminated land remediation (if applicable)]),"")</f>
        <v/>
      </c>
      <c r="AY27" s="347" t="str" cm="1">
        <f t="array" ref="AY27">IFERROR(INDEX('Variable index'!$E$68:$F$73,MATCH(AX$27,'Variable index'!$C$68:$C$73,0),$D$12),"")</f>
        <v/>
      </c>
      <c r="BB27" s="345" t="str">
        <f>IF(_xlfn.XLOOKUP(BB$14,TableTransport['#],TableTransport[Contaminated land remediation (if applicable)])&lt;&gt;"",_xlfn.XLOOKUP(BB$14,TableTransport['#],TableTransport[Contaminated land remediation (if applicable)]),"")</f>
        <v/>
      </c>
      <c r="BC27" s="347" t="str" cm="1">
        <f t="array" ref="BC27">IFERROR(INDEX('Variable index'!$E$68:$F$73,MATCH(BB$27,'Variable index'!$C$68:$C$73,0),$D$12),"")</f>
        <v/>
      </c>
      <c r="BF27" s="345" t="str">
        <f>IF(_xlfn.XLOOKUP(BF$14,TableTransport['#],TableTransport[Contaminated land remediation (if applicable)])&lt;&gt;"",_xlfn.XLOOKUP(BF$14,TableTransport['#],TableTransport[Contaminated land remediation (if applicable)]),"")</f>
        <v/>
      </c>
      <c r="BG27" s="347" t="str" cm="1">
        <f t="array" ref="BG27">IFERROR(INDEX('Variable index'!$E$68:$F$73,MATCH(BF$27,'Variable index'!$C$68:$C$73,0),$D$12),"")</f>
        <v/>
      </c>
      <c r="BJ27" s="345" t="str">
        <f>IF(_xlfn.XLOOKUP(BJ$14,TableTransport['#],TableTransport[Contaminated land remediation (if applicable)])&lt;&gt;"",_xlfn.XLOOKUP(BJ$14,TableTransport['#],TableTransport[Contaminated land remediation (if applicable)]),"")</f>
        <v/>
      </c>
      <c r="BK27" s="347" t="str" cm="1">
        <f t="array" ref="BK27">IFERROR(INDEX('Variable index'!$E$68:$F$73,MATCH(BJ$27,'Variable index'!$C$68:$C$73,0),$D$12),"")</f>
        <v/>
      </c>
      <c r="BN27" s="345" t="str">
        <f>IF(_xlfn.XLOOKUP(BN$14,TableTransport['#],TableTransport[Contaminated land remediation (if applicable)])&lt;&gt;"",_xlfn.XLOOKUP(BN$14,TableTransport['#],TableTransport[Contaminated land remediation (if applicable)]),"")</f>
        <v/>
      </c>
      <c r="BO27" s="347" t="str" cm="1">
        <f t="array" ref="BO27">IFERROR(INDEX('Variable index'!$E$68:$F$73,MATCH(BN$27,'Variable index'!$C$68:$C$73,0),$D$12),"")</f>
        <v/>
      </c>
      <c r="BR27" s="345" t="str">
        <f>IF(_xlfn.XLOOKUP(BR$14,TableTransport['#],TableTransport[Contaminated land remediation (if applicable)])&lt;&gt;"",_xlfn.XLOOKUP(BR$14,TableTransport['#],TableTransport[Contaminated land remediation (if applicable)]),"")</f>
        <v/>
      </c>
      <c r="BS27" s="347" t="str" cm="1">
        <f t="array" ref="BS27">IFERROR(INDEX('Variable index'!$E$68:$F$73,MATCH(BR$27,'Variable index'!$C$68:$C$73,0),$D$12),"")</f>
        <v/>
      </c>
      <c r="BV27" s="345" t="str">
        <f>IF(_xlfn.XLOOKUP(BV$14,TableTransport['#],TableTransport[Contaminated land remediation (if applicable)])&lt;&gt;"",_xlfn.XLOOKUP(BV$14,TableTransport['#],TableTransport[Contaminated land remediation (if applicable)]),"")</f>
        <v/>
      </c>
      <c r="BW27" s="347" t="str" cm="1">
        <f t="array" ref="BW27">IFERROR(INDEX('Variable index'!$E$68:$F$73,MATCH(BV$27,'Variable index'!$C$68:$C$73,0),$D$12),"")</f>
        <v/>
      </c>
      <c r="BZ27" s="345" t="str">
        <f>IF(_xlfn.XLOOKUP(BZ$14,TableTransport['#],TableTransport[Contaminated land remediation (if applicable)])&lt;&gt;"",_xlfn.XLOOKUP(BZ$14,TableTransport['#],TableTransport[Contaminated land remediation (if applicable)]),"")</f>
        <v/>
      </c>
      <c r="CA27" s="347" t="str" cm="1">
        <f t="array" ref="CA27">IFERROR(INDEX('Variable index'!$E$68:$F$73,MATCH(BZ$27,'Variable index'!$C$68:$C$73,0),$D$12),"")</f>
        <v/>
      </c>
      <c r="CD27" s="345" t="str">
        <f>IF(_xlfn.XLOOKUP(CD$14,TableTransport['#],TableTransport[Contaminated land remediation (if applicable)])&lt;&gt;"",_xlfn.XLOOKUP(CD$14,TableTransport['#],TableTransport[Contaminated land remediation (if applicable)]),"")</f>
        <v/>
      </c>
      <c r="CE27" s="347" t="str" cm="1">
        <f t="array" ref="CE27">IFERROR(INDEX('Variable index'!$E$68:$F$73,MATCH(CD$27,'Variable index'!$C$68:$C$73,0),$D$12),"")</f>
        <v/>
      </c>
      <c r="CH27" s="345" t="str">
        <f>IF(_xlfn.XLOOKUP(CH$14,TableTransport['#],TableTransport[Contaminated land remediation (if applicable)])&lt;&gt;"",_xlfn.XLOOKUP(CH$14,TableTransport['#],TableTransport[Contaminated land remediation (if applicable)]),"")</f>
        <v/>
      </c>
      <c r="CI27" s="347" t="str" cm="1">
        <f t="array" ref="CI27">IFERROR(INDEX('Variable index'!$E$68:$F$73,MATCH(CH$27,'Variable index'!$C$68:$C$73,0),$D$12),"")</f>
        <v/>
      </c>
      <c r="CL27" s="345" t="str">
        <f>IF(_xlfn.XLOOKUP(CL$14,TableTransport['#],TableTransport[Contaminated land remediation (if applicable)])&lt;&gt;"",_xlfn.XLOOKUP(CL$14,TableTransport['#],TableTransport[Contaminated land remediation (if applicable)]),"")</f>
        <v/>
      </c>
      <c r="CM27" s="347" t="str" cm="1">
        <f t="array" ref="CM27">IFERROR(INDEX('Variable index'!$E$68:$F$73,MATCH(CL$27,'Variable index'!$C$68:$C$73,0),$D$12),"")</f>
        <v/>
      </c>
      <c r="CP27" s="345" t="str">
        <f>IF(_xlfn.XLOOKUP(CP$14,TableTransport['#],TableTransport[Contaminated land remediation (if applicable)])&lt;&gt;"",_xlfn.XLOOKUP(CP$14,TableTransport['#],TableTransport[Contaminated land remediation (if applicable)]),"")</f>
        <v/>
      </c>
      <c r="CQ27" s="347" t="str" cm="1">
        <f t="array" ref="CQ27">IFERROR(INDEX('Variable index'!$E$68:$F$73,MATCH(CP$27,'Variable index'!$C$68:$C$73,0),$D$12),"")</f>
        <v/>
      </c>
      <c r="CT27" s="345" t="str">
        <f>IF(_xlfn.XLOOKUP(CT$14,TableTransport['#],TableTransport[Contaminated land remediation (if applicable)])&lt;&gt;"",_xlfn.XLOOKUP(CT$14,TableTransport['#],TableTransport[Contaminated land remediation (if applicable)]),"")</f>
        <v/>
      </c>
      <c r="CU27" s="347" t="str" cm="1">
        <f t="array" ref="CU27">IFERROR(INDEX('Variable index'!$E$68:$F$73,MATCH(CT$27,'Variable index'!$C$68:$C$73,0),$D$12),"")</f>
        <v/>
      </c>
      <c r="CX27" s="345" t="str">
        <f>IF(_xlfn.XLOOKUP(CX$14,TableTransport['#],TableTransport[Contaminated land remediation (if applicable)])&lt;&gt;"",_xlfn.XLOOKUP(CX$14,TableTransport['#],TableTransport[Contaminated land remediation (if applicable)]),"")</f>
        <v/>
      </c>
      <c r="CY27" s="347" t="str" cm="1">
        <f t="array" ref="CY27">IFERROR(INDEX('Variable index'!$E$68:$F$73,MATCH(CX$27,'Variable index'!$C$68:$C$73,0),$D$12),"")</f>
        <v/>
      </c>
      <c r="DB27" s="345" t="str">
        <f>IF(_xlfn.XLOOKUP(DB$14,TableTransport['#],TableTransport[Contaminated land remediation (if applicable)])&lt;&gt;"",_xlfn.XLOOKUP(DB$14,TableTransport['#],TableTransport[Contaminated land remediation (if applicable)]),"")</f>
        <v/>
      </c>
      <c r="DC27" s="347" t="str" cm="1">
        <f t="array" ref="DC27">IFERROR(INDEX('Variable index'!$E$68:$F$73,MATCH(DB$27,'Variable index'!$C$68:$C$73,0),$D$12),"")</f>
        <v/>
      </c>
      <c r="DF27" s="345" t="str">
        <f>IF(_xlfn.XLOOKUP(DF$14,TableTransport['#],TableTransport[Contaminated land remediation (if applicable)])&lt;&gt;"",_xlfn.XLOOKUP(DF$14,TableTransport['#],TableTransport[Contaminated land remediation (if applicable)]),"")</f>
        <v/>
      </c>
      <c r="DG27" s="347" t="str" cm="1">
        <f t="array" ref="DG27">IFERROR(INDEX('Variable index'!$E$68:$F$73,MATCH(DF$27,'Variable index'!$C$68:$C$73,0),$D$12),"")</f>
        <v/>
      </c>
      <c r="DJ27" s="345" t="str">
        <f>IF(_xlfn.XLOOKUP(DJ$14,TableTransport['#],TableTransport[Contaminated land remediation (if applicable)])&lt;&gt;"",_xlfn.XLOOKUP(DJ$14,TableTransport['#],TableTransport[Contaminated land remediation (if applicable)]),"")</f>
        <v/>
      </c>
      <c r="DK27" s="347" t="str" cm="1">
        <f t="array" ref="DK27">IFERROR(INDEX('Variable index'!$E$68:$F$73,MATCH(DJ$27,'Variable index'!$C$68:$C$73,0),$D$12),"")</f>
        <v/>
      </c>
      <c r="DN27" s="345" t="str">
        <f>IF(_xlfn.XLOOKUP(DN$14,TableTransport['#],TableTransport[Contaminated land remediation (if applicable)])&lt;&gt;"",_xlfn.XLOOKUP(DN$14,TableTransport['#],TableTransport[Contaminated land remediation (if applicable)]),"")</f>
        <v/>
      </c>
      <c r="DO27" s="347" t="str" cm="1">
        <f t="array" ref="DO27">IFERROR(INDEX('Variable index'!$E$68:$F$73,MATCH(DN$27,'Variable index'!$C$68:$C$73,0),$D$12),"")</f>
        <v/>
      </c>
      <c r="DR27" s="345" t="str">
        <f>IF(_xlfn.XLOOKUP(DR$14,TableTransport['#],TableTransport[Contaminated land remediation (if applicable)])&lt;&gt;"",_xlfn.XLOOKUP(DR$14,TableTransport['#],TableTransport[Contaminated land remediation (if applicable)]),"")</f>
        <v/>
      </c>
      <c r="DS27" s="347" t="str" cm="1">
        <f t="array" ref="DS27">IFERROR(INDEX('Variable index'!$E$68:$F$73,MATCH(DR$27,'Variable index'!$C$68:$C$73,0),$D$12),"")</f>
        <v/>
      </c>
      <c r="DV27" s="345" t="str">
        <f>IF(_xlfn.XLOOKUP(DV$14,TableTransport['#],TableTransport[Contaminated land remediation (if applicable)])&lt;&gt;"",_xlfn.XLOOKUP(DV$14,TableTransport['#],TableTransport[Contaminated land remediation (if applicable)]),"")</f>
        <v/>
      </c>
      <c r="DW27" s="347" t="str" cm="1">
        <f t="array" ref="DW27">IFERROR(INDEX('Variable index'!$E$68:$F$73,MATCH(DV$27,'Variable index'!$C$68:$C$73,0),$D$12),"")</f>
        <v/>
      </c>
      <c r="DZ27" s="345" t="str">
        <f>IF(_xlfn.XLOOKUP(DZ$14,TableTransport['#],TableTransport[Contaminated land remediation (if applicable)])&lt;&gt;"",_xlfn.XLOOKUP(DZ$14,TableTransport['#],TableTransport[Contaminated land remediation (if applicable)]),"")</f>
        <v/>
      </c>
      <c r="EA27" s="347" t="str" cm="1">
        <f t="array" ref="EA27">IFERROR(INDEX('Variable index'!$E$68:$F$73,MATCH(DZ$27,'Variable index'!$C$68:$C$73,0),$D$12),"")</f>
        <v/>
      </c>
      <c r="ED27" s="345" t="str">
        <f>IF(_xlfn.XLOOKUP(ED$14,TableTransport['#],TableTransport[Contaminated land remediation (if applicable)])&lt;&gt;"",_xlfn.XLOOKUP(ED$14,TableTransport['#],TableTransport[Contaminated land remediation (if applicable)]),"")</f>
        <v/>
      </c>
      <c r="EE27" s="347" t="str" cm="1">
        <f t="array" ref="EE27">IFERROR(INDEX('Variable index'!$E$68:$F$73,MATCH(ED$27,'Variable index'!$C$68:$C$73,0),$D$12),"")</f>
        <v/>
      </c>
      <c r="EH27" s="345" t="str">
        <f>IF(_xlfn.XLOOKUP(EH$14,TableTransport['#],TableTransport[Contaminated land remediation (if applicable)])&lt;&gt;"",_xlfn.XLOOKUP(EH$14,TableTransport['#],TableTransport[Contaminated land remediation (if applicable)]),"")</f>
        <v/>
      </c>
      <c r="EI27" s="347" t="str" cm="1">
        <f t="array" ref="EI27">IFERROR(INDEX('Variable index'!$E$68:$F$73,MATCH(EH$27,'Variable index'!$C$68:$C$73,0),$D$12),"")</f>
        <v/>
      </c>
      <c r="EL27" s="345" t="str">
        <f>IF(_xlfn.XLOOKUP(EL$14,TableTransport['#],TableTransport[Contaminated land remediation (if applicable)])&lt;&gt;"",_xlfn.XLOOKUP(EL$14,TableTransport['#],TableTransport[Contaminated land remediation (if applicable)]),"")</f>
        <v/>
      </c>
      <c r="EM27" s="347" t="str" cm="1">
        <f t="array" ref="EM27">IFERROR(INDEX('Variable index'!$E$68:$F$73,MATCH(EL$27,'Variable index'!$C$68:$C$73,0),$D$12),"")</f>
        <v/>
      </c>
      <c r="EP27" s="345" t="str">
        <f>IF(_xlfn.XLOOKUP(EP$14,TableTransport['#],TableTransport[Contaminated land remediation (if applicable)])&lt;&gt;"",_xlfn.XLOOKUP(EP$14,TableTransport['#],TableTransport[Contaminated land remediation (if applicable)]),"")</f>
        <v/>
      </c>
      <c r="EQ27" s="347" t="str" cm="1">
        <f t="array" ref="EQ27">IFERROR(INDEX('Variable index'!$E$68:$F$73,MATCH(EP$27,'Variable index'!$C$68:$C$73,0),$D$12),"")</f>
        <v/>
      </c>
      <c r="ET27" s="345" t="str">
        <f>IF(_xlfn.XLOOKUP(ET$14,TableTransport['#],TableTransport[Contaminated land remediation (if applicable)])&lt;&gt;"",_xlfn.XLOOKUP(ET$14,TableTransport['#],TableTransport[Contaminated land remediation (if applicable)]),"")</f>
        <v/>
      </c>
      <c r="EU27" s="347" t="str" cm="1">
        <f t="array" ref="EU27">IFERROR(INDEX('Variable index'!$E$68:$F$73,MATCH(ET$27,'Variable index'!$C$68:$C$73,0),$D$12),"")</f>
        <v/>
      </c>
      <c r="EX27" s="345" t="str">
        <f>IF(_xlfn.XLOOKUP(EX$14,TableTransport['#],TableTransport[Contaminated land remediation (if applicable)])&lt;&gt;"",_xlfn.XLOOKUP(EX$14,TableTransport['#],TableTransport[Contaminated land remediation (if applicable)]),"")</f>
        <v/>
      </c>
      <c r="EY27" s="347" t="str" cm="1">
        <f t="array" ref="EY27">IFERROR(INDEX('Variable index'!$E$68:$F$73,MATCH(EX$27,'Variable index'!$C$68:$C$73,0),$D$12),"")</f>
        <v/>
      </c>
      <c r="FB27" s="345" t="str">
        <f>IF(_xlfn.XLOOKUP(FB$14,TableTransport['#],TableTransport[Contaminated land remediation (if applicable)])&lt;&gt;"",_xlfn.XLOOKUP(FB$14,TableTransport['#],TableTransport[Contaminated land remediation (if applicable)]),"")</f>
        <v/>
      </c>
      <c r="FC27" s="347" t="str" cm="1">
        <f t="array" ref="FC27">IFERROR(INDEX('Variable index'!$E$68:$F$73,MATCH(FB$27,'Variable index'!$C$68:$C$73,0),$D$12),"")</f>
        <v/>
      </c>
      <c r="FF27" s="345" t="str">
        <f>IF(_xlfn.XLOOKUP(FF$14,TableTransport['#],TableTransport[Contaminated land remediation (if applicable)])&lt;&gt;"",_xlfn.XLOOKUP(FF$14,TableTransport['#],TableTransport[Contaminated land remediation (if applicable)]),"")</f>
        <v/>
      </c>
      <c r="FG27" s="347" t="str" cm="1">
        <f t="array" ref="FG27">IFERROR(INDEX('Variable index'!$E$68:$F$73,MATCH(FF$27,'Variable index'!$C$68:$C$73,0),$D$12),"")</f>
        <v/>
      </c>
      <c r="FJ27" s="345" t="str">
        <f>IF(_xlfn.XLOOKUP(FJ$14,TableTransport['#],TableTransport[Contaminated land remediation (if applicable)])&lt;&gt;"",_xlfn.XLOOKUP(FJ$14,TableTransport['#],TableTransport[Contaminated land remediation (if applicable)]),"")</f>
        <v/>
      </c>
      <c r="FK27" s="347" t="str" cm="1">
        <f t="array" ref="FK27">IFERROR(INDEX('Variable index'!$E$68:$F$73,MATCH(FJ$27,'Variable index'!$C$68:$C$73,0),$D$12),"")</f>
        <v/>
      </c>
      <c r="FN27" s="345" t="str">
        <f>IF(_xlfn.XLOOKUP(FN$14,TableTransport['#],TableTransport[Contaminated land remediation (if applicable)])&lt;&gt;"",_xlfn.XLOOKUP(FN$14,TableTransport['#],TableTransport[Contaminated land remediation (if applicable)]),"")</f>
        <v/>
      </c>
      <c r="FO27" s="347" t="str" cm="1">
        <f t="array" ref="FO27">IFERROR(INDEX('Variable index'!$E$68:$F$73,MATCH(FN$27,'Variable index'!$C$68:$C$73,0),$D$12),"")</f>
        <v/>
      </c>
      <c r="FR27" s="345" t="str">
        <f>IF(_xlfn.XLOOKUP(FR$14,TableTransport['#],TableTransport[Contaminated land remediation (if applicable)])&lt;&gt;"",_xlfn.XLOOKUP(FR$14,TableTransport['#],TableTransport[Contaminated land remediation (if applicable)]),"")</f>
        <v/>
      </c>
      <c r="FS27" s="347" t="str" cm="1">
        <f t="array" ref="FS27">IFERROR(INDEX('Variable index'!$E$68:$F$73,MATCH(FR$27,'Variable index'!$C$68:$C$73,0),$D$12),"")</f>
        <v/>
      </c>
      <c r="FV27" s="345" t="str">
        <f>IF(_xlfn.XLOOKUP(FV$14,TableTransport['#],TableTransport[Contaminated land remediation (if applicable)])&lt;&gt;"",_xlfn.XLOOKUP(FV$14,TableTransport['#],TableTransport[Contaminated land remediation (if applicable)]),"")</f>
        <v/>
      </c>
      <c r="FW27" s="347" t="str" cm="1">
        <f t="array" ref="FW27">IFERROR(INDEX('Variable index'!$E$68:$F$73,MATCH(FV$27,'Variable index'!$C$68:$C$73,0),$D$12),"")</f>
        <v/>
      </c>
      <c r="FZ27" s="345" t="str">
        <f>IF(_xlfn.XLOOKUP(FZ$14,TableTransport['#],TableTransport[Contaminated land remediation (if applicable)])&lt;&gt;"",_xlfn.XLOOKUP(FZ$14,TableTransport['#],TableTransport[Contaminated land remediation (if applicable)]),"")</f>
        <v/>
      </c>
      <c r="GA27" s="347" t="str" cm="1">
        <f t="array" ref="GA27">IFERROR(INDEX('Variable index'!$E$68:$F$73,MATCH(FZ$27,'Variable index'!$C$68:$C$73,0),$D$12),"")</f>
        <v/>
      </c>
      <c r="GD27" s="345" t="str">
        <f>IF(_xlfn.XLOOKUP(GD$14,TableTransport['#],TableTransport[Contaminated land remediation (if applicable)])&lt;&gt;"",_xlfn.XLOOKUP(GD$14,TableTransport['#],TableTransport[Contaminated land remediation (if applicable)]),"")</f>
        <v/>
      </c>
      <c r="GE27" s="347" t="str" cm="1">
        <f t="array" ref="GE27">IFERROR(INDEX('Variable index'!$E$68:$F$73,MATCH(GD$27,'Variable index'!$C$68:$C$73,0),$D$12),"")</f>
        <v/>
      </c>
      <c r="GH27" s="345" t="str">
        <f>IF(_xlfn.XLOOKUP(GH$14,TableTransport['#],TableTransport[Contaminated land remediation (if applicable)])&lt;&gt;"",_xlfn.XLOOKUP(GH$14,TableTransport['#],TableTransport[Contaminated land remediation (if applicable)]),"")</f>
        <v/>
      </c>
      <c r="GI27" s="347" t="str" cm="1">
        <f t="array" ref="GI27">IFERROR(INDEX('Variable index'!$E$68:$F$73,MATCH(GH$27,'Variable index'!$C$68:$C$73,0),$D$12),"")</f>
        <v/>
      </c>
      <c r="GL27" s="345" t="str">
        <f>IF(_xlfn.XLOOKUP(GL$14,TableTransport['#],TableTransport[Contaminated land remediation (if applicable)])&lt;&gt;"",_xlfn.XLOOKUP(GL$14,TableTransport['#],TableTransport[Contaminated land remediation (if applicable)]),"")</f>
        <v/>
      </c>
      <c r="GM27" s="347" t="str" cm="1">
        <f t="array" ref="GM27">IFERROR(INDEX('Variable index'!$E$68:$F$73,MATCH(GL$27,'Variable index'!$C$68:$C$73,0),$D$12),"")</f>
        <v/>
      </c>
      <c r="GP27" s="345" t="str">
        <f>IF(_xlfn.XLOOKUP(GP$14,TableTransport['#],TableTransport[Contaminated land remediation (if applicable)])&lt;&gt;"",_xlfn.XLOOKUP(GP$14,TableTransport['#],TableTransport[Contaminated land remediation (if applicable)]),"")</f>
        <v/>
      </c>
      <c r="GQ27" s="347" t="str" cm="1">
        <f t="array" ref="GQ27">IFERROR(INDEX('Variable index'!$E$68:$F$73,MATCH(GP$27,'Variable index'!$C$68:$C$73,0),$D$12),"")</f>
        <v/>
      </c>
      <c r="GT27" s="345" t="str">
        <f>IF(_xlfn.XLOOKUP(GT$14,TableTransport['#],TableTransport[Contaminated land remediation (if applicable)])&lt;&gt;"",_xlfn.XLOOKUP(GT$14,TableTransport['#],TableTransport[Contaminated land remediation (if applicable)]),"")</f>
        <v/>
      </c>
      <c r="GU27" s="347" t="str" cm="1">
        <f t="array" ref="GU27">IFERROR(INDEX('Variable index'!$E$68:$F$73,MATCH(GT$27,'Variable index'!$C$68:$C$73,0),$D$12),"")</f>
        <v/>
      </c>
    </row>
    <row r="28" spans="4:204" x14ac:dyDescent="0.2">
      <c r="D28" t="s">
        <v>156</v>
      </c>
      <c r="F28" s="348" t="str">
        <f>IF(_xlfn.XLOOKUP(F$14,TableTransport['#],TableTransport[Contaminated land area (in square metres)])&lt;&gt;"",_xlfn.XLOOKUP(F$14,TableTransport['#],TableTransport[Contaminated land area (in square metres)]),"")</f>
        <v/>
      </c>
      <c r="H28" s="168" t="str">
        <f>IFERROR(G27*F28,"")</f>
        <v/>
      </c>
      <c r="J28" s="348" t="str">
        <f>IF(_xlfn.XLOOKUP(J$14,TableTransport['#],TableTransport[Contaminated land area (in square metres)])&lt;&gt;"",_xlfn.XLOOKUP(J$14,TableTransport['#],TableTransport[Contaminated land area (in square metres)]),"")</f>
        <v/>
      </c>
      <c r="L28" s="168" t="str">
        <f>IFERROR(K27*J28,"")</f>
        <v/>
      </c>
      <c r="N28" s="348" t="str">
        <f>IF(_xlfn.XLOOKUP(N$14,TableTransport['#],TableTransport[Contaminated land area (in square metres)])&lt;&gt;"",_xlfn.XLOOKUP(N$14,TableTransport['#],TableTransport[Contaminated land area (in square metres)]),"")</f>
        <v/>
      </c>
      <c r="P28" s="168" t="str">
        <f>IFERROR(O27*N28,"")</f>
        <v/>
      </c>
      <c r="R28" s="348" t="str">
        <f>IF(_xlfn.XLOOKUP(R$14,TableTransport['#],TableTransport[Contaminated land area (in square metres)])&lt;&gt;"",_xlfn.XLOOKUP(R$14,TableTransport['#],TableTransport[Contaminated land area (in square metres)]),"")</f>
        <v/>
      </c>
      <c r="T28" s="168" t="str">
        <f>IFERROR(S27*R28,"")</f>
        <v/>
      </c>
      <c r="V28" s="348" t="str">
        <f>IF(_xlfn.XLOOKUP(V$14,TableTransport['#],TableTransport[Contaminated land area (in square metres)])&lt;&gt;"",_xlfn.XLOOKUP(V$14,TableTransport['#],TableTransport[Contaminated land area (in square metres)]),"")</f>
        <v/>
      </c>
      <c r="X28" s="168" t="str">
        <f>IFERROR(W27*V28,"")</f>
        <v/>
      </c>
      <c r="Z28" s="348" t="str">
        <f>IF(_xlfn.XLOOKUP(Z$14,TableTransport['#],TableTransport[Contaminated land area (in square metres)])&lt;&gt;"",_xlfn.XLOOKUP(Z$14,TableTransport['#],TableTransport[Contaminated land area (in square metres)]),"")</f>
        <v/>
      </c>
      <c r="AB28" s="168" t="str">
        <f>IFERROR(AA27*Z28,"")</f>
        <v/>
      </c>
      <c r="AD28" s="348" t="str">
        <f>IF(_xlfn.XLOOKUP(AD$14,TableTransport['#],TableTransport[Contaminated land area (in square metres)])&lt;&gt;"",_xlfn.XLOOKUP(AD$14,TableTransport['#],TableTransport[Contaminated land area (in square metres)]),"")</f>
        <v/>
      </c>
      <c r="AF28" s="168" t="str">
        <f>IFERROR(AE27*AD28,"")</f>
        <v/>
      </c>
      <c r="AH28" s="348" t="str">
        <f>IF(_xlfn.XLOOKUP(AH$14,TableTransport['#],TableTransport[Contaminated land area (in square metres)])&lt;&gt;"",_xlfn.XLOOKUP(AH$14,TableTransport['#],TableTransport[Contaminated land area (in square metres)]),"")</f>
        <v/>
      </c>
      <c r="AJ28" s="168" t="str">
        <f>IFERROR(AI27*AH28,"")</f>
        <v/>
      </c>
      <c r="AL28" s="348" t="str">
        <f>IF(_xlfn.XLOOKUP(AL$14,TableTransport['#],TableTransport[Contaminated land area (in square metres)])&lt;&gt;"",_xlfn.XLOOKUP(AL$14,TableTransport['#],TableTransport[Contaminated land area (in square metres)]),"")</f>
        <v/>
      </c>
      <c r="AN28" s="168" t="str">
        <f>IFERROR(AM27*AL28,"")</f>
        <v/>
      </c>
      <c r="AP28" s="348" t="str">
        <f>IF(_xlfn.XLOOKUP(AP$14,TableTransport['#],TableTransport[Contaminated land area (in square metres)])&lt;&gt;"",_xlfn.XLOOKUP(AP$14,TableTransport['#],TableTransport[Contaminated land area (in square metres)]),"")</f>
        <v/>
      </c>
      <c r="AR28" s="168" t="str">
        <f>IFERROR(AQ27*AP28,"")</f>
        <v/>
      </c>
      <c r="AT28" s="348" t="str">
        <f>IF(_xlfn.XLOOKUP(AT$14,TableTransport['#],TableTransport[Contaminated land area (in square metres)])&lt;&gt;"",_xlfn.XLOOKUP(AT$14,TableTransport['#],TableTransport[Contaminated land area (in square metres)]),"")</f>
        <v/>
      </c>
      <c r="AV28" s="168" t="str">
        <f>IFERROR(AU27*AT28,"")</f>
        <v/>
      </c>
      <c r="AX28" s="348" t="str">
        <f>IF(_xlfn.XLOOKUP(AX$14,TableTransport['#],TableTransport[Contaminated land area (in square metres)])&lt;&gt;"",_xlfn.XLOOKUP(AX$14,TableTransport['#],TableTransport[Contaminated land area (in square metres)]),"")</f>
        <v/>
      </c>
      <c r="AZ28" s="168" t="str">
        <f>IFERROR(AY27*AX28,"")</f>
        <v/>
      </c>
      <c r="BB28" s="348" t="str">
        <f>IF(_xlfn.XLOOKUP(BB$14,TableTransport['#],TableTransport[Contaminated land area (in square metres)])&lt;&gt;"",_xlfn.XLOOKUP(BB$14,TableTransport['#],TableTransport[Contaminated land area (in square metres)]),"")</f>
        <v/>
      </c>
      <c r="BD28" s="168" t="str">
        <f>IFERROR(BC27*BB28,"")</f>
        <v/>
      </c>
      <c r="BF28" s="348" t="str">
        <f>IF(_xlfn.XLOOKUP(BF$14,TableTransport['#],TableTransport[Contaminated land area (in square metres)])&lt;&gt;"",_xlfn.XLOOKUP(BF$14,TableTransport['#],TableTransport[Contaminated land area (in square metres)]),"")</f>
        <v/>
      </c>
      <c r="BH28" s="168" t="str">
        <f>IFERROR(BG27*BF28,"")</f>
        <v/>
      </c>
      <c r="BJ28" s="348" t="str">
        <f>IF(_xlfn.XLOOKUP(BJ$14,TableTransport['#],TableTransport[Contaminated land area (in square metres)])&lt;&gt;"",_xlfn.XLOOKUP(BJ$14,TableTransport['#],TableTransport[Contaminated land area (in square metres)]),"")</f>
        <v/>
      </c>
      <c r="BL28" s="168" t="str">
        <f>IFERROR(BK27*BJ28,"")</f>
        <v/>
      </c>
      <c r="BN28" s="348" t="str">
        <f>IF(_xlfn.XLOOKUP(BN$14,TableTransport['#],TableTransport[Contaminated land area (in square metres)])&lt;&gt;"",_xlfn.XLOOKUP(BN$14,TableTransport['#],TableTransport[Contaminated land area (in square metres)]),"")</f>
        <v/>
      </c>
      <c r="BP28" s="168" t="str">
        <f>IFERROR(BO27*BN28,"")</f>
        <v/>
      </c>
      <c r="BR28" s="348" t="str">
        <f>IF(_xlfn.XLOOKUP(BR$14,TableTransport['#],TableTransport[Contaminated land area (in square metres)])&lt;&gt;"",_xlfn.XLOOKUP(BR$14,TableTransport['#],TableTransport[Contaminated land area (in square metres)]),"")</f>
        <v/>
      </c>
      <c r="BT28" s="168" t="str">
        <f>IFERROR(BS27*BR28,"")</f>
        <v/>
      </c>
      <c r="BV28" s="348" t="str">
        <f>IF(_xlfn.XLOOKUP(BV$14,TableTransport['#],TableTransport[Contaminated land area (in square metres)])&lt;&gt;"",_xlfn.XLOOKUP(BV$14,TableTransport['#],TableTransport[Contaminated land area (in square metres)]),"")</f>
        <v/>
      </c>
      <c r="BX28" s="168" t="str">
        <f>IFERROR(BW27*BV28,"")</f>
        <v/>
      </c>
      <c r="BZ28" s="348" t="str">
        <f>IF(_xlfn.XLOOKUP(BZ$14,TableTransport['#],TableTransport[Contaminated land area (in square metres)])&lt;&gt;"",_xlfn.XLOOKUP(BZ$14,TableTransport['#],TableTransport[Contaminated land area (in square metres)]),"")</f>
        <v/>
      </c>
      <c r="CB28" s="168" t="str">
        <f>IFERROR(CA27*BZ28,"")</f>
        <v/>
      </c>
      <c r="CD28" s="348" t="str">
        <f>IF(_xlfn.XLOOKUP(CD$14,TableTransport['#],TableTransport[Contaminated land area (in square metres)])&lt;&gt;"",_xlfn.XLOOKUP(CD$14,TableTransport['#],TableTransport[Contaminated land area (in square metres)]),"")</f>
        <v/>
      </c>
      <c r="CF28" s="168" t="str">
        <f>IFERROR(CE27*CD28,"")</f>
        <v/>
      </c>
      <c r="CH28" s="348" t="str">
        <f>IF(_xlfn.XLOOKUP(CH$14,TableTransport['#],TableTransport[Contaminated land area (in square metres)])&lt;&gt;"",_xlfn.XLOOKUP(CH$14,TableTransport['#],TableTransport[Contaminated land area (in square metres)]),"")</f>
        <v/>
      </c>
      <c r="CJ28" s="168" t="str">
        <f>IFERROR(CI27*CH28,"")</f>
        <v/>
      </c>
      <c r="CL28" s="348" t="str">
        <f>IF(_xlfn.XLOOKUP(CL$14,TableTransport['#],TableTransport[Contaminated land area (in square metres)])&lt;&gt;"",_xlfn.XLOOKUP(CL$14,TableTransport['#],TableTransport[Contaminated land area (in square metres)]),"")</f>
        <v/>
      </c>
      <c r="CN28" s="168" t="str">
        <f>IFERROR(CM27*CL28,"")</f>
        <v/>
      </c>
      <c r="CP28" s="348" t="str">
        <f>IF(_xlfn.XLOOKUP(CP$14,TableTransport['#],TableTransport[Contaminated land area (in square metres)])&lt;&gt;"",_xlfn.XLOOKUP(CP$14,TableTransport['#],TableTransport[Contaminated land area (in square metres)]),"")</f>
        <v/>
      </c>
      <c r="CR28" s="168" t="str">
        <f>IFERROR(CQ27*CP28,"")</f>
        <v/>
      </c>
      <c r="CT28" s="348" t="str">
        <f>IF(_xlfn.XLOOKUP(CT$14,TableTransport['#],TableTransport[Contaminated land area (in square metres)])&lt;&gt;"",_xlfn.XLOOKUP(CT$14,TableTransport['#],TableTransport[Contaminated land area (in square metres)]),"")</f>
        <v/>
      </c>
      <c r="CV28" s="168" t="str">
        <f>IFERROR(CU27*CT28,"")</f>
        <v/>
      </c>
      <c r="CX28" s="348" t="str">
        <f>IF(_xlfn.XLOOKUP(CX$14,TableTransport['#],TableTransport[Contaminated land area (in square metres)])&lt;&gt;"",_xlfn.XLOOKUP(CX$14,TableTransport['#],TableTransport[Contaminated land area (in square metres)]),"")</f>
        <v/>
      </c>
      <c r="CZ28" s="168" t="str">
        <f>IFERROR(CY27*CX28,"")</f>
        <v/>
      </c>
      <c r="DB28" s="348" t="str">
        <f>IF(_xlfn.XLOOKUP(DB$14,TableTransport['#],TableTransport[Contaminated land area (in square metres)])&lt;&gt;"",_xlfn.XLOOKUP(DB$14,TableTransport['#],TableTransport[Contaminated land area (in square metres)]),"")</f>
        <v/>
      </c>
      <c r="DD28" s="168" t="str">
        <f>IFERROR(DC27*DB28,"")</f>
        <v/>
      </c>
      <c r="DF28" s="348" t="str">
        <f>IF(_xlfn.XLOOKUP(DF$14,TableTransport['#],TableTransport[Contaminated land area (in square metres)])&lt;&gt;"",_xlfn.XLOOKUP(DF$14,TableTransport['#],TableTransport[Contaminated land area (in square metres)]),"")</f>
        <v/>
      </c>
      <c r="DH28" s="168" t="str">
        <f>IFERROR(DG27*DF28,"")</f>
        <v/>
      </c>
      <c r="DJ28" s="348" t="str">
        <f>IF(_xlfn.XLOOKUP(DJ$14,TableTransport['#],TableTransport[Contaminated land area (in square metres)])&lt;&gt;"",_xlfn.XLOOKUP(DJ$14,TableTransport['#],TableTransport[Contaminated land area (in square metres)]),"")</f>
        <v/>
      </c>
      <c r="DL28" s="168" t="str">
        <f>IFERROR(DK27*DJ28,"")</f>
        <v/>
      </c>
      <c r="DN28" s="348" t="str">
        <f>IF(_xlfn.XLOOKUP(DN$14,TableTransport['#],TableTransport[Contaminated land area (in square metres)])&lt;&gt;"",_xlfn.XLOOKUP(DN$14,TableTransport['#],TableTransport[Contaminated land area (in square metres)]),"")</f>
        <v/>
      </c>
      <c r="DP28" s="168" t="str">
        <f>IFERROR(DO27*DN28,"")</f>
        <v/>
      </c>
      <c r="DR28" s="348" t="str">
        <f>IF(_xlfn.XLOOKUP(DR$14,TableTransport['#],TableTransport[Contaminated land area (in square metres)])&lt;&gt;"",_xlfn.XLOOKUP(DR$14,TableTransport['#],TableTransport[Contaminated land area (in square metres)]),"")</f>
        <v/>
      </c>
      <c r="DT28" s="168" t="str">
        <f>IFERROR(DS27*DR28,"")</f>
        <v/>
      </c>
      <c r="DV28" s="348" t="str">
        <f>IF(_xlfn.XLOOKUP(DV$14,TableTransport['#],TableTransport[Contaminated land area (in square metres)])&lt;&gt;"",_xlfn.XLOOKUP(DV$14,TableTransport['#],TableTransport[Contaminated land area (in square metres)]),"")</f>
        <v/>
      </c>
      <c r="DX28" s="168" t="str">
        <f>IFERROR(DW27*DV28,"")</f>
        <v/>
      </c>
      <c r="DZ28" s="348" t="str">
        <f>IF(_xlfn.XLOOKUP(DZ$14,TableTransport['#],TableTransport[Contaminated land area (in square metres)])&lt;&gt;"",_xlfn.XLOOKUP(DZ$14,TableTransport['#],TableTransport[Contaminated land area (in square metres)]),"")</f>
        <v/>
      </c>
      <c r="EB28" s="168" t="str">
        <f>IFERROR(EA27*DZ28,"")</f>
        <v/>
      </c>
      <c r="ED28" s="348" t="str">
        <f>IF(_xlfn.XLOOKUP(ED$14,TableTransport['#],TableTransport[Contaminated land area (in square metres)])&lt;&gt;"",_xlfn.XLOOKUP(ED$14,TableTransport['#],TableTransport[Contaminated land area (in square metres)]),"")</f>
        <v/>
      </c>
      <c r="EF28" s="168" t="str">
        <f>IFERROR(EE27*ED28,"")</f>
        <v/>
      </c>
      <c r="EH28" s="348" t="str">
        <f>IF(_xlfn.XLOOKUP(EH$14,TableTransport['#],TableTransport[Contaminated land area (in square metres)])&lt;&gt;"",_xlfn.XLOOKUP(EH$14,TableTransport['#],TableTransport[Contaminated land area (in square metres)]),"")</f>
        <v/>
      </c>
      <c r="EJ28" s="168" t="str">
        <f>IFERROR(EI27*EH28,"")</f>
        <v/>
      </c>
      <c r="EL28" s="348" t="str">
        <f>IF(_xlfn.XLOOKUP(EL$14,TableTransport['#],TableTransport[Contaminated land area (in square metres)])&lt;&gt;"",_xlfn.XLOOKUP(EL$14,TableTransport['#],TableTransport[Contaminated land area (in square metres)]),"")</f>
        <v/>
      </c>
      <c r="EN28" s="168" t="str">
        <f>IFERROR(EM27*EL28,"")</f>
        <v/>
      </c>
      <c r="EP28" s="348" t="str">
        <f>IF(_xlfn.XLOOKUP(EP$14,TableTransport['#],TableTransport[Contaminated land area (in square metres)])&lt;&gt;"",_xlfn.XLOOKUP(EP$14,TableTransport['#],TableTransport[Contaminated land area (in square metres)]),"")</f>
        <v/>
      </c>
      <c r="ER28" s="168" t="str">
        <f>IFERROR(EQ27*EP28,"")</f>
        <v/>
      </c>
      <c r="ET28" s="348" t="str">
        <f>IF(_xlfn.XLOOKUP(ET$14,TableTransport['#],TableTransport[Contaminated land area (in square metres)])&lt;&gt;"",_xlfn.XLOOKUP(ET$14,TableTransport['#],TableTransport[Contaminated land area (in square metres)]),"")</f>
        <v/>
      </c>
      <c r="EV28" s="168" t="str">
        <f>IFERROR(EU27*ET28,"")</f>
        <v/>
      </c>
      <c r="EX28" s="348" t="str">
        <f>IF(_xlfn.XLOOKUP(EX$14,TableTransport['#],TableTransport[Contaminated land area (in square metres)])&lt;&gt;"",_xlfn.XLOOKUP(EX$14,TableTransport['#],TableTransport[Contaminated land area (in square metres)]),"")</f>
        <v/>
      </c>
      <c r="EZ28" s="168" t="str">
        <f>IFERROR(EY27*EX28,"")</f>
        <v/>
      </c>
      <c r="FB28" s="348" t="str">
        <f>IF(_xlfn.XLOOKUP(FB$14,TableTransport['#],TableTransport[Contaminated land area (in square metres)])&lt;&gt;"",_xlfn.XLOOKUP(FB$14,TableTransport['#],TableTransport[Contaminated land area (in square metres)]),"")</f>
        <v/>
      </c>
      <c r="FD28" s="168" t="str">
        <f>IFERROR(FC27*FB28,"")</f>
        <v/>
      </c>
      <c r="FF28" s="348" t="str">
        <f>IF(_xlfn.XLOOKUP(FF$14,TableTransport['#],TableTransport[Contaminated land area (in square metres)])&lt;&gt;"",_xlfn.XLOOKUP(FF$14,TableTransport['#],TableTransport[Contaminated land area (in square metres)]),"")</f>
        <v/>
      </c>
      <c r="FH28" s="168" t="str">
        <f>IFERROR(FG27*FF28,"")</f>
        <v/>
      </c>
      <c r="FJ28" s="348" t="str">
        <f>IF(_xlfn.XLOOKUP(FJ$14,TableTransport['#],TableTransport[Contaminated land area (in square metres)])&lt;&gt;"",_xlfn.XLOOKUP(FJ$14,TableTransport['#],TableTransport[Contaminated land area (in square metres)]),"")</f>
        <v/>
      </c>
      <c r="FL28" s="168" t="str">
        <f>IFERROR(FK27*FJ28,"")</f>
        <v/>
      </c>
      <c r="FN28" s="348" t="str">
        <f>IF(_xlfn.XLOOKUP(FN$14,TableTransport['#],TableTransport[Contaminated land area (in square metres)])&lt;&gt;"",_xlfn.XLOOKUP(FN$14,TableTransport['#],TableTransport[Contaminated land area (in square metres)]),"")</f>
        <v/>
      </c>
      <c r="FP28" s="168" t="str">
        <f>IFERROR(FO27*FN28,"")</f>
        <v/>
      </c>
      <c r="FR28" s="348" t="str">
        <f>IF(_xlfn.XLOOKUP(FR$14,TableTransport['#],TableTransport[Contaminated land area (in square metres)])&lt;&gt;"",_xlfn.XLOOKUP(FR$14,TableTransport['#],TableTransport[Contaminated land area (in square metres)]),"")</f>
        <v/>
      </c>
      <c r="FT28" s="168" t="str">
        <f>IFERROR(FS27*FR28,"")</f>
        <v/>
      </c>
      <c r="FV28" s="348" t="str">
        <f>IF(_xlfn.XLOOKUP(FV$14,TableTransport['#],TableTransport[Contaminated land area (in square metres)])&lt;&gt;"",_xlfn.XLOOKUP(FV$14,TableTransport['#],TableTransport[Contaminated land area (in square metres)]),"")</f>
        <v/>
      </c>
      <c r="FX28" s="168" t="str">
        <f>IFERROR(FW27*FV28,"")</f>
        <v/>
      </c>
      <c r="FZ28" s="348" t="str">
        <f>IF(_xlfn.XLOOKUP(FZ$14,TableTransport['#],TableTransport[Contaminated land area (in square metres)])&lt;&gt;"",_xlfn.XLOOKUP(FZ$14,TableTransport['#],TableTransport[Contaminated land area (in square metres)]),"")</f>
        <v/>
      </c>
      <c r="GB28" s="168" t="str">
        <f>IFERROR(GA27*FZ28,"")</f>
        <v/>
      </c>
      <c r="GD28" s="348" t="str">
        <f>IF(_xlfn.XLOOKUP(GD$14,TableTransport['#],TableTransport[Contaminated land area (in square metres)])&lt;&gt;"",_xlfn.XLOOKUP(GD$14,TableTransport['#],TableTransport[Contaminated land area (in square metres)]),"")</f>
        <v/>
      </c>
      <c r="GF28" s="168" t="str">
        <f>IFERROR(GE27*GD28,"")</f>
        <v/>
      </c>
      <c r="GH28" s="348" t="str">
        <f>IF(_xlfn.XLOOKUP(GH$14,TableTransport['#],TableTransport[Contaminated land area (in square metres)])&lt;&gt;"",_xlfn.XLOOKUP(GH$14,TableTransport['#],TableTransport[Contaminated land area (in square metres)]),"")</f>
        <v/>
      </c>
      <c r="GJ28" s="168" t="str">
        <f>IFERROR(GI27*GH28,"")</f>
        <v/>
      </c>
      <c r="GL28" s="348" t="str">
        <f>IF(_xlfn.XLOOKUP(GL$14,TableTransport['#],TableTransport[Contaminated land area (in square metres)])&lt;&gt;"",_xlfn.XLOOKUP(GL$14,TableTransport['#],TableTransport[Contaminated land area (in square metres)]),"")</f>
        <v/>
      </c>
      <c r="GN28" s="168" t="str">
        <f>IFERROR(GM27*GL28,"")</f>
        <v/>
      </c>
      <c r="GP28" s="348" t="str">
        <f>IF(_xlfn.XLOOKUP(GP$14,TableTransport['#],TableTransport[Contaminated land area (in square metres)])&lt;&gt;"",_xlfn.XLOOKUP(GP$14,TableTransport['#],TableTransport[Contaminated land area (in square metres)]),"")</f>
        <v/>
      </c>
      <c r="GR28" s="168" t="str">
        <f>IFERROR(GQ27*GP28,"")</f>
        <v/>
      </c>
      <c r="GT28" s="348" t="str">
        <f>IF(_xlfn.XLOOKUP(GT$14,TableTransport['#],TableTransport[Contaminated land area (in square metres)])&lt;&gt;"",_xlfn.XLOOKUP(GT$14,TableTransport['#],TableTransport[Contaminated land area (in square metres)]),"")</f>
        <v/>
      </c>
      <c r="GV28" s="168" t="str">
        <f>IFERROR(GU27*GT28,"")</f>
        <v/>
      </c>
    </row>
    <row r="29" spans="4:204" x14ac:dyDescent="0.2">
      <c r="D29" t="s">
        <v>157</v>
      </c>
      <c r="F29" s="192"/>
      <c r="G29" s="169" t="str" cm="1">
        <f t="array" ref="G29">IF(H21&lt;&gt;"",_xlfn.IFS(AND(H21&gt;='Variable index'!$K$35,H21&lt;'Variable index'!$K$36),'Variable index'!$L$35,AND(H21&gt;='Variable index'!$K$36,H21&lt;'Variable index'!$K$37),'Variable index'!$L$36,AND(H21&gt;='Variable index'!$K$37,H21&lt;'Variable index'!$K$38),'Variable index'!$L$37,H21&gt;='Variable index'!$K$38,'Variable index'!$L$38),"")</f>
        <v/>
      </c>
      <c r="H29" s="168" t="str">
        <f>IFERROR(H$21*G29,"")</f>
        <v/>
      </c>
      <c r="J29" s="192"/>
      <c r="K29" s="169" t="str" cm="1">
        <f t="array" ref="K29">IF(L21&lt;&gt;"",_xlfn.IFS(AND(L21&gt;='Variable index'!$K$35,L21&lt;'Variable index'!$K$36),'Variable index'!$L$35,AND(L21&gt;='Variable index'!$K$36,L21&lt;'Variable index'!$K$37),'Variable index'!$L$36,AND(L21&gt;='Variable index'!$K$37,L21&lt;'Variable index'!$K$38),'Variable index'!$L$37,L21&gt;='Variable index'!$K$38,'Variable index'!$L$38),"")</f>
        <v/>
      </c>
      <c r="L29" s="168" t="str">
        <f>IFERROR(L$21*K29,"")</f>
        <v/>
      </c>
      <c r="N29" s="192"/>
      <c r="O29" s="169" t="str" cm="1">
        <f t="array" ref="O29">IF(P21&lt;&gt;"",_xlfn.IFS(AND(P21&gt;='Variable index'!$K$35,P21&lt;'Variable index'!$K$36),'Variable index'!$L$35,AND(P21&gt;='Variable index'!$K$36,P21&lt;'Variable index'!$K$37),'Variable index'!$L$36,AND(P21&gt;='Variable index'!$K$37,P21&lt;'Variable index'!$K$38),'Variable index'!$L$37,P21&gt;='Variable index'!$K$38,'Variable index'!$L$38),"")</f>
        <v/>
      </c>
      <c r="P29" s="168" t="str">
        <f>IFERROR(P$21*O29,"")</f>
        <v/>
      </c>
      <c r="R29" s="192"/>
      <c r="S29" s="169" t="str" cm="1">
        <f t="array" ref="S29">IF(T21&lt;&gt;"",_xlfn.IFS(AND(T21&gt;='Variable index'!$K$35,T21&lt;'Variable index'!$K$36),'Variable index'!$L$35,AND(T21&gt;='Variable index'!$K$36,T21&lt;'Variable index'!$K$37),'Variable index'!$L$36,AND(T21&gt;='Variable index'!$K$37,T21&lt;'Variable index'!$K$38),'Variable index'!$L$37,T21&gt;='Variable index'!$K$38,'Variable index'!$L$38),"")</f>
        <v/>
      </c>
      <c r="T29" s="168" t="str">
        <f>IFERROR(T$21*S29,"")</f>
        <v/>
      </c>
      <c r="V29" s="192"/>
      <c r="W29" s="169" t="str" cm="1">
        <f t="array" ref="W29">IF(X21&lt;&gt;"",_xlfn.IFS(AND(X21&gt;='Variable index'!$K$35,X21&lt;'Variable index'!$K$36),'Variable index'!$L$35,AND(X21&gt;='Variable index'!$K$36,X21&lt;'Variable index'!$K$37),'Variable index'!$L$36,AND(X21&gt;='Variable index'!$K$37,X21&lt;'Variable index'!$K$38),'Variable index'!$L$37,X21&gt;='Variable index'!$K$38,'Variable index'!$L$38),"")</f>
        <v/>
      </c>
      <c r="X29" s="168" t="str">
        <f>IFERROR(X$21*W29,"")</f>
        <v/>
      </c>
      <c r="Z29" s="192"/>
      <c r="AA29" s="169" t="str" cm="1">
        <f t="array" ref="AA29">IF(AB21&lt;&gt;"",_xlfn.IFS(AND(AB21&gt;='Variable index'!$K$35,AB21&lt;'Variable index'!$K$36),'Variable index'!$L$35,AND(AB21&gt;='Variable index'!$K$36,AB21&lt;'Variable index'!$K$37),'Variable index'!$L$36,AND(AB21&gt;='Variable index'!$K$37,AB21&lt;'Variable index'!$K$38),'Variable index'!$L$37,AB21&gt;='Variable index'!$K$38,'Variable index'!$L$38),"")</f>
        <v/>
      </c>
      <c r="AB29" s="168" t="str">
        <f>IFERROR(AB$21*AA29,"")</f>
        <v/>
      </c>
      <c r="AD29" s="192"/>
      <c r="AE29" s="169" t="str" cm="1">
        <f t="array" ref="AE29">IF(AF21&lt;&gt;"",_xlfn.IFS(AND(AF21&gt;='Variable index'!$K$35,AF21&lt;'Variable index'!$K$36),'Variable index'!$L$35,AND(AF21&gt;='Variable index'!$K$36,AF21&lt;'Variable index'!$K$37),'Variable index'!$L$36,AND(AF21&gt;='Variable index'!$K$37,AF21&lt;'Variable index'!$K$38),'Variable index'!$L$37,AF21&gt;='Variable index'!$K$38,'Variable index'!$L$38),"")</f>
        <v/>
      </c>
      <c r="AF29" s="168" t="str">
        <f>IFERROR(AF$21*AE29,"")</f>
        <v/>
      </c>
      <c r="AH29" s="192"/>
      <c r="AI29" s="169" t="str" cm="1">
        <f t="array" ref="AI29">IF(AJ21&lt;&gt;"",_xlfn.IFS(AND(AJ21&gt;='Variable index'!$K$35,AJ21&lt;'Variable index'!$K$36),'Variable index'!$L$35,AND(AJ21&gt;='Variable index'!$K$36,AJ21&lt;'Variable index'!$K$37),'Variable index'!$L$36,AND(AJ21&gt;='Variable index'!$K$37,AJ21&lt;'Variable index'!$K$38),'Variable index'!$L$37,AJ21&gt;='Variable index'!$K$38,'Variable index'!$L$38),"")</f>
        <v/>
      </c>
      <c r="AJ29" s="168" t="str">
        <f>IFERROR(AJ$21*AI29,"")</f>
        <v/>
      </c>
      <c r="AL29" s="192"/>
      <c r="AM29" s="169" t="str" cm="1">
        <f t="array" ref="AM29">IF(AN21&lt;&gt;"",_xlfn.IFS(AND(AN21&gt;='Variable index'!$K$35,AN21&lt;'Variable index'!$K$36),'Variable index'!$L$35,AND(AN21&gt;='Variable index'!$K$36,AN21&lt;'Variable index'!$K$37),'Variable index'!$L$36,AND(AN21&gt;='Variable index'!$K$37,AN21&lt;'Variable index'!$K$38),'Variable index'!$L$37,AN21&gt;='Variable index'!$K$38,'Variable index'!$L$38),"")</f>
        <v/>
      </c>
      <c r="AN29" s="168" t="str">
        <f>IFERROR(AN$21*AM29,"")</f>
        <v/>
      </c>
      <c r="AP29" s="192"/>
      <c r="AQ29" s="169" t="str" cm="1">
        <f t="array" ref="AQ29">IF(AR21&lt;&gt;"",_xlfn.IFS(AND(AR21&gt;='Variable index'!$K$35,AR21&lt;'Variable index'!$K$36),'Variable index'!$L$35,AND(AR21&gt;='Variable index'!$K$36,AR21&lt;'Variable index'!$K$37),'Variable index'!$L$36,AND(AR21&gt;='Variable index'!$K$37,AR21&lt;'Variable index'!$K$38),'Variable index'!$L$37,AR21&gt;='Variable index'!$K$38,'Variable index'!$L$38),"")</f>
        <v/>
      </c>
      <c r="AR29" s="168" t="str">
        <f>IFERROR(AR$21*AQ29,"")</f>
        <v/>
      </c>
      <c r="AT29" s="192"/>
      <c r="AU29" s="169" t="str" cm="1">
        <f t="array" ref="AU29">IF(AV21&lt;&gt;"",_xlfn.IFS(AND(AV21&gt;='Variable index'!$K$35,AV21&lt;'Variable index'!$K$36),'Variable index'!$L$35,AND(AV21&gt;='Variable index'!$K$36,AV21&lt;'Variable index'!$K$37),'Variable index'!$L$36,AND(AV21&gt;='Variable index'!$K$37,AV21&lt;'Variable index'!$K$38),'Variable index'!$L$37,AV21&gt;='Variable index'!$K$38,'Variable index'!$L$38),"")</f>
        <v/>
      </c>
      <c r="AV29" s="168" t="str">
        <f>IFERROR(AV$21*AU29,"")</f>
        <v/>
      </c>
      <c r="AX29" s="192"/>
      <c r="AY29" s="169" t="str" cm="1">
        <f t="array" ref="AY29">IF(AZ21&lt;&gt;"",_xlfn.IFS(AND(AZ21&gt;='Variable index'!$K$35,AZ21&lt;'Variable index'!$K$36),'Variable index'!$L$35,AND(AZ21&gt;='Variable index'!$K$36,AZ21&lt;'Variable index'!$K$37),'Variable index'!$L$36,AND(AZ21&gt;='Variable index'!$K$37,AZ21&lt;'Variable index'!$K$38),'Variable index'!$L$37,AZ21&gt;='Variable index'!$K$38,'Variable index'!$L$38),"")</f>
        <v/>
      </c>
      <c r="AZ29" s="168" t="str">
        <f>IFERROR(AZ$21*AY29,"")</f>
        <v/>
      </c>
      <c r="BB29" s="192"/>
      <c r="BC29" s="169" t="str" cm="1">
        <f t="array" ref="BC29">IF(BD21&lt;&gt;"",_xlfn.IFS(AND(BD21&gt;='Variable index'!$K$35,BD21&lt;'Variable index'!$K$36),'Variable index'!$L$35,AND(BD21&gt;='Variable index'!$K$36,BD21&lt;'Variable index'!$K$37),'Variable index'!$L$36,AND(BD21&gt;='Variable index'!$K$37,BD21&lt;'Variable index'!$K$38),'Variable index'!$L$37,BD21&gt;='Variable index'!$K$38,'Variable index'!$L$38),"")</f>
        <v/>
      </c>
      <c r="BD29" s="168" t="str">
        <f>IFERROR(BD$21*BC29,"")</f>
        <v/>
      </c>
      <c r="BF29" s="192"/>
      <c r="BG29" s="169" t="str" cm="1">
        <f t="array" ref="BG29">IF(BH21&lt;&gt;"",_xlfn.IFS(AND(BH21&gt;='Variable index'!$K$35,BH21&lt;'Variable index'!$K$36),'Variable index'!$L$35,AND(BH21&gt;='Variable index'!$K$36,BH21&lt;'Variable index'!$K$37),'Variable index'!$L$36,AND(BH21&gt;='Variable index'!$K$37,BH21&lt;'Variable index'!$K$38),'Variable index'!$L$37,BH21&gt;='Variable index'!$K$38,'Variable index'!$L$38),"")</f>
        <v/>
      </c>
      <c r="BH29" s="168" t="str">
        <f>IFERROR(BH$21*BG29,"")</f>
        <v/>
      </c>
      <c r="BJ29" s="192"/>
      <c r="BK29" s="169" t="str" cm="1">
        <f t="array" ref="BK29">IF(BL21&lt;&gt;"",_xlfn.IFS(AND(BL21&gt;='Variable index'!$K$35,BL21&lt;'Variable index'!$K$36),'Variable index'!$L$35,AND(BL21&gt;='Variable index'!$K$36,BL21&lt;'Variable index'!$K$37),'Variable index'!$L$36,AND(BL21&gt;='Variable index'!$K$37,BL21&lt;'Variable index'!$K$38),'Variable index'!$L$37,BL21&gt;='Variable index'!$K$38,'Variable index'!$L$38),"")</f>
        <v/>
      </c>
      <c r="BL29" s="168" t="str">
        <f>IFERROR(BL$21*BK29,"")</f>
        <v/>
      </c>
      <c r="BN29" s="192"/>
      <c r="BO29" s="169" t="str" cm="1">
        <f t="array" ref="BO29">IF(BP21&lt;&gt;"",_xlfn.IFS(AND(BP21&gt;='Variable index'!$K$35,BP21&lt;'Variable index'!$K$36),'Variable index'!$L$35,AND(BP21&gt;='Variable index'!$K$36,BP21&lt;'Variable index'!$K$37),'Variable index'!$L$36,AND(BP21&gt;='Variable index'!$K$37,BP21&lt;'Variable index'!$K$38),'Variable index'!$L$37,BP21&gt;='Variable index'!$K$38,'Variable index'!$L$38),"")</f>
        <v/>
      </c>
      <c r="BP29" s="168" t="str">
        <f>IFERROR(BP$21*BO29,"")</f>
        <v/>
      </c>
      <c r="BR29" s="192"/>
      <c r="BS29" s="169" t="str" cm="1">
        <f t="array" ref="BS29">IF(BT21&lt;&gt;"",_xlfn.IFS(AND(BT21&gt;='Variable index'!$K$35,BT21&lt;'Variable index'!$K$36),'Variable index'!$L$35,AND(BT21&gt;='Variable index'!$K$36,BT21&lt;'Variable index'!$K$37),'Variable index'!$L$36,AND(BT21&gt;='Variable index'!$K$37,BT21&lt;'Variable index'!$K$38),'Variable index'!$L$37,BT21&gt;='Variable index'!$K$38,'Variable index'!$L$38),"")</f>
        <v/>
      </c>
      <c r="BT29" s="168" t="str">
        <f>IFERROR(BT$21*BS29,"")</f>
        <v/>
      </c>
      <c r="BV29" s="192"/>
      <c r="BW29" s="169" t="str" cm="1">
        <f t="array" ref="BW29">IF(BX21&lt;&gt;"",_xlfn.IFS(AND(BX21&gt;='Variable index'!$K$35,BX21&lt;'Variable index'!$K$36),'Variable index'!$L$35,AND(BX21&gt;='Variable index'!$K$36,BX21&lt;'Variable index'!$K$37),'Variable index'!$L$36,AND(BX21&gt;='Variable index'!$K$37,BX21&lt;'Variable index'!$K$38),'Variable index'!$L$37,BX21&gt;='Variable index'!$K$38,'Variable index'!$L$38),"")</f>
        <v/>
      </c>
      <c r="BX29" s="168" t="str">
        <f>IFERROR(BX$21*BW29,"")</f>
        <v/>
      </c>
      <c r="BZ29" s="192"/>
      <c r="CA29" s="169" t="str" cm="1">
        <f t="array" ref="CA29">IF(CB21&lt;&gt;"",_xlfn.IFS(AND(CB21&gt;='Variable index'!$K$35,CB21&lt;'Variable index'!$K$36),'Variable index'!$L$35,AND(CB21&gt;='Variable index'!$K$36,CB21&lt;'Variable index'!$K$37),'Variable index'!$L$36,AND(CB21&gt;='Variable index'!$K$37,CB21&lt;'Variable index'!$K$38),'Variable index'!$L$37,CB21&gt;='Variable index'!$K$38,'Variable index'!$L$38),"")</f>
        <v/>
      </c>
      <c r="CB29" s="168" t="str">
        <f>IFERROR(CB$21*CA29,"")</f>
        <v/>
      </c>
      <c r="CD29" s="192"/>
      <c r="CE29" s="169" t="str" cm="1">
        <f t="array" ref="CE29">IF(CF21&lt;&gt;"",_xlfn.IFS(AND(CF21&gt;='Variable index'!$K$35,CF21&lt;'Variable index'!$K$36),'Variable index'!$L$35,AND(CF21&gt;='Variable index'!$K$36,CF21&lt;'Variable index'!$K$37),'Variable index'!$L$36,AND(CF21&gt;='Variable index'!$K$37,CF21&lt;'Variable index'!$K$38),'Variable index'!$L$37,CF21&gt;='Variable index'!$K$38,'Variable index'!$L$38),"")</f>
        <v/>
      </c>
      <c r="CF29" s="168" t="str">
        <f>IFERROR(CF$21*CE29,"")</f>
        <v/>
      </c>
      <c r="CH29" s="192"/>
      <c r="CI29" s="169" t="str" cm="1">
        <f t="array" ref="CI29">IF(CJ21&lt;&gt;"",_xlfn.IFS(AND(CJ21&gt;='Variable index'!$K$35,CJ21&lt;'Variable index'!$K$36),'Variable index'!$L$35,AND(CJ21&gt;='Variable index'!$K$36,CJ21&lt;'Variable index'!$K$37),'Variable index'!$L$36,AND(CJ21&gt;='Variable index'!$K$37,CJ21&lt;'Variable index'!$K$38),'Variable index'!$L$37,CJ21&gt;='Variable index'!$K$38,'Variable index'!$L$38),"")</f>
        <v/>
      </c>
      <c r="CJ29" s="168" t="str">
        <f>IFERROR(CJ$21*CI29,"")</f>
        <v/>
      </c>
      <c r="CL29" s="192"/>
      <c r="CM29" s="169" t="str" cm="1">
        <f t="array" ref="CM29">IF(CN21&lt;&gt;"",_xlfn.IFS(AND(CN21&gt;='Variable index'!$K$35,CN21&lt;'Variable index'!$K$36),'Variable index'!$L$35,AND(CN21&gt;='Variable index'!$K$36,CN21&lt;'Variable index'!$K$37),'Variable index'!$L$36,AND(CN21&gt;='Variable index'!$K$37,CN21&lt;'Variable index'!$K$38),'Variable index'!$L$37,CN21&gt;='Variable index'!$K$38,'Variable index'!$L$38),"")</f>
        <v/>
      </c>
      <c r="CN29" s="168" t="str">
        <f>IFERROR(CN$21*CM29,"")</f>
        <v/>
      </c>
      <c r="CP29" s="192"/>
      <c r="CQ29" s="169" t="str" cm="1">
        <f t="array" ref="CQ29">IF(CR21&lt;&gt;"",_xlfn.IFS(AND(CR21&gt;='Variable index'!$K$35,CR21&lt;'Variable index'!$K$36),'Variable index'!$L$35,AND(CR21&gt;='Variable index'!$K$36,CR21&lt;'Variable index'!$K$37),'Variable index'!$L$36,AND(CR21&gt;='Variable index'!$K$37,CR21&lt;'Variable index'!$K$38),'Variable index'!$L$37,CR21&gt;='Variable index'!$K$38,'Variable index'!$L$38),"")</f>
        <v/>
      </c>
      <c r="CR29" s="168" t="str">
        <f>IFERROR(CR$21*CQ29,"")</f>
        <v/>
      </c>
      <c r="CT29" s="192"/>
      <c r="CU29" s="169" t="str" cm="1">
        <f t="array" ref="CU29">IF(CV21&lt;&gt;"",_xlfn.IFS(AND(CV21&gt;='Variable index'!$K$35,CV21&lt;'Variable index'!$K$36),'Variable index'!$L$35,AND(CV21&gt;='Variable index'!$K$36,CV21&lt;'Variable index'!$K$37),'Variable index'!$L$36,AND(CV21&gt;='Variable index'!$K$37,CV21&lt;'Variable index'!$K$38),'Variable index'!$L$37,CV21&gt;='Variable index'!$K$38,'Variable index'!$L$38),"")</f>
        <v/>
      </c>
      <c r="CV29" s="168" t="str">
        <f>IFERROR(CV$21*CU29,"")</f>
        <v/>
      </c>
      <c r="CX29" s="192"/>
      <c r="CY29" s="169" t="str" cm="1">
        <f t="array" ref="CY29">IF(CZ21&lt;&gt;"",_xlfn.IFS(AND(CZ21&gt;='Variable index'!$K$35,CZ21&lt;'Variable index'!$K$36),'Variable index'!$L$35,AND(CZ21&gt;='Variable index'!$K$36,CZ21&lt;'Variable index'!$K$37),'Variable index'!$L$36,AND(CZ21&gt;='Variable index'!$K$37,CZ21&lt;'Variable index'!$K$38),'Variable index'!$L$37,CZ21&gt;='Variable index'!$K$38,'Variable index'!$L$38),"")</f>
        <v/>
      </c>
      <c r="CZ29" s="168" t="str">
        <f>IFERROR(CZ$21*CY29,"")</f>
        <v/>
      </c>
      <c r="DB29" s="192"/>
      <c r="DC29" s="169" t="str" cm="1">
        <f t="array" ref="DC29">IF(DD21&lt;&gt;"",_xlfn.IFS(AND(DD21&gt;='Variable index'!$K$35,DD21&lt;'Variable index'!$K$36),'Variable index'!$L$35,AND(DD21&gt;='Variable index'!$K$36,DD21&lt;'Variable index'!$K$37),'Variable index'!$L$36,AND(DD21&gt;='Variable index'!$K$37,DD21&lt;'Variable index'!$K$38),'Variable index'!$L$37,DD21&gt;='Variable index'!$K$38,'Variable index'!$L$38),"")</f>
        <v/>
      </c>
      <c r="DD29" s="168" t="str">
        <f>IFERROR(DD$21*DC29,"")</f>
        <v/>
      </c>
      <c r="DF29" s="192"/>
      <c r="DG29" s="169" t="str" cm="1">
        <f t="array" ref="DG29">IF(DH21&lt;&gt;"",_xlfn.IFS(AND(DH21&gt;='Variable index'!$K$35,DH21&lt;'Variable index'!$K$36),'Variable index'!$L$35,AND(DH21&gt;='Variable index'!$K$36,DH21&lt;'Variable index'!$K$37),'Variable index'!$L$36,AND(DH21&gt;='Variable index'!$K$37,DH21&lt;'Variable index'!$K$38),'Variable index'!$L$37,DH21&gt;='Variable index'!$K$38,'Variable index'!$L$38),"")</f>
        <v/>
      </c>
      <c r="DH29" s="168" t="str">
        <f>IFERROR(DH$21*DG29,"")</f>
        <v/>
      </c>
      <c r="DJ29" s="192"/>
      <c r="DK29" s="169" t="str" cm="1">
        <f t="array" ref="DK29">IF(DL21&lt;&gt;"",_xlfn.IFS(AND(DL21&gt;='Variable index'!$K$35,DL21&lt;'Variable index'!$K$36),'Variable index'!$L$35,AND(DL21&gt;='Variable index'!$K$36,DL21&lt;'Variable index'!$K$37),'Variable index'!$L$36,AND(DL21&gt;='Variable index'!$K$37,DL21&lt;'Variable index'!$K$38),'Variable index'!$L$37,DL21&gt;='Variable index'!$K$38,'Variable index'!$L$38),"")</f>
        <v/>
      </c>
      <c r="DL29" s="168" t="str">
        <f>IFERROR(DL$21*DK29,"")</f>
        <v/>
      </c>
      <c r="DN29" s="192"/>
      <c r="DO29" s="169" t="str" cm="1">
        <f t="array" ref="DO29">IF(DP21&lt;&gt;"",_xlfn.IFS(AND(DP21&gt;='Variable index'!$K$35,DP21&lt;'Variable index'!$K$36),'Variable index'!$L$35,AND(DP21&gt;='Variable index'!$K$36,DP21&lt;'Variable index'!$K$37),'Variable index'!$L$36,AND(DP21&gt;='Variable index'!$K$37,DP21&lt;'Variable index'!$K$38),'Variable index'!$L$37,DP21&gt;='Variable index'!$K$38,'Variable index'!$L$38),"")</f>
        <v/>
      </c>
      <c r="DP29" s="168" t="str">
        <f>IFERROR(DP$21*DO29,"")</f>
        <v/>
      </c>
      <c r="DR29" s="192"/>
      <c r="DS29" s="169" t="str" cm="1">
        <f t="array" ref="DS29">IF(DT21&lt;&gt;"",_xlfn.IFS(AND(DT21&gt;='Variable index'!$K$35,DT21&lt;'Variable index'!$K$36),'Variable index'!$L$35,AND(DT21&gt;='Variable index'!$K$36,DT21&lt;'Variable index'!$K$37),'Variable index'!$L$36,AND(DT21&gt;='Variable index'!$K$37,DT21&lt;'Variable index'!$K$38),'Variable index'!$L$37,DT21&gt;='Variable index'!$K$38,'Variable index'!$L$38),"")</f>
        <v/>
      </c>
      <c r="DT29" s="168" t="str">
        <f>IFERROR(DT$21*DS29,"")</f>
        <v/>
      </c>
      <c r="DV29" s="192"/>
      <c r="DW29" s="169" t="str" cm="1">
        <f t="array" ref="DW29">IF(DX21&lt;&gt;"",_xlfn.IFS(AND(DX21&gt;='Variable index'!$K$35,DX21&lt;'Variable index'!$K$36),'Variable index'!$L$35,AND(DX21&gt;='Variable index'!$K$36,DX21&lt;'Variable index'!$K$37),'Variable index'!$L$36,AND(DX21&gt;='Variable index'!$K$37,DX21&lt;'Variable index'!$K$38),'Variable index'!$L$37,DX21&gt;='Variable index'!$K$38,'Variable index'!$L$38),"")</f>
        <v/>
      </c>
      <c r="DX29" s="168" t="str">
        <f>IFERROR(DX$21*DW29,"")</f>
        <v/>
      </c>
      <c r="DZ29" s="192"/>
      <c r="EA29" s="169" t="str" cm="1">
        <f t="array" ref="EA29">IF(EB21&lt;&gt;"",_xlfn.IFS(AND(EB21&gt;='Variable index'!$K$35,EB21&lt;'Variable index'!$K$36),'Variable index'!$L$35,AND(EB21&gt;='Variable index'!$K$36,EB21&lt;'Variable index'!$K$37),'Variable index'!$L$36,AND(EB21&gt;='Variable index'!$K$37,EB21&lt;'Variable index'!$K$38),'Variable index'!$L$37,EB21&gt;='Variable index'!$K$38,'Variable index'!$L$38),"")</f>
        <v/>
      </c>
      <c r="EB29" s="168" t="str">
        <f>IFERROR(EB$21*EA29,"")</f>
        <v/>
      </c>
      <c r="ED29" s="192"/>
      <c r="EE29" s="169" t="str" cm="1">
        <f t="array" ref="EE29">IF(EF21&lt;&gt;"",_xlfn.IFS(AND(EF21&gt;='Variable index'!$K$35,EF21&lt;'Variable index'!$K$36),'Variable index'!$L$35,AND(EF21&gt;='Variable index'!$K$36,EF21&lt;'Variable index'!$K$37),'Variable index'!$L$36,AND(EF21&gt;='Variable index'!$K$37,EF21&lt;'Variable index'!$K$38),'Variable index'!$L$37,EF21&gt;='Variable index'!$K$38,'Variable index'!$L$38),"")</f>
        <v/>
      </c>
      <c r="EF29" s="168" t="str">
        <f>IFERROR(EF$21*EE29,"")</f>
        <v/>
      </c>
      <c r="EH29" s="192"/>
      <c r="EI29" s="169" t="str" cm="1">
        <f t="array" ref="EI29">IF(EJ21&lt;&gt;"",_xlfn.IFS(AND(EJ21&gt;='Variable index'!$K$35,EJ21&lt;'Variable index'!$K$36),'Variable index'!$L$35,AND(EJ21&gt;='Variable index'!$K$36,EJ21&lt;'Variable index'!$K$37),'Variable index'!$L$36,AND(EJ21&gt;='Variable index'!$K$37,EJ21&lt;'Variable index'!$K$38),'Variable index'!$L$37,EJ21&gt;='Variable index'!$K$38,'Variable index'!$L$38),"")</f>
        <v/>
      </c>
      <c r="EJ29" s="168" t="str">
        <f>IFERROR(EJ$21*EI29,"")</f>
        <v/>
      </c>
      <c r="EL29" s="192"/>
      <c r="EM29" s="169" t="str" cm="1">
        <f t="array" ref="EM29">IF(EN21&lt;&gt;"",_xlfn.IFS(AND(EN21&gt;='Variable index'!$K$35,EN21&lt;'Variable index'!$K$36),'Variable index'!$L$35,AND(EN21&gt;='Variable index'!$K$36,EN21&lt;'Variable index'!$K$37),'Variable index'!$L$36,AND(EN21&gt;='Variable index'!$K$37,EN21&lt;'Variable index'!$K$38),'Variable index'!$L$37,EN21&gt;='Variable index'!$K$38,'Variable index'!$L$38),"")</f>
        <v/>
      </c>
      <c r="EN29" s="168" t="str">
        <f>IFERROR(EN$21*EM29,"")</f>
        <v/>
      </c>
      <c r="EP29" s="192"/>
      <c r="EQ29" s="169" t="str" cm="1">
        <f t="array" ref="EQ29">IF(ER21&lt;&gt;"",_xlfn.IFS(AND(ER21&gt;='Variable index'!$K$35,ER21&lt;'Variable index'!$K$36),'Variable index'!$L$35,AND(ER21&gt;='Variable index'!$K$36,ER21&lt;'Variable index'!$K$37),'Variable index'!$L$36,AND(ER21&gt;='Variable index'!$K$37,ER21&lt;'Variable index'!$K$38),'Variable index'!$L$37,ER21&gt;='Variable index'!$K$38,'Variable index'!$L$38),"")</f>
        <v/>
      </c>
      <c r="ER29" s="168" t="str">
        <f>IFERROR(ER$21*EQ29,"")</f>
        <v/>
      </c>
      <c r="ET29" s="192"/>
      <c r="EU29" s="169" t="str" cm="1">
        <f t="array" ref="EU29">IF(EV21&lt;&gt;"",_xlfn.IFS(AND(EV21&gt;='Variable index'!$K$35,EV21&lt;'Variable index'!$K$36),'Variable index'!$L$35,AND(EV21&gt;='Variable index'!$K$36,EV21&lt;'Variable index'!$K$37),'Variable index'!$L$36,AND(EV21&gt;='Variable index'!$K$37,EV21&lt;'Variable index'!$K$38),'Variable index'!$L$37,EV21&gt;='Variable index'!$K$38,'Variable index'!$L$38),"")</f>
        <v/>
      </c>
      <c r="EV29" s="168" t="str">
        <f>IFERROR(EV$21*EU29,"")</f>
        <v/>
      </c>
      <c r="EX29" s="192"/>
      <c r="EY29" s="169" t="str" cm="1">
        <f t="array" ref="EY29">IF(EZ21&lt;&gt;"",_xlfn.IFS(AND(EZ21&gt;='Variable index'!$K$35,EZ21&lt;'Variable index'!$K$36),'Variable index'!$L$35,AND(EZ21&gt;='Variable index'!$K$36,EZ21&lt;'Variable index'!$K$37),'Variable index'!$L$36,AND(EZ21&gt;='Variable index'!$K$37,EZ21&lt;'Variable index'!$K$38),'Variable index'!$L$37,EZ21&gt;='Variable index'!$K$38,'Variable index'!$L$38),"")</f>
        <v/>
      </c>
      <c r="EZ29" s="168" t="str">
        <f>IFERROR(EZ$21*EY29,"")</f>
        <v/>
      </c>
      <c r="FB29" s="192"/>
      <c r="FC29" s="169" t="str" cm="1">
        <f t="array" ref="FC29">IF(FD21&lt;&gt;"",_xlfn.IFS(AND(FD21&gt;='Variable index'!$K$35,FD21&lt;'Variable index'!$K$36),'Variable index'!$L$35,AND(FD21&gt;='Variable index'!$K$36,FD21&lt;'Variable index'!$K$37),'Variable index'!$L$36,AND(FD21&gt;='Variable index'!$K$37,FD21&lt;'Variable index'!$K$38),'Variable index'!$L$37,FD21&gt;='Variable index'!$K$38,'Variable index'!$L$38),"")</f>
        <v/>
      </c>
      <c r="FD29" s="168" t="str">
        <f>IFERROR(FD$21*FC29,"")</f>
        <v/>
      </c>
      <c r="FF29" s="192"/>
      <c r="FG29" s="169" t="str" cm="1">
        <f t="array" ref="FG29">IF(FH21&lt;&gt;"",_xlfn.IFS(AND(FH21&gt;='Variable index'!$K$35,FH21&lt;'Variable index'!$K$36),'Variable index'!$L$35,AND(FH21&gt;='Variable index'!$K$36,FH21&lt;'Variable index'!$K$37),'Variable index'!$L$36,AND(FH21&gt;='Variable index'!$K$37,FH21&lt;'Variable index'!$K$38),'Variable index'!$L$37,FH21&gt;='Variable index'!$K$38,'Variable index'!$L$38),"")</f>
        <v/>
      </c>
      <c r="FH29" s="168" t="str">
        <f>IFERROR(FH$21*FG29,"")</f>
        <v/>
      </c>
      <c r="FJ29" s="192"/>
      <c r="FK29" s="169" t="str" cm="1">
        <f t="array" ref="FK29">IF(FL21&lt;&gt;"",_xlfn.IFS(AND(FL21&gt;='Variable index'!$K$35,FL21&lt;'Variable index'!$K$36),'Variable index'!$L$35,AND(FL21&gt;='Variable index'!$K$36,FL21&lt;'Variable index'!$K$37),'Variable index'!$L$36,AND(FL21&gt;='Variable index'!$K$37,FL21&lt;'Variable index'!$K$38),'Variable index'!$L$37,FL21&gt;='Variable index'!$K$38,'Variable index'!$L$38),"")</f>
        <v/>
      </c>
      <c r="FL29" s="168" t="str">
        <f>IFERROR(FL$21*FK29,"")</f>
        <v/>
      </c>
      <c r="FN29" s="192"/>
      <c r="FO29" s="169" t="str" cm="1">
        <f t="array" ref="FO29">IF(FP21&lt;&gt;"",_xlfn.IFS(AND(FP21&gt;='Variable index'!$K$35,FP21&lt;'Variable index'!$K$36),'Variable index'!$L$35,AND(FP21&gt;='Variable index'!$K$36,FP21&lt;'Variable index'!$K$37),'Variable index'!$L$36,AND(FP21&gt;='Variable index'!$K$37,FP21&lt;'Variable index'!$K$38),'Variable index'!$L$37,FP21&gt;='Variable index'!$K$38,'Variable index'!$L$38),"")</f>
        <v/>
      </c>
      <c r="FP29" s="168" t="str">
        <f>IFERROR(FP$21*FO29,"")</f>
        <v/>
      </c>
      <c r="FR29" s="192"/>
      <c r="FS29" s="169" t="str" cm="1">
        <f t="array" ref="FS29">IF(FT21&lt;&gt;"",_xlfn.IFS(AND(FT21&gt;='Variable index'!$K$35,FT21&lt;'Variable index'!$K$36),'Variable index'!$L$35,AND(FT21&gt;='Variable index'!$K$36,FT21&lt;'Variable index'!$K$37),'Variable index'!$L$36,AND(FT21&gt;='Variable index'!$K$37,FT21&lt;'Variable index'!$K$38),'Variable index'!$L$37,FT21&gt;='Variable index'!$K$38,'Variable index'!$L$38),"")</f>
        <v/>
      </c>
      <c r="FT29" s="168" t="str">
        <f>IFERROR(FT$21*FS29,"")</f>
        <v/>
      </c>
      <c r="FV29" s="192"/>
      <c r="FW29" s="169" t="str" cm="1">
        <f t="array" ref="FW29">IF(FX21&lt;&gt;"",_xlfn.IFS(AND(FX21&gt;='Variable index'!$K$35,FX21&lt;'Variable index'!$K$36),'Variable index'!$L$35,AND(FX21&gt;='Variable index'!$K$36,FX21&lt;'Variable index'!$K$37),'Variable index'!$L$36,AND(FX21&gt;='Variable index'!$K$37,FX21&lt;'Variable index'!$K$38),'Variable index'!$L$37,FX21&gt;='Variable index'!$K$38,'Variable index'!$L$38),"")</f>
        <v/>
      </c>
      <c r="FX29" s="168" t="str">
        <f>IFERROR(FX$21*FW29,"")</f>
        <v/>
      </c>
      <c r="FZ29" s="192"/>
      <c r="GA29" s="169" t="str" cm="1">
        <f t="array" ref="GA29">IF(GB21&lt;&gt;"",_xlfn.IFS(AND(GB21&gt;='Variable index'!$K$35,GB21&lt;'Variable index'!$K$36),'Variable index'!$L$35,AND(GB21&gt;='Variable index'!$K$36,GB21&lt;'Variable index'!$K$37),'Variable index'!$L$36,AND(GB21&gt;='Variable index'!$K$37,GB21&lt;'Variable index'!$K$38),'Variable index'!$L$37,GB21&gt;='Variable index'!$K$38,'Variable index'!$L$38),"")</f>
        <v/>
      </c>
      <c r="GB29" s="168" t="str">
        <f>IFERROR(GB$21*GA29,"")</f>
        <v/>
      </c>
      <c r="GD29" s="192"/>
      <c r="GE29" s="169" t="str" cm="1">
        <f t="array" ref="GE29">IF(GF21&lt;&gt;"",_xlfn.IFS(AND(GF21&gt;='Variable index'!$K$35,GF21&lt;'Variable index'!$K$36),'Variable index'!$L$35,AND(GF21&gt;='Variable index'!$K$36,GF21&lt;'Variable index'!$K$37),'Variable index'!$L$36,AND(GF21&gt;='Variable index'!$K$37,GF21&lt;'Variable index'!$K$38),'Variable index'!$L$37,GF21&gt;='Variable index'!$K$38,'Variable index'!$L$38),"")</f>
        <v/>
      </c>
      <c r="GF29" s="168" t="str">
        <f>IFERROR(GF$21*GE29,"")</f>
        <v/>
      </c>
      <c r="GH29" s="192"/>
      <c r="GI29" s="169" t="str" cm="1">
        <f t="array" ref="GI29">IF(GJ21&lt;&gt;"",_xlfn.IFS(AND(GJ21&gt;='Variable index'!$K$35,GJ21&lt;'Variable index'!$K$36),'Variable index'!$L$35,AND(GJ21&gt;='Variable index'!$K$36,GJ21&lt;'Variable index'!$K$37),'Variable index'!$L$36,AND(GJ21&gt;='Variable index'!$K$37,GJ21&lt;'Variable index'!$K$38),'Variable index'!$L$37,GJ21&gt;='Variable index'!$K$38,'Variable index'!$L$38),"")</f>
        <v/>
      </c>
      <c r="GJ29" s="168" t="str">
        <f>IFERROR(GJ$21*GI29,"")</f>
        <v/>
      </c>
      <c r="GL29" s="192"/>
      <c r="GM29" s="169" t="str" cm="1">
        <f t="array" ref="GM29">IF(GN21&lt;&gt;"",_xlfn.IFS(AND(GN21&gt;='Variable index'!$K$35,GN21&lt;'Variable index'!$K$36),'Variable index'!$L$35,AND(GN21&gt;='Variable index'!$K$36,GN21&lt;'Variable index'!$K$37),'Variable index'!$L$36,AND(GN21&gt;='Variable index'!$K$37,GN21&lt;'Variable index'!$K$38),'Variable index'!$L$37,GN21&gt;='Variable index'!$K$38,'Variable index'!$L$38),"")</f>
        <v/>
      </c>
      <c r="GN29" s="168" t="str">
        <f>IFERROR(GN$21*GM29,"")</f>
        <v/>
      </c>
      <c r="GP29" s="192"/>
      <c r="GQ29" s="169" t="str" cm="1">
        <f t="array" ref="GQ29">IF(GR21&lt;&gt;"",_xlfn.IFS(AND(GR21&gt;='Variable index'!$K$35,GR21&lt;'Variable index'!$K$36),'Variable index'!$L$35,AND(GR21&gt;='Variable index'!$K$36,GR21&lt;'Variable index'!$K$37),'Variable index'!$L$36,AND(GR21&gt;='Variable index'!$K$37,GR21&lt;'Variable index'!$K$38),'Variable index'!$L$37,GR21&gt;='Variable index'!$K$38,'Variable index'!$L$38),"")</f>
        <v/>
      </c>
      <c r="GR29" s="168" t="str">
        <f>IFERROR(GR$21*GQ29,"")</f>
        <v/>
      </c>
      <c r="GT29" s="192"/>
      <c r="GU29" s="169" t="str" cm="1">
        <f t="array" ref="GU29">IF(GV21&lt;&gt;"",_xlfn.IFS(AND(GV21&gt;='Variable index'!$K$35,GV21&lt;'Variable index'!$K$36),'Variable index'!$L$35,AND(GV21&gt;='Variable index'!$K$36,GV21&lt;'Variable index'!$K$37),'Variable index'!$L$36,AND(GV21&gt;='Variable index'!$K$37,GV21&lt;'Variable index'!$K$38),'Variable index'!$L$37,GV21&gt;='Variable index'!$K$38,'Variable index'!$L$38),"")</f>
        <v/>
      </c>
      <c r="GV29" s="168" t="str">
        <f>IFERROR(GV$21*GU29,"")</f>
        <v/>
      </c>
    </row>
    <row r="30" spans="4:204" x14ac:dyDescent="0.2">
      <c r="D30" t="s">
        <v>158</v>
      </c>
      <c r="F30" s="345" t="str">
        <f>IF(_xlfn.XLOOKUP(F$14,TableTransport['#],TableTransport[Is there a cultural heritage impact?])&lt;&gt;"",_xlfn.XLOOKUP(F$14,TableTransport['#],TableTransport[Is there a cultural heritage impact?]),"")</f>
        <v/>
      </c>
      <c r="G30" s="350" t="str" cm="1">
        <f t="array" ref="G30">IF(F30&lt;&gt;"",_xlfn.IFS(F30="Yes",_xlfn.IFS(AND(H21&gt;='Variable index'!$K$35,H21&lt;'Variable index'!$K$36),'Variable index'!$M$35,AND(H21&gt;='Variable index'!$K$36,H21&lt;'Variable index'!$K$37),'Variable index'!$M$36,AND(H21&gt;='Variable index'!$K$37,H21&lt;'Variable index'!$K$38),'Variable index'!$M$37,H21&gt;='Variable index'!$K$38,'Variable index'!$M$38),F30="No",0),"")</f>
        <v/>
      </c>
      <c r="H30" s="168" t="str">
        <f>IFERROR(H$21*G30,"")</f>
        <v/>
      </c>
      <c r="J30" s="345" t="str">
        <f>IF(_xlfn.XLOOKUP(J$14,TableTransport['#],TableTransport[Is there a cultural heritage impact?])&lt;&gt;"",_xlfn.XLOOKUP(J$14,TableTransport['#],TableTransport[Is there a cultural heritage impact?]),"")</f>
        <v/>
      </c>
      <c r="K30" s="350" t="str" cm="1">
        <f t="array" ref="K30">IF(J30&lt;&gt;"",_xlfn.IFS(J30="Yes",_xlfn.IFS(AND(L21&gt;='Variable index'!$K$35,L21&lt;'Variable index'!$K$36),'Variable index'!$M$35,AND(L21&gt;='Variable index'!$K$36,L21&lt;'Variable index'!$K$37),'Variable index'!$M$36,AND(L21&gt;='Variable index'!$K$37,L21&lt;'Variable index'!$K$38),'Variable index'!$M$37,L21&gt;='Variable index'!$K$38,'Variable index'!$M$38),J30="No",0),"")</f>
        <v/>
      </c>
      <c r="L30" s="168" t="str">
        <f>IFERROR(L$21*K30,"")</f>
        <v/>
      </c>
      <c r="N30" s="345" t="str">
        <f>IF(_xlfn.XLOOKUP(N$14,TableTransport['#],TableTransport[Is there a cultural heritage impact?])&lt;&gt;"",_xlfn.XLOOKUP(N$14,TableTransport['#],TableTransport[Is there a cultural heritage impact?]),"")</f>
        <v/>
      </c>
      <c r="O30" s="350" t="str" cm="1">
        <f t="array" ref="O30">IF(N30&lt;&gt;"",_xlfn.IFS(N30="Yes",_xlfn.IFS(AND(P21&gt;='Variable index'!$K$35,P21&lt;'Variable index'!$K$36),'Variable index'!$M$35,AND(P21&gt;='Variable index'!$K$36,P21&lt;'Variable index'!$K$37),'Variable index'!$M$36,AND(P21&gt;='Variable index'!$K$37,P21&lt;'Variable index'!$K$38),'Variable index'!$M$37,P21&gt;='Variable index'!$K$38,'Variable index'!$M$38),N30="No",0),"")</f>
        <v/>
      </c>
      <c r="P30" s="168" t="str">
        <f>IFERROR(P$21*O30,"")</f>
        <v/>
      </c>
      <c r="R30" s="345" t="str">
        <f>IF(_xlfn.XLOOKUP(R$14,TableTransport['#],TableTransport[Is there a cultural heritage impact?])&lt;&gt;"",_xlfn.XLOOKUP(R$14,TableTransport['#],TableTransport[Is there a cultural heritage impact?]),"")</f>
        <v/>
      </c>
      <c r="S30" s="350" t="str" cm="1">
        <f t="array" ref="S30">IF(R30&lt;&gt;"",_xlfn.IFS(R30="Yes",_xlfn.IFS(AND(T21&gt;='Variable index'!$K$35,T21&lt;'Variable index'!$K$36),'Variable index'!$M$35,AND(T21&gt;='Variable index'!$K$36,T21&lt;'Variable index'!$K$37),'Variable index'!$M$36,AND(T21&gt;='Variable index'!$K$37,T21&lt;'Variable index'!$K$38),'Variable index'!$M$37,T21&gt;='Variable index'!$K$38,'Variable index'!$M$38),R30="No",0),"")</f>
        <v/>
      </c>
      <c r="T30" s="168" t="str">
        <f>IFERROR(T$21*S30,"")</f>
        <v/>
      </c>
      <c r="V30" s="345" t="str">
        <f>IF(_xlfn.XLOOKUP(V$14,TableTransport['#],TableTransport[Is there a cultural heritage impact?])&lt;&gt;"",_xlfn.XLOOKUP(V$14,TableTransport['#],TableTransport[Is there a cultural heritage impact?]),"")</f>
        <v/>
      </c>
      <c r="W30" s="350" t="str" cm="1">
        <f t="array" ref="W30">IF(V30&lt;&gt;"",_xlfn.IFS(V30="Yes",_xlfn.IFS(AND(X21&gt;='Variable index'!$K$35,X21&lt;'Variable index'!$K$36),'Variable index'!$M$35,AND(X21&gt;='Variable index'!$K$36,X21&lt;'Variable index'!$K$37),'Variable index'!$M$36,AND(X21&gt;='Variable index'!$K$37,X21&lt;'Variable index'!$K$38),'Variable index'!$M$37,X21&gt;='Variable index'!$K$38,'Variable index'!$M$38),V30="No",0),"")</f>
        <v/>
      </c>
      <c r="X30" s="168" t="str">
        <f>IFERROR(X$21*W30,"")</f>
        <v/>
      </c>
      <c r="Z30" s="345" t="str">
        <f>IF(_xlfn.XLOOKUP(Z$14,TableTransport['#],TableTransport[Is there a cultural heritage impact?])&lt;&gt;"",_xlfn.XLOOKUP(Z$14,TableTransport['#],TableTransport[Is there a cultural heritage impact?]),"")</f>
        <v/>
      </c>
      <c r="AA30" s="350" t="str" cm="1">
        <f t="array" ref="AA30">IF(Z30&lt;&gt;"",_xlfn.IFS(Z30="Yes",_xlfn.IFS(AND(AB21&gt;='Variable index'!$K$35,AB21&lt;'Variable index'!$K$36),'Variable index'!$M$35,AND(AB21&gt;='Variable index'!$K$36,AB21&lt;'Variable index'!$K$37),'Variable index'!$M$36,AND(AB21&gt;='Variable index'!$K$37,AB21&lt;'Variable index'!$K$38),'Variable index'!$M$37,AB21&gt;='Variable index'!$K$38,'Variable index'!$M$38),Z30="No",0),"")</f>
        <v/>
      </c>
      <c r="AB30" s="168" t="str">
        <f>IFERROR(AB$21*AA30,"")</f>
        <v/>
      </c>
      <c r="AD30" s="345" t="str">
        <f>IF(_xlfn.XLOOKUP(AD$14,TableTransport['#],TableTransport[Is there a cultural heritage impact?])&lt;&gt;"",_xlfn.XLOOKUP(AD$14,TableTransport['#],TableTransport[Is there a cultural heritage impact?]),"")</f>
        <v/>
      </c>
      <c r="AE30" s="350" t="str" cm="1">
        <f t="array" ref="AE30">IF(AD30&lt;&gt;"",_xlfn.IFS(AD30="Yes",_xlfn.IFS(AND(AF21&gt;='Variable index'!$K$35,AF21&lt;'Variable index'!$K$36),'Variable index'!$M$35,AND(AF21&gt;='Variable index'!$K$36,AF21&lt;'Variable index'!$K$37),'Variable index'!$M$36,AND(AF21&gt;='Variable index'!$K$37,AF21&lt;'Variable index'!$K$38),'Variable index'!$M$37,AF21&gt;='Variable index'!$K$38,'Variable index'!$M$38),AD30="No",0),"")</f>
        <v/>
      </c>
      <c r="AF30" s="168" t="str">
        <f>IFERROR(AF$21*AE30,"")</f>
        <v/>
      </c>
      <c r="AH30" s="345" t="str">
        <f>IF(_xlfn.XLOOKUP(AH$14,TableTransport['#],TableTransport[Is there a cultural heritage impact?])&lt;&gt;"",_xlfn.XLOOKUP(AH$14,TableTransport['#],TableTransport[Is there a cultural heritage impact?]),"")</f>
        <v/>
      </c>
      <c r="AI30" s="350" t="str" cm="1">
        <f t="array" ref="AI30">IF(AH30&lt;&gt;"",_xlfn.IFS(AH30="Yes",_xlfn.IFS(AND(AJ21&gt;='Variable index'!$K$35,AJ21&lt;'Variable index'!$K$36),'Variable index'!$M$35,AND(AJ21&gt;='Variable index'!$K$36,AJ21&lt;'Variable index'!$K$37),'Variable index'!$M$36,AND(AJ21&gt;='Variable index'!$K$37,AJ21&lt;'Variable index'!$K$38),'Variable index'!$M$37,AJ21&gt;='Variable index'!$K$38,'Variable index'!$M$38),AH30="No",0),"")</f>
        <v/>
      </c>
      <c r="AJ30" s="168" t="str">
        <f>IFERROR(AJ$21*AI30,"")</f>
        <v/>
      </c>
      <c r="AL30" s="345" t="str">
        <f>IF(_xlfn.XLOOKUP(AL$14,TableTransport['#],TableTransport[Is there a cultural heritage impact?])&lt;&gt;"",_xlfn.XLOOKUP(AL$14,TableTransport['#],TableTransport[Is there a cultural heritage impact?]),"")</f>
        <v/>
      </c>
      <c r="AM30" s="350" t="str" cm="1">
        <f t="array" ref="AM30">IF(AL30&lt;&gt;"",_xlfn.IFS(AL30="Yes",_xlfn.IFS(AND(AN21&gt;='Variable index'!$K$35,AN21&lt;'Variable index'!$K$36),'Variable index'!$M$35,AND(AN21&gt;='Variable index'!$K$36,AN21&lt;'Variable index'!$K$37),'Variable index'!$M$36,AND(AN21&gt;='Variable index'!$K$37,AN21&lt;'Variable index'!$K$38),'Variable index'!$M$37,AN21&gt;='Variable index'!$K$38,'Variable index'!$M$38),AL30="No",0),"")</f>
        <v/>
      </c>
      <c r="AN30" s="168" t="str">
        <f>IFERROR(AN$21*AM30,"")</f>
        <v/>
      </c>
      <c r="AP30" s="345" t="str">
        <f>IF(_xlfn.XLOOKUP(AP$14,TableTransport['#],TableTransport[Is there a cultural heritage impact?])&lt;&gt;"",_xlfn.XLOOKUP(AP$14,TableTransport['#],TableTransport[Is there a cultural heritage impact?]),"")</f>
        <v/>
      </c>
      <c r="AQ30" s="350" t="str" cm="1">
        <f t="array" ref="AQ30">IF(AP30&lt;&gt;"",_xlfn.IFS(AP30="Yes",_xlfn.IFS(AND(AR21&gt;='Variable index'!$K$35,AR21&lt;'Variable index'!$K$36),'Variable index'!$M$35,AND(AR21&gt;='Variable index'!$K$36,AR21&lt;'Variable index'!$K$37),'Variable index'!$M$36,AND(AR21&gt;='Variable index'!$K$37,AR21&lt;'Variable index'!$K$38),'Variable index'!$M$37,AR21&gt;='Variable index'!$K$38,'Variable index'!$M$38),AP30="No",0),"")</f>
        <v/>
      </c>
      <c r="AR30" s="168" t="str">
        <f>IFERROR(AR$21*AQ30,"")</f>
        <v/>
      </c>
      <c r="AT30" s="345" t="str">
        <f>IF(_xlfn.XLOOKUP(AT$14,TableTransport['#],TableTransport[Is there a cultural heritage impact?])&lt;&gt;"",_xlfn.XLOOKUP(AT$14,TableTransport['#],TableTransport[Is there a cultural heritage impact?]),"")</f>
        <v/>
      </c>
      <c r="AU30" s="350" t="str" cm="1">
        <f t="array" ref="AU30">IF(AT30&lt;&gt;"",_xlfn.IFS(AT30="Yes",_xlfn.IFS(AND(AV21&gt;='Variable index'!$K$35,AV21&lt;'Variable index'!$K$36),'Variable index'!$M$35,AND(AV21&gt;='Variable index'!$K$36,AV21&lt;'Variable index'!$K$37),'Variable index'!$M$36,AND(AV21&gt;='Variable index'!$K$37,AV21&lt;'Variable index'!$K$38),'Variable index'!$M$37,AV21&gt;='Variable index'!$K$38,'Variable index'!$M$38),AT30="No",0),"")</f>
        <v/>
      </c>
      <c r="AV30" s="168" t="str">
        <f>IFERROR(AV$21*AU30,"")</f>
        <v/>
      </c>
      <c r="AX30" s="345" t="str">
        <f>IF(_xlfn.XLOOKUP(AX$14,TableTransport['#],TableTransport[Is there a cultural heritage impact?])&lt;&gt;"",_xlfn.XLOOKUP(AX$14,TableTransport['#],TableTransport[Is there a cultural heritage impact?]),"")</f>
        <v/>
      </c>
      <c r="AY30" s="350" t="str" cm="1">
        <f t="array" ref="AY30">IF(AX30&lt;&gt;"",_xlfn.IFS(AX30="Yes",_xlfn.IFS(AND(AZ21&gt;='Variable index'!$K$35,AZ21&lt;'Variable index'!$K$36),'Variable index'!$M$35,AND(AZ21&gt;='Variable index'!$K$36,AZ21&lt;'Variable index'!$K$37),'Variable index'!$M$36,AND(AZ21&gt;='Variable index'!$K$37,AZ21&lt;'Variable index'!$K$38),'Variable index'!$M$37,AZ21&gt;='Variable index'!$K$38,'Variable index'!$M$38),AX30="No",0),"")</f>
        <v/>
      </c>
      <c r="AZ30" s="168" t="str">
        <f>IFERROR(AZ$21*AY30,"")</f>
        <v/>
      </c>
      <c r="BB30" s="345" t="str">
        <f>IF(_xlfn.XLOOKUP(BB$14,TableTransport['#],TableTransport[Is there a cultural heritage impact?])&lt;&gt;"",_xlfn.XLOOKUP(BB$14,TableTransport['#],TableTransport[Is there a cultural heritage impact?]),"")</f>
        <v/>
      </c>
      <c r="BC30" s="350" t="str" cm="1">
        <f t="array" ref="BC30">IF(BB30&lt;&gt;"",_xlfn.IFS(BB30="Yes",_xlfn.IFS(AND(BD21&gt;='Variable index'!$K$35,BD21&lt;'Variable index'!$K$36),'Variable index'!$M$35,AND(BD21&gt;='Variable index'!$K$36,BD21&lt;'Variable index'!$K$37),'Variable index'!$M$36,AND(BD21&gt;='Variable index'!$K$37,BD21&lt;'Variable index'!$K$38),'Variable index'!$M$37,BD21&gt;='Variable index'!$K$38,'Variable index'!$M$38),BB30="No",0),"")</f>
        <v/>
      </c>
      <c r="BD30" s="168" t="str">
        <f>IFERROR(BD$21*BC30,"")</f>
        <v/>
      </c>
      <c r="BF30" s="345" t="str">
        <f>IF(_xlfn.XLOOKUP(BF$14,TableTransport['#],TableTransport[Is there a cultural heritage impact?])&lt;&gt;"",_xlfn.XLOOKUP(BF$14,TableTransport['#],TableTransport[Is there a cultural heritage impact?]),"")</f>
        <v/>
      </c>
      <c r="BG30" s="350" t="str" cm="1">
        <f t="array" ref="BG30">IF(BF30&lt;&gt;"",_xlfn.IFS(BF30="Yes",_xlfn.IFS(AND(BH21&gt;='Variable index'!$K$35,BH21&lt;'Variable index'!$K$36),'Variable index'!$M$35,AND(BH21&gt;='Variable index'!$K$36,BH21&lt;'Variable index'!$K$37),'Variable index'!$M$36,AND(BH21&gt;='Variable index'!$K$37,BH21&lt;'Variable index'!$K$38),'Variable index'!$M$37,BH21&gt;='Variable index'!$K$38,'Variable index'!$M$38),BF30="No",0),"")</f>
        <v/>
      </c>
      <c r="BH30" s="168" t="str">
        <f>IFERROR(BH$21*BG30,"")</f>
        <v/>
      </c>
      <c r="BJ30" s="345" t="str">
        <f>IF(_xlfn.XLOOKUP(BJ$14,TableTransport['#],TableTransport[Is there a cultural heritage impact?])&lt;&gt;"",_xlfn.XLOOKUP(BJ$14,TableTransport['#],TableTransport[Is there a cultural heritage impact?]),"")</f>
        <v/>
      </c>
      <c r="BK30" s="350" t="str" cm="1">
        <f t="array" ref="BK30">IF(BJ30&lt;&gt;"",_xlfn.IFS(BJ30="Yes",_xlfn.IFS(AND(BL21&gt;='Variable index'!$K$35,BL21&lt;'Variable index'!$K$36),'Variable index'!$M$35,AND(BL21&gt;='Variable index'!$K$36,BL21&lt;'Variable index'!$K$37),'Variable index'!$M$36,AND(BL21&gt;='Variable index'!$K$37,BL21&lt;'Variable index'!$K$38),'Variable index'!$M$37,BL21&gt;='Variable index'!$K$38,'Variable index'!$M$38),BJ30="No",0),"")</f>
        <v/>
      </c>
      <c r="BL30" s="168" t="str">
        <f>IFERROR(BL$21*BK30,"")</f>
        <v/>
      </c>
      <c r="BN30" s="345" t="str">
        <f>IF(_xlfn.XLOOKUP(BN$14,TableTransport['#],TableTransport[Is there a cultural heritage impact?])&lt;&gt;"",_xlfn.XLOOKUP(BN$14,TableTransport['#],TableTransport[Is there a cultural heritage impact?]),"")</f>
        <v/>
      </c>
      <c r="BO30" s="350" t="str" cm="1">
        <f t="array" ref="BO30">IF(BN30&lt;&gt;"",_xlfn.IFS(BN30="Yes",_xlfn.IFS(AND(BP21&gt;='Variable index'!$K$35,BP21&lt;'Variable index'!$K$36),'Variable index'!$M$35,AND(BP21&gt;='Variable index'!$K$36,BP21&lt;'Variable index'!$K$37),'Variable index'!$M$36,AND(BP21&gt;='Variable index'!$K$37,BP21&lt;'Variable index'!$K$38),'Variable index'!$M$37,BP21&gt;='Variable index'!$K$38,'Variable index'!$M$38),BN30="No",0),"")</f>
        <v/>
      </c>
      <c r="BP30" s="168" t="str">
        <f>IFERROR(BP$21*BO30,"")</f>
        <v/>
      </c>
      <c r="BR30" s="345" t="str">
        <f>IF(_xlfn.XLOOKUP(BR$14,TableTransport['#],TableTransport[Is there a cultural heritage impact?])&lt;&gt;"",_xlfn.XLOOKUP(BR$14,TableTransport['#],TableTransport[Is there a cultural heritage impact?]),"")</f>
        <v/>
      </c>
      <c r="BS30" s="350" t="str" cm="1">
        <f t="array" ref="BS30">IF(BR30&lt;&gt;"",_xlfn.IFS(BR30="Yes",_xlfn.IFS(AND(BT21&gt;='Variable index'!$K$35,BT21&lt;'Variable index'!$K$36),'Variable index'!$M$35,AND(BT21&gt;='Variable index'!$K$36,BT21&lt;'Variable index'!$K$37),'Variable index'!$M$36,AND(BT21&gt;='Variable index'!$K$37,BT21&lt;'Variable index'!$K$38),'Variable index'!$M$37,BT21&gt;='Variable index'!$K$38,'Variable index'!$M$38),BR30="No",0),"")</f>
        <v/>
      </c>
      <c r="BT30" s="168" t="str">
        <f>IFERROR(BT$21*BS30,"")</f>
        <v/>
      </c>
      <c r="BV30" s="345" t="str">
        <f>IF(_xlfn.XLOOKUP(BV$14,TableTransport['#],TableTransport[Is there a cultural heritage impact?])&lt;&gt;"",_xlfn.XLOOKUP(BV$14,TableTransport['#],TableTransport[Is there a cultural heritage impact?]),"")</f>
        <v/>
      </c>
      <c r="BW30" s="350" t="str" cm="1">
        <f t="array" ref="BW30">IF(BV30&lt;&gt;"",_xlfn.IFS(BV30="Yes",_xlfn.IFS(AND(BX21&gt;='Variable index'!$K$35,BX21&lt;'Variable index'!$K$36),'Variable index'!$M$35,AND(BX21&gt;='Variable index'!$K$36,BX21&lt;'Variable index'!$K$37),'Variable index'!$M$36,AND(BX21&gt;='Variable index'!$K$37,BX21&lt;'Variable index'!$K$38),'Variable index'!$M$37,BX21&gt;='Variable index'!$K$38,'Variable index'!$M$38),BV30="No",0),"")</f>
        <v/>
      </c>
      <c r="BX30" s="168" t="str">
        <f>IFERROR(BX$21*BW30,"")</f>
        <v/>
      </c>
      <c r="BZ30" s="345" t="str">
        <f>IF(_xlfn.XLOOKUP(BZ$14,TableTransport['#],TableTransport[Is there a cultural heritage impact?])&lt;&gt;"",_xlfn.XLOOKUP(BZ$14,TableTransport['#],TableTransport[Is there a cultural heritage impact?]),"")</f>
        <v/>
      </c>
      <c r="CA30" s="350" t="str" cm="1">
        <f t="array" ref="CA30">IF(BZ30&lt;&gt;"",_xlfn.IFS(BZ30="Yes",_xlfn.IFS(AND(CB21&gt;='Variable index'!$K$35,CB21&lt;'Variable index'!$K$36),'Variable index'!$M$35,AND(CB21&gt;='Variable index'!$K$36,CB21&lt;'Variable index'!$K$37),'Variable index'!$M$36,AND(CB21&gt;='Variable index'!$K$37,CB21&lt;'Variable index'!$K$38),'Variable index'!$M$37,CB21&gt;='Variable index'!$K$38,'Variable index'!$M$38),BZ30="No",0),"")</f>
        <v/>
      </c>
      <c r="CB30" s="168" t="str">
        <f>IFERROR(CB$21*CA30,"")</f>
        <v/>
      </c>
      <c r="CD30" s="345" t="str">
        <f>IF(_xlfn.XLOOKUP(CD$14,TableTransport['#],TableTransport[Is there a cultural heritage impact?])&lt;&gt;"",_xlfn.XLOOKUP(CD$14,TableTransport['#],TableTransport[Is there a cultural heritage impact?]),"")</f>
        <v/>
      </c>
      <c r="CE30" s="350" t="str" cm="1">
        <f t="array" ref="CE30">IF(CD30&lt;&gt;"",_xlfn.IFS(CD30="Yes",_xlfn.IFS(AND(CF21&gt;='Variable index'!$K$35,CF21&lt;'Variable index'!$K$36),'Variable index'!$M$35,AND(CF21&gt;='Variable index'!$K$36,CF21&lt;'Variable index'!$K$37),'Variable index'!$M$36,AND(CF21&gt;='Variable index'!$K$37,CF21&lt;'Variable index'!$K$38),'Variable index'!$M$37,CF21&gt;='Variable index'!$K$38,'Variable index'!$M$38),CD30="No",0),"")</f>
        <v/>
      </c>
      <c r="CF30" s="168" t="str">
        <f>IFERROR(CF$21*CE30,"")</f>
        <v/>
      </c>
      <c r="CH30" s="345" t="str">
        <f>IF(_xlfn.XLOOKUP(CH$14,TableTransport['#],TableTransport[Is there a cultural heritage impact?])&lt;&gt;"",_xlfn.XLOOKUP(CH$14,TableTransport['#],TableTransport[Is there a cultural heritage impact?]),"")</f>
        <v/>
      </c>
      <c r="CI30" s="350" t="str" cm="1">
        <f t="array" ref="CI30">IF(CH30&lt;&gt;"",_xlfn.IFS(CH30="Yes",_xlfn.IFS(AND(CJ21&gt;='Variable index'!$K$35,CJ21&lt;'Variable index'!$K$36),'Variable index'!$M$35,AND(CJ21&gt;='Variable index'!$K$36,CJ21&lt;'Variable index'!$K$37),'Variable index'!$M$36,AND(CJ21&gt;='Variable index'!$K$37,CJ21&lt;'Variable index'!$K$38),'Variable index'!$M$37,CJ21&gt;='Variable index'!$K$38,'Variable index'!$M$38),CH30="No",0),"")</f>
        <v/>
      </c>
      <c r="CJ30" s="168" t="str">
        <f>IFERROR(CJ$21*CI30,"")</f>
        <v/>
      </c>
      <c r="CL30" s="345" t="str">
        <f>IF(_xlfn.XLOOKUP(CL$14,TableTransport['#],TableTransport[Is there a cultural heritage impact?])&lt;&gt;"",_xlfn.XLOOKUP(CL$14,TableTransport['#],TableTransport[Is there a cultural heritage impact?]),"")</f>
        <v/>
      </c>
      <c r="CM30" s="350" t="str" cm="1">
        <f t="array" ref="CM30">IF(CL30&lt;&gt;"",_xlfn.IFS(CL30="Yes",_xlfn.IFS(AND(CN21&gt;='Variable index'!$K$35,CN21&lt;'Variable index'!$K$36),'Variable index'!$M$35,AND(CN21&gt;='Variable index'!$K$36,CN21&lt;'Variable index'!$K$37),'Variable index'!$M$36,AND(CN21&gt;='Variable index'!$K$37,CN21&lt;'Variable index'!$K$38),'Variable index'!$M$37,CN21&gt;='Variable index'!$K$38,'Variable index'!$M$38),CL30="No",0),"")</f>
        <v/>
      </c>
      <c r="CN30" s="168" t="str">
        <f>IFERROR(CN$21*CM30,"")</f>
        <v/>
      </c>
      <c r="CP30" s="345" t="str">
        <f>IF(_xlfn.XLOOKUP(CP$14,TableTransport['#],TableTransport[Is there a cultural heritage impact?])&lt;&gt;"",_xlfn.XLOOKUP(CP$14,TableTransport['#],TableTransport[Is there a cultural heritage impact?]),"")</f>
        <v/>
      </c>
      <c r="CQ30" s="350" t="str" cm="1">
        <f t="array" ref="CQ30">IF(CP30&lt;&gt;"",_xlfn.IFS(CP30="Yes",_xlfn.IFS(AND(CR21&gt;='Variable index'!$K$35,CR21&lt;'Variable index'!$K$36),'Variable index'!$M$35,AND(CR21&gt;='Variable index'!$K$36,CR21&lt;'Variable index'!$K$37),'Variable index'!$M$36,AND(CR21&gt;='Variable index'!$K$37,CR21&lt;'Variable index'!$K$38),'Variable index'!$M$37,CR21&gt;='Variable index'!$K$38,'Variable index'!$M$38),CP30="No",0),"")</f>
        <v/>
      </c>
      <c r="CR30" s="168" t="str">
        <f>IFERROR(CR$21*CQ30,"")</f>
        <v/>
      </c>
      <c r="CT30" s="345" t="str">
        <f>IF(_xlfn.XLOOKUP(CT$14,TableTransport['#],TableTransport[Is there a cultural heritage impact?])&lt;&gt;"",_xlfn.XLOOKUP(CT$14,TableTransport['#],TableTransport[Is there a cultural heritage impact?]),"")</f>
        <v/>
      </c>
      <c r="CU30" s="350" t="str" cm="1">
        <f t="array" ref="CU30">IF(CT30&lt;&gt;"",_xlfn.IFS(CT30="Yes",_xlfn.IFS(AND(CV21&gt;='Variable index'!$K$35,CV21&lt;'Variable index'!$K$36),'Variable index'!$M$35,AND(CV21&gt;='Variable index'!$K$36,CV21&lt;'Variable index'!$K$37),'Variable index'!$M$36,AND(CV21&gt;='Variable index'!$K$37,CV21&lt;'Variable index'!$K$38),'Variable index'!$M$37,CV21&gt;='Variable index'!$K$38,'Variable index'!$M$38),CT30="No",0),"")</f>
        <v/>
      </c>
      <c r="CV30" s="168" t="str">
        <f>IFERROR(CV$21*CU30,"")</f>
        <v/>
      </c>
      <c r="CX30" s="345" t="str">
        <f>IF(_xlfn.XLOOKUP(CX$14,TableTransport['#],TableTransport[Is there a cultural heritage impact?])&lt;&gt;"",_xlfn.XLOOKUP(CX$14,TableTransport['#],TableTransport[Is there a cultural heritage impact?]),"")</f>
        <v/>
      </c>
      <c r="CY30" s="350" t="str" cm="1">
        <f t="array" ref="CY30">IF(CX30&lt;&gt;"",_xlfn.IFS(CX30="Yes",_xlfn.IFS(AND(CZ21&gt;='Variable index'!$K$35,CZ21&lt;'Variable index'!$K$36),'Variable index'!$M$35,AND(CZ21&gt;='Variable index'!$K$36,CZ21&lt;'Variable index'!$K$37),'Variable index'!$M$36,AND(CZ21&gt;='Variable index'!$K$37,CZ21&lt;'Variable index'!$K$38),'Variable index'!$M$37,CZ21&gt;='Variable index'!$K$38,'Variable index'!$M$38),CX30="No",0),"")</f>
        <v/>
      </c>
      <c r="CZ30" s="168" t="str">
        <f>IFERROR(CZ$21*CY30,"")</f>
        <v/>
      </c>
      <c r="DB30" s="345" t="str">
        <f>IF(_xlfn.XLOOKUP(DB$14,TableTransport['#],TableTransport[Is there a cultural heritage impact?])&lt;&gt;"",_xlfn.XLOOKUP(DB$14,TableTransport['#],TableTransport[Is there a cultural heritage impact?]),"")</f>
        <v/>
      </c>
      <c r="DC30" s="350" t="str" cm="1">
        <f t="array" ref="DC30">IF(DB30&lt;&gt;"",_xlfn.IFS(DB30="Yes",_xlfn.IFS(AND(DD21&gt;='Variable index'!$K$35,DD21&lt;'Variable index'!$K$36),'Variable index'!$M$35,AND(DD21&gt;='Variable index'!$K$36,DD21&lt;'Variable index'!$K$37),'Variable index'!$M$36,AND(DD21&gt;='Variable index'!$K$37,DD21&lt;'Variable index'!$K$38),'Variable index'!$M$37,DD21&gt;='Variable index'!$K$38,'Variable index'!$M$38),DB30="No",0),"")</f>
        <v/>
      </c>
      <c r="DD30" s="168" t="str">
        <f>IFERROR(DD$21*DC30,"")</f>
        <v/>
      </c>
      <c r="DF30" s="345" t="str">
        <f>IF(_xlfn.XLOOKUP(DF$14,TableTransport['#],TableTransport[Is there a cultural heritage impact?])&lt;&gt;"",_xlfn.XLOOKUP(DF$14,TableTransport['#],TableTransport[Is there a cultural heritage impact?]),"")</f>
        <v/>
      </c>
      <c r="DG30" s="350" t="str" cm="1">
        <f t="array" ref="DG30">IF(DF30&lt;&gt;"",_xlfn.IFS(DF30="Yes",_xlfn.IFS(AND(DH21&gt;='Variable index'!$K$35,DH21&lt;'Variable index'!$K$36),'Variable index'!$M$35,AND(DH21&gt;='Variable index'!$K$36,DH21&lt;'Variable index'!$K$37),'Variable index'!$M$36,AND(DH21&gt;='Variable index'!$K$37,DH21&lt;'Variable index'!$K$38),'Variable index'!$M$37,DH21&gt;='Variable index'!$K$38,'Variable index'!$M$38),DF30="No",0),"")</f>
        <v/>
      </c>
      <c r="DH30" s="168" t="str">
        <f>IFERROR(DH$21*DG30,"")</f>
        <v/>
      </c>
      <c r="DJ30" s="345" t="str">
        <f>IF(_xlfn.XLOOKUP(DJ$14,TableTransport['#],TableTransport[Is there a cultural heritage impact?])&lt;&gt;"",_xlfn.XLOOKUP(DJ$14,TableTransport['#],TableTransport[Is there a cultural heritage impact?]),"")</f>
        <v/>
      </c>
      <c r="DK30" s="350" t="str" cm="1">
        <f t="array" ref="DK30">IF(DJ30&lt;&gt;"",_xlfn.IFS(DJ30="Yes",_xlfn.IFS(AND(DL21&gt;='Variable index'!$K$35,DL21&lt;'Variable index'!$K$36),'Variable index'!$M$35,AND(DL21&gt;='Variable index'!$K$36,DL21&lt;'Variable index'!$K$37),'Variable index'!$M$36,AND(DL21&gt;='Variable index'!$K$37,DL21&lt;'Variable index'!$K$38),'Variable index'!$M$37,DL21&gt;='Variable index'!$K$38,'Variable index'!$M$38),DJ30="No",0),"")</f>
        <v/>
      </c>
      <c r="DL30" s="168" t="str">
        <f>IFERROR(DL$21*DK30,"")</f>
        <v/>
      </c>
      <c r="DN30" s="345" t="str">
        <f>IF(_xlfn.XLOOKUP(DN$14,TableTransport['#],TableTransport[Is there a cultural heritage impact?])&lt;&gt;"",_xlfn.XLOOKUP(DN$14,TableTransport['#],TableTransport[Is there a cultural heritage impact?]),"")</f>
        <v/>
      </c>
      <c r="DO30" s="350" t="str" cm="1">
        <f t="array" ref="DO30">IF(DN30&lt;&gt;"",_xlfn.IFS(DN30="Yes",_xlfn.IFS(AND(DP21&gt;='Variable index'!$K$35,DP21&lt;'Variable index'!$K$36),'Variable index'!$M$35,AND(DP21&gt;='Variable index'!$K$36,DP21&lt;'Variable index'!$K$37),'Variable index'!$M$36,AND(DP21&gt;='Variable index'!$K$37,DP21&lt;'Variable index'!$K$38),'Variable index'!$M$37,DP21&gt;='Variable index'!$K$38,'Variable index'!$M$38),DN30="No",0),"")</f>
        <v/>
      </c>
      <c r="DP30" s="168" t="str">
        <f>IFERROR(DP$21*DO30,"")</f>
        <v/>
      </c>
      <c r="DR30" s="345" t="str">
        <f>IF(_xlfn.XLOOKUP(DR$14,TableTransport['#],TableTransport[Is there a cultural heritage impact?])&lt;&gt;"",_xlfn.XLOOKUP(DR$14,TableTransport['#],TableTransport[Is there a cultural heritage impact?]),"")</f>
        <v/>
      </c>
      <c r="DS30" s="350" t="str" cm="1">
        <f t="array" ref="DS30">IF(DR30&lt;&gt;"",_xlfn.IFS(DR30="Yes",_xlfn.IFS(AND(DT21&gt;='Variable index'!$K$35,DT21&lt;'Variable index'!$K$36),'Variable index'!$M$35,AND(DT21&gt;='Variable index'!$K$36,DT21&lt;'Variable index'!$K$37),'Variable index'!$M$36,AND(DT21&gt;='Variable index'!$K$37,DT21&lt;'Variable index'!$K$38),'Variable index'!$M$37,DT21&gt;='Variable index'!$K$38,'Variable index'!$M$38),DR30="No",0),"")</f>
        <v/>
      </c>
      <c r="DT30" s="168" t="str">
        <f>IFERROR(DT$21*DS30,"")</f>
        <v/>
      </c>
      <c r="DV30" s="345" t="str">
        <f>IF(_xlfn.XLOOKUP(DV$14,TableTransport['#],TableTransport[Is there a cultural heritage impact?])&lt;&gt;"",_xlfn.XLOOKUP(DV$14,TableTransport['#],TableTransport[Is there a cultural heritage impact?]),"")</f>
        <v/>
      </c>
      <c r="DW30" s="350" t="str" cm="1">
        <f t="array" ref="DW30">IF(DV30&lt;&gt;"",_xlfn.IFS(DV30="Yes",_xlfn.IFS(AND(DX21&gt;='Variable index'!$K$35,DX21&lt;'Variable index'!$K$36),'Variable index'!$M$35,AND(DX21&gt;='Variable index'!$K$36,DX21&lt;'Variable index'!$K$37),'Variable index'!$M$36,AND(DX21&gt;='Variable index'!$K$37,DX21&lt;'Variable index'!$K$38),'Variable index'!$M$37,DX21&gt;='Variable index'!$K$38,'Variable index'!$M$38),DV30="No",0),"")</f>
        <v/>
      </c>
      <c r="DX30" s="168" t="str">
        <f>IFERROR(DX$21*DW30,"")</f>
        <v/>
      </c>
      <c r="DZ30" s="345" t="str">
        <f>IF(_xlfn.XLOOKUP(DZ$14,TableTransport['#],TableTransport[Is there a cultural heritage impact?])&lt;&gt;"",_xlfn.XLOOKUP(DZ$14,TableTransport['#],TableTransport[Is there a cultural heritage impact?]),"")</f>
        <v/>
      </c>
      <c r="EA30" s="350" t="str" cm="1">
        <f t="array" ref="EA30">IF(DZ30&lt;&gt;"",_xlfn.IFS(DZ30="Yes",_xlfn.IFS(AND(EB21&gt;='Variable index'!$K$35,EB21&lt;'Variable index'!$K$36),'Variable index'!$M$35,AND(EB21&gt;='Variable index'!$K$36,EB21&lt;'Variable index'!$K$37),'Variable index'!$M$36,AND(EB21&gt;='Variable index'!$K$37,EB21&lt;'Variable index'!$K$38),'Variable index'!$M$37,EB21&gt;='Variable index'!$K$38,'Variable index'!$M$38),DZ30="No",0),"")</f>
        <v/>
      </c>
      <c r="EB30" s="168" t="str">
        <f>IFERROR(EB$21*EA30,"")</f>
        <v/>
      </c>
      <c r="ED30" s="345" t="str">
        <f>IF(_xlfn.XLOOKUP(ED$14,TableTransport['#],TableTransport[Is there a cultural heritage impact?])&lt;&gt;"",_xlfn.XLOOKUP(ED$14,TableTransport['#],TableTransport[Is there a cultural heritage impact?]),"")</f>
        <v/>
      </c>
      <c r="EE30" s="350" t="str" cm="1">
        <f t="array" ref="EE30">IF(ED30&lt;&gt;"",_xlfn.IFS(ED30="Yes",_xlfn.IFS(AND(EF21&gt;='Variable index'!$K$35,EF21&lt;'Variable index'!$K$36),'Variable index'!$M$35,AND(EF21&gt;='Variable index'!$K$36,EF21&lt;'Variable index'!$K$37),'Variable index'!$M$36,AND(EF21&gt;='Variable index'!$K$37,EF21&lt;'Variable index'!$K$38),'Variable index'!$M$37,EF21&gt;='Variable index'!$K$38,'Variable index'!$M$38),ED30="No",0),"")</f>
        <v/>
      </c>
      <c r="EF30" s="168" t="str">
        <f>IFERROR(EF$21*EE30,"")</f>
        <v/>
      </c>
      <c r="EH30" s="345" t="str">
        <f>IF(_xlfn.XLOOKUP(EH$14,TableTransport['#],TableTransport[Is there a cultural heritage impact?])&lt;&gt;"",_xlfn.XLOOKUP(EH$14,TableTransport['#],TableTransport[Is there a cultural heritage impact?]),"")</f>
        <v/>
      </c>
      <c r="EI30" s="350" t="str" cm="1">
        <f t="array" ref="EI30">IF(EH30&lt;&gt;"",_xlfn.IFS(EH30="Yes",_xlfn.IFS(AND(EJ21&gt;='Variable index'!$K$35,EJ21&lt;'Variable index'!$K$36),'Variable index'!$M$35,AND(EJ21&gt;='Variable index'!$K$36,EJ21&lt;'Variable index'!$K$37),'Variable index'!$M$36,AND(EJ21&gt;='Variable index'!$K$37,EJ21&lt;'Variable index'!$K$38),'Variable index'!$M$37,EJ21&gt;='Variable index'!$K$38,'Variable index'!$M$38),EH30="No",0),"")</f>
        <v/>
      </c>
      <c r="EJ30" s="168" t="str">
        <f>IFERROR(EJ$21*EI30,"")</f>
        <v/>
      </c>
      <c r="EL30" s="345" t="str">
        <f>IF(_xlfn.XLOOKUP(EL$14,TableTransport['#],TableTransport[Is there a cultural heritage impact?])&lt;&gt;"",_xlfn.XLOOKUP(EL$14,TableTransport['#],TableTransport[Is there a cultural heritage impact?]),"")</f>
        <v/>
      </c>
      <c r="EM30" s="350" t="str" cm="1">
        <f t="array" ref="EM30">IF(EL30&lt;&gt;"",_xlfn.IFS(EL30="Yes",_xlfn.IFS(AND(EN21&gt;='Variable index'!$K$35,EN21&lt;'Variable index'!$K$36),'Variable index'!$M$35,AND(EN21&gt;='Variable index'!$K$36,EN21&lt;'Variable index'!$K$37),'Variable index'!$M$36,AND(EN21&gt;='Variable index'!$K$37,EN21&lt;'Variable index'!$K$38),'Variable index'!$M$37,EN21&gt;='Variable index'!$K$38,'Variable index'!$M$38),EL30="No",0),"")</f>
        <v/>
      </c>
      <c r="EN30" s="168" t="str">
        <f>IFERROR(EN$21*EM30,"")</f>
        <v/>
      </c>
      <c r="EP30" s="345" t="str">
        <f>IF(_xlfn.XLOOKUP(EP$14,TableTransport['#],TableTransport[Is there a cultural heritage impact?])&lt;&gt;"",_xlfn.XLOOKUP(EP$14,TableTransport['#],TableTransport[Is there a cultural heritage impact?]),"")</f>
        <v/>
      </c>
      <c r="EQ30" s="350" t="str" cm="1">
        <f t="array" ref="EQ30">IF(EP30&lt;&gt;"",_xlfn.IFS(EP30="Yes",_xlfn.IFS(AND(ER21&gt;='Variable index'!$K$35,ER21&lt;'Variable index'!$K$36),'Variable index'!$M$35,AND(ER21&gt;='Variable index'!$K$36,ER21&lt;'Variable index'!$K$37),'Variable index'!$M$36,AND(ER21&gt;='Variable index'!$K$37,ER21&lt;'Variable index'!$K$38),'Variable index'!$M$37,ER21&gt;='Variable index'!$K$38,'Variable index'!$M$38),EP30="No",0),"")</f>
        <v/>
      </c>
      <c r="ER30" s="168" t="str">
        <f>IFERROR(ER$21*EQ30,"")</f>
        <v/>
      </c>
      <c r="ET30" s="345" t="str">
        <f>IF(_xlfn.XLOOKUP(ET$14,TableTransport['#],TableTransport[Is there a cultural heritage impact?])&lt;&gt;"",_xlfn.XLOOKUP(ET$14,TableTransport['#],TableTransport[Is there a cultural heritage impact?]),"")</f>
        <v/>
      </c>
      <c r="EU30" s="350" t="str" cm="1">
        <f t="array" ref="EU30">IF(ET30&lt;&gt;"",_xlfn.IFS(ET30="Yes",_xlfn.IFS(AND(EV21&gt;='Variable index'!$K$35,EV21&lt;'Variable index'!$K$36),'Variable index'!$M$35,AND(EV21&gt;='Variable index'!$K$36,EV21&lt;'Variable index'!$K$37),'Variable index'!$M$36,AND(EV21&gt;='Variable index'!$K$37,EV21&lt;'Variable index'!$K$38),'Variable index'!$M$37,EV21&gt;='Variable index'!$K$38,'Variable index'!$M$38),ET30="No",0),"")</f>
        <v/>
      </c>
      <c r="EV30" s="168" t="str">
        <f>IFERROR(EV$21*EU30,"")</f>
        <v/>
      </c>
      <c r="EX30" s="345" t="str">
        <f>IF(_xlfn.XLOOKUP(EX$14,TableTransport['#],TableTransport[Is there a cultural heritage impact?])&lt;&gt;"",_xlfn.XLOOKUP(EX$14,TableTransport['#],TableTransport[Is there a cultural heritage impact?]),"")</f>
        <v/>
      </c>
      <c r="EY30" s="350" t="str" cm="1">
        <f t="array" ref="EY30">IF(EX30&lt;&gt;"",_xlfn.IFS(EX30="Yes",_xlfn.IFS(AND(EZ21&gt;='Variable index'!$K$35,EZ21&lt;'Variable index'!$K$36),'Variable index'!$M$35,AND(EZ21&gt;='Variable index'!$K$36,EZ21&lt;'Variable index'!$K$37),'Variable index'!$M$36,AND(EZ21&gt;='Variable index'!$K$37,EZ21&lt;'Variable index'!$K$38),'Variable index'!$M$37,EZ21&gt;='Variable index'!$K$38,'Variable index'!$M$38),EX30="No",0),"")</f>
        <v/>
      </c>
      <c r="EZ30" s="168" t="str">
        <f>IFERROR(EZ$21*EY30,"")</f>
        <v/>
      </c>
      <c r="FB30" s="345" t="str">
        <f>IF(_xlfn.XLOOKUP(FB$14,TableTransport['#],TableTransport[Is there a cultural heritage impact?])&lt;&gt;"",_xlfn.XLOOKUP(FB$14,TableTransport['#],TableTransport[Is there a cultural heritage impact?]),"")</f>
        <v/>
      </c>
      <c r="FC30" s="350" t="str" cm="1">
        <f t="array" ref="FC30">IF(FB30&lt;&gt;"",_xlfn.IFS(FB30="Yes",_xlfn.IFS(AND(FD21&gt;='Variable index'!$K$35,FD21&lt;'Variable index'!$K$36),'Variable index'!$M$35,AND(FD21&gt;='Variable index'!$K$36,FD21&lt;'Variable index'!$K$37),'Variable index'!$M$36,AND(FD21&gt;='Variable index'!$K$37,FD21&lt;'Variable index'!$K$38),'Variable index'!$M$37,FD21&gt;='Variable index'!$K$38,'Variable index'!$M$38),FB30="No",0),"")</f>
        <v/>
      </c>
      <c r="FD30" s="168" t="str">
        <f>IFERROR(FD$21*FC30,"")</f>
        <v/>
      </c>
      <c r="FF30" s="345" t="str">
        <f>IF(_xlfn.XLOOKUP(FF$14,TableTransport['#],TableTransport[Is there a cultural heritage impact?])&lt;&gt;"",_xlfn.XLOOKUP(FF$14,TableTransport['#],TableTransport[Is there a cultural heritage impact?]),"")</f>
        <v/>
      </c>
      <c r="FG30" s="350" t="str" cm="1">
        <f t="array" ref="FG30">IF(FF30&lt;&gt;"",_xlfn.IFS(FF30="Yes",_xlfn.IFS(AND(FH21&gt;='Variable index'!$K$35,FH21&lt;'Variable index'!$K$36),'Variable index'!$M$35,AND(FH21&gt;='Variable index'!$K$36,FH21&lt;'Variable index'!$K$37),'Variable index'!$M$36,AND(FH21&gt;='Variable index'!$K$37,FH21&lt;'Variable index'!$K$38),'Variable index'!$M$37,FH21&gt;='Variable index'!$K$38,'Variable index'!$M$38),FF30="No",0),"")</f>
        <v/>
      </c>
      <c r="FH30" s="168" t="str">
        <f>IFERROR(FH$21*FG30,"")</f>
        <v/>
      </c>
      <c r="FJ30" s="345" t="str">
        <f>IF(_xlfn.XLOOKUP(FJ$14,TableTransport['#],TableTransport[Is there a cultural heritage impact?])&lt;&gt;"",_xlfn.XLOOKUP(FJ$14,TableTransport['#],TableTransport[Is there a cultural heritage impact?]),"")</f>
        <v/>
      </c>
      <c r="FK30" s="350" t="str" cm="1">
        <f t="array" ref="FK30">IF(FJ30&lt;&gt;"",_xlfn.IFS(FJ30="Yes",_xlfn.IFS(AND(FL21&gt;='Variable index'!$K$35,FL21&lt;'Variable index'!$K$36),'Variable index'!$M$35,AND(FL21&gt;='Variable index'!$K$36,FL21&lt;'Variable index'!$K$37),'Variable index'!$M$36,AND(FL21&gt;='Variable index'!$K$37,FL21&lt;'Variable index'!$K$38),'Variable index'!$M$37,FL21&gt;='Variable index'!$K$38,'Variable index'!$M$38),FJ30="No",0),"")</f>
        <v/>
      </c>
      <c r="FL30" s="168" t="str">
        <f>IFERROR(FL$21*FK30,"")</f>
        <v/>
      </c>
      <c r="FN30" s="345" t="str">
        <f>IF(_xlfn.XLOOKUP(FN$14,TableTransport['#],TableTransport[Is there a cultural heritage impact?])&lt;&gt;"",_xlfn.XLOOKUP(FN$14,TableTransport['#],TableTransport[Is there a cultural heritage impact?]),"")</f>
        <v/>
      </c>
      <c r="FO30" s="350" t="str" cm="1">
        <f t="array" ref="FO30">IF(FN30&lt;&gt;"",_xlfn.IFS(FN30="Yes",_xlfn.IFS(AND(FP21&gt;='Variable index'!$K$35,FP21&lt;'Variable index'!$K$36),'Variable index'!$M$35,AND(FP21&gt;='Variable index'!$K$36,FP21&lt;'Variable index'!$K$37),'Variable index'!$M$36,AND(FP21&gt;='Variable index'!$K$37,FP21&lt;'Variable index'!$K$38),'Variable index'!$M$37,FP21&gt;='Variable index'!$K$38,'Variable index'!$M$38),FN30="No",0),"")</f>
        <v/>
      </c>
      <c r="FP30" s="168" t="str">
        <f>IFERROR(FP$21*FO30,"")</f>
        <v/>
      </c>
      <c r="FR30" s="345" t="str">
        <f>IF(_xlfn.XLOOKUP(FR$14,TableTransport['#],TableTransport[Is there a cultural heritage impact?])&lt;&gt;"",_xlfn.XLOOKUP(FR$14,TableTransport['#],TableTransport[Is there a cultural heritage impact?]),"")</f>
        <v/>
      </c>
      <c r="FS30" s="350" t="str" cm="1">
        <f t="array" ref="FS30">IF(FR30&lt;&gt;"",_xlfn.IFS(FR30="Yes",_xlfn.IFS(AND(FT21&gt;='Variable index'!$K$35,FT21&lt;'Variable index'!$K$36),'Variable index'!$M$35,AND(FT21&gt;='Variable index'!$K$36,FT21&lt;'Variable index'!$K$37),'Variable index'!$M$36,AND(FT21&gt;='Variable index'!$K$37,FT21&lt;'Variable index'!$K$38),'Variable index'!$M$37,FT21&gt;='Variable index'!$K$38,'Variable index'!$M$38),FR30="No",0),"")</f>
        <v/>
      </c>
      <c r="FT30" s="168" t="str">
        <f>IFERROR(FT$21*FS30,"")</f>
        <v/>
      </c>
      <c r="FV30" s="345" t="str">
        <f>IF(_xlfn.XLOOKUP(FV$14,TableTransport['#],TableTransport[Is there a cultural heritage impact?])&lt;&gt;"",_xlfn.XLOOKUP(FV$14,TableTransport['#],TableTransport[Is there a cultural heritage impact?]),"")</f>
        <v/>
      </c>
      <c r="FW30" s="350" t="str" cm="1">
        <f t="array" ref="FW30">IF(FV30&lt;&gt;"",_xlfn.IFS(FV30="Yes",_xlfn.IFS(AND(FX21&gt;='Variable index'!$K$35,FX21&lt;'Variable index'!$K$36),'Variable index'!$M$35,AND(FX21&gt;='Variable index'!$K$36,FX21&lt;'Variable index'!$K$37),'Variable index'!$M$36,AND(FX21&gt;='Variable index'!$K$37,FX21&lt;'Variable index'!$K$38),'Variable index'!$M$37,FX21&gt;='Variable index'!$K$38,'Variable index'!$M$38),FV30="No",0),"")</f>
        <v/>
      </c>
      <c r="FX30" s="168" t="str">
        <f>IFERROR(FX$21*FW30,"")</f>
        <v/>
      </c>
      <c r="FZ30" s="345" t="str">
        <f>IF(_xlfn.XLOOKUP(FZ$14,TableTransport['#],TableTransport[Is there a cultural heritage impact?])&lt;&gt;"",_xlfn.XLOOKUP(FZ$14,TableTransport['#],TableTransport[Is there a cultural heritage impact?]),"")</f>
        <v/>
      </c>
      <c r="GA30" s="350" t="str" cm="1">
        <f t="array" ref="GA30">IF(FZ30&lt;&gt;"",_xlfn.IFS(FZ30="Yes",_xlfn.IFS(AND(GB21&gt;='Variable index'!$K$35,GB21&lt;'Variable index'!$K$36),'Variable index'!$M$35,AND(GB21&gt;='Variable index'!$K$36,GB21&lt;'Variable index'!$K$37),'Variable index'!$M$36,AND(GB21&gt;='Variable index'!$K$37,GB21&lt;'Variable index'!$K$38),'Variable index'!$M$37,GB21&gt;='Variable index'!$K$38,'Variable index'!$M$38),FZ30="No",0),"")</f>
        <v/>
      </c>
      <c r="GB30" s="168" t="str">
        <f>IFERROR(GB$21*GA30,"")</f>
        <v/>
      </c>
      <c r="GD30" s="345" t="str">
        <f>IF(_xlfn.XLOOKUP(GD$14,TableTransport['#],TableTransport[Is there a cultural heritage impact?])&lt;&gt;"",_xlfn.XLOOKUP(GD$14,TableTransport['#],TableTransport[Is there a cultural heritage impact?]),"")</f>
        <v/>
      </c>
      <c r="GE30" s="350" t="str" cm="1">
        <f t="array" ref="GE30">IF(GD30&lt;&gt;"",_xlfn.IFS(GD30="Yes",_xlfn.IFS(AND(GF21&gt;='Variable index'!$K$35,GF21&lt;'Variable index'!$K$36),'Variable index'!$M$35,AND(GF21&gt;='Variable index'!$K$36,GF21&lt;'Variable index'!$K$37),'Variable index'!$M$36,AND(GF21&gt;='Variable index'!$K$37,GF21&lt;'Variable index'!$K$38),'Variable index'!$M$37,GF21&gt;='Variable index'!$K$38,'Variable index'!$M$38),GD30="No",0),"")</f>
        <v/>
      </c>
      <c r="GF30" s="168" t="str">
        <f>IFERROR(GF$21*GE30,"")</f>
        <v/>
      </c>
      <c r="GH30" s="345" t="str">
        <f>IF(_xlfn.XLOOKUP(GH$14,TableTransport['#],TableTransport[Is there a cultural heritage impact?])&lt;&gt;"",_xlfn.XLOOKUP(GH$14,TableTransport['#],TableTransport[Is there a cultural heritage impact?]),"")</f>
        <v/>
      </c>
      <c r="GI30" s="350" t="str" cm="1">
        <f t="array" ref="GI30">IF(GH30&lt;&gt;"",_xlfn.IFS(GH30="Yes",_xlfn.IFS(AND(GJ21&gt;='Variable index'!$K$35,GJ21&lt;'Variable index'!$K$36),'Variable index'!$M$35,AND(GJ21&gt;='Variable index'!$K$36,GJ21&lt;'Variable index'!$K$37),'Variable index'!$M$36,AND(GJ21&gt;='Variable index'!$K$37,GJ21&lt;'Variable index'!$K$38),'Variable index'!$M$37,GJ21&gt;='Variable index'!$K$38,'Variable index'!$M$38),GH30="No",0),"")</f>
        <v/>
      </c>
      <c r="GJ30" s="168" t="str">
        <f>IFERROR(GJ$21*GI30,"")</f>
        <v/>
      </c>
      <c r="GL30" s="345" t="str">
        <f>IF(_xlfn.XLOOKUP(GL$14,TableTransport['#],TableTransport[Is there a cultural heritage impact?])&lt;&gt;"",_xlfn.XLOOKUP(GL$14,TableTransport['#],TableTransport[Is there a cultural heritage impact?]),"")</f>
        <v/>
      </c>
      <c r="GM30" s="350" t="str" cm="1">
        <f t="array" ref="GM30">IF(GL30&lt;&gt;"",_xlfn.IFS(GL30="Yes",_xlfn.IFS(AND(GN21&gt;='Variable index'!$K$35,GN21&lt;'Variable index'!$K$36),'Variable index'!$M$35,AND(GN21&gt;='Variable index'!$K$36,GN21&lt;'Variable index'!$K$37),'Variable index'!$M$36,AND(GN21&gt;='Variable index'!$K$37,GN21&lt;'Variable index'!$K$38),'Variable index'!$M$37,GN21&gt;='Variable index'!$K$38,'Variable index'!$M$38),GL30="No",0),"")</f>
        <v/>
      </c>
      <c r="GN30" s="168" t="str">
        <f>IFERROR(GN$21*GM30,"")</f>
        <v/>
      </c>
      <c r="GP30" s="345" t="str">
        <f>IF(_xlfn.XLOOKUP(GP$14,TableTransport['#],TableTransport[Is there a cultural heritage impact?])&lt;&gt;"",_xlfn.XLOOKUP(GP$14,TableTransport['#],TableTransport[Is there a cultural heritage impact?]),"")</f>
        <v/>
      </c>
      <c r="GQ30" s="350" t="str" cm="1">
        <f t="array" ref="GQ30">IF(GP30&lt;&gt;"",_xlfn.IFS(GP30="Yes",_xlfn.IFS(AND(GR21&gt;='Variable index'!$K$35,GR21&lt;'Variable index'!$K$36),'Variable index'!$M$35,AND(GR21&gt;='Variable index'!$K$36,GR21&lt;'Variable index'!$K$37),'Variable index'!$M$36,AND(GR21&gt;='Variable index'!$K$37,GR21&lt;'Variable index'!$K$38),'Variable index'!$M$37,GR21&gt;='Variable index'!$K$38,'Variable index'!$M$38),GP30="No",0),"")</f>
        <v/>
      </c>
      <c r="GR30" s="168" t="str">
        <f>IFERROR(GR$21*GQ30,"")</f>
        <v/>
      </c>
      <c r="GT30" s="345" t="str">
        <f>IF(_xlfn.XLOOKUP(GT$14,TableTransport['#],TableTransport[Is there a cultural heritage impact?])&lt;&gt;"",_xlfn.XLOOKUP(GT$14,TableTransport['#],TableTransport[Is there a cultural heritage impact?]),"")</f>
        <v/>
      </c>
      <c r="GU30" s="350" t="str" cm="1">
        <f t="array" ref="GU30">IF(GT30&lt;&gt;"",_xlfn.IFS(GT30="Yes",_xlfn.IFS(AND(GV21&gt;='Variable index'!$K$35,GV21&lt;'Variable index'!$K$36),'Variable index'!$M$35,AND(GV21&gt;='Variable index'!$K$36,GV21&lt;'Variable index'!$K$37),'Variable index'!$M$36,AND(GV21&gt;='Variable index'!$K$37,GV21&lt;'Variable index'!$K$38),'Variable index'!$M$37,GV21&gt;='Variable index'!$K$38,'Variable index'!$M$38),GT30="No",0),"")</f>
        <v/>
      </c>
      <c r="GV30" s="168" t="str">
        <f>IFERROR(GV$21*GU30,"")</f>
        <v/>
      </c>
    </row>
    <row r="31" spans="4:204" x14ac:dyDescent="0.2">
      <c r="D31" t="s">
        <v>160</v>
      </c>
      <c r="F31" s="345" t="str">
        <f>IF(_xlfn.XLOOKUP(F$14,TableTransport['#],TableTransport[Stage of development])&lt;&gt;"",_xlfn.XLOOKUP(F$14,TableTransport['#],TableTransport[Stage of development]),"")</f>
        <v/>
      </c>
      <c r="J31" s="345" t="str">
        <f>IF(_xlfn.XLOOKUP(J$14,TableTransport['#],TableTransport[Stage of development])&lt;&gt;"",_xlfn.XLOOKUP(J$14,TableTransport['#],TableTransport[Stage of development]),"")</f>
        <v/>
      </c>
      <c r="N31" s="345" t="str">
        <f>IF(_xlfn.XLOOKUP(N$14,TableTransport['#],TableTransport[Stage of development])&lt;&gt;"",_xlfn.XLOOKUP(N$14,TableTransport['#],TableTransport[Stage of development]),"")</f>
        <v/>
      </c>
      <c r="R31" s="345" t="str">
        <f>IF(_xlfn.XLOOKUP(R$14,TableTransport['#],TableTransport[Stage of development])&lt;&gt;"",_xlfn.XLOOKUP(R$14,TableTransport['#],TableTransport[Stage of development]),"")</f>
        <v/>
      </c>
      <c r="V31" s="345" t="str">
        <f>IF(_xlfn.XLOOKUP(V$14,TableTransport['#],TableTransport[Stage of development])&lt;&gt;"",_xlfn.XLOOKUP(V$14,TableTransport['#],TableTransport[Stage of development]),"")</f>
        <v/>
      </c>
      <c r="Z31" s="345" t="str">
        <f>IF(_xlfn.XLOOKUP(Z$14,TableTransport['#],TableTransport[Stage of development])&lt;&gt;"",_xlfn.XLOOKUP(Z$14,TableTransport['#],TableTransport[Stage of development]),"")</f>
        <v/>
      </c>
      <c r="AD31" s="345" t="str">
        <f>IF(_xlfn.XLOOKUP(AD$14,TableTransport['#],TableTransport[Stage of development])&lt;&gt;"",_xlfn.XLOOKUP(AD$14,TableTransport['#],TableTransport[Stage of development]),"")</f>
        <v/>
      </c>
      <c r="AH31" s="345" t="str">
        <f>IF(_xlfn.XLOOKUP(AH$14,TableTransport['#],TableTransport[Stage of development])&lt;&gt;"",_xlfn.XLOOKUP(AH$14,TableTransport['#],TableTransport[Stage of development]),"")</f>
        <v/>
      </c>
      <c r="AL31" s="345" t="str">
        <f>IF(_xlfn.XLOOKUP(AL$14,TableTransport['#],TableTransport[Stage of development])&lt;&gt;"",_xlfn.XLOOKUP(AL$14,TableTransport['#],TableTransport[Stage of development]),"")</f>
        <v/>
      </c>
      <c r="AP31" s="345" t="str">
        <f>IF(_xlfn.XLOOKUP(AP$14,TableTransport['#],TableTransport[Stage of development])&lt;&gt;"",_xlfn.XLOOKUP(AP$14,TableTransport['#],TableTransport[Stage of development]),"")</f>
        <v/>
      </c>
      <c r="AT31" s="345" t="str">
        <f>IF(_xlfn.XLOOKUP(AT$14,TableTransport['#],TableTransport[Stage of development])&lt;&gt;"",_xlfn.XLOOKUP(AT$14,TableTransport['#],TableTransport[Stage of development]),"")</f>
        <v/>
      </c>
      <c r="AX31" s="345" t="str">
        <f>IF(_xlfn.XLOOKUP(AX$14,TableTransport['#],TableTransport[Stage of development])&lt;&gt;"",_xlfn.XLOOKUP(AX$14,TableTransport['#],TableTransport[Stage of development]),"")</f>
        <v/>
      </c>
      <c r="BB31" s="345" t="str">
        <f>IF(_xlfn.XLOOKUP(BB$14,TableTransport['#],TableTransport[Stage of development])&lt;&gt;"",_xlfn.XLOOKUP(BB$14,TableTransport['#],TableTransport[Stage of development]),"")</f>
        <v/>
      </c>
      <c r="BF31" s="345" t="str">
        <f>IF(_xlfn.XLOOKUP(BF$14,TableTransport['#],TableTransport[Stage of development])&lt;&gt;"",_xlfn.XLOOKUP(BF$14,TableTransport['#],TableTransport[Stage of development]),"")</f>
        <v/>
      </c>
      <c r="BJ31" s="345" t="str">
        <f>IF(_xlfn.XLOOKUP(BJ$14,TableTransport['#],TableTransport[Stage of development])&lt;&gt;"",_xlfn.XLOOKUP(BJ$14,TableTransport['#],TableTransport[Stage of development]),"")</f>
        <v/>
      </c>
      <c r="BN31" s="345" t="str">
        <f>IF(_xlfn.XLOOKUP(BN$14,TableTransport['#],TableTransport[Stage of development])&lt;&gt;"",_xlfn.XLOOKUP(BN$14,TableTransport['#],TableTransport[Stage of development]),"")</f>
        <v/>
      </c>
      <c r="BR31" s="345" t="str">
        <f>IF(_xlfn.XLOOKUP(BR$14,TableTransport['#],TableTransport[Stage of development])&lt;&gt;"",_xlfn.XLOOKUP(BR$14,TableTransport['#],TableTransport[Stage of development]),"")</f>
        <v/>
      </c>
      <c r="BV31" s="345" t="str">
        <f>IF(_xlfn.XLOOKUP(BV$14,TableTransport['#],TableTransport[Stage of development])&lt;&gt;"",_xlfn.XLOOKUP(BV$14,TableTransport['#],TableTransport[Stage of development]),"")</f>
        <v/>
      </c>
      <c r="BZ31" s="345" t="str">
        <f>IF(_xlfn.XLOOKUP(BZ$14,TableTransport['#],TableTransport[Stage of development])&lt;&gt;"",_xlfn.XLOOKUP(BZ$14,TableTransport['#],TableTransport[Stage of development]),"")</f>
        <v/>
      </c>
      <c r="CD31" s="345" t="str">
        <f>IF(_xlfn.XLOOKUP(CD$14,TableTransport['#],TableTransport[Stage of development])&lt;&gt;"",_xlfn.XLOOKUP(CD$14,TableTransport['#],TableTransport[Stage of development]),"")</f>
        <v/>
      </c>
      <c r="CH31" s="345" t="str">
        <f>IF(_xlfn.XLOOKUP(CH$14,TableTransport['#],TableTransport[Stage of development])&lt;&gt;"",_xlfn.XLOOKUP(CH$14,TableTransport['#],TableTransport[Stage of development]),"")</f>
        <v/>
      </c>
      <c r="CL31" s="345" t="str">
        <f>IF(_xlfn.XLOOKUP(CL$14,TableTransport['#],TableTransport[Stage of development])&lt;&gt;"",_xlfn.XLOOKUP(CL$14,TableTransport['#],TableTransport[Stage of development]),"")</f>
        <v/>
      </c>
      <c r="CP31" s="345" t="str">
        <f>IF(_xlfn.XLOOKUP(CP$14,TableTransport['#],TableTransport[Stage of development])&lt;&gt;"",_xlfn.XLOOKUP(CP$14,TableTransport['#],TableTransport[Stage of development]),"")</f>
        <v/>
      </c>
      <c r="CT31" s="345" t="str">
        <f>IF(_xlfn.XLOOKUP(CT$14,TableTransport['#],TableTransport[Stage of development])&lt;&gt;"",_xlfn.XLOOKUP(CT$14,TableTransport['#],TableTransport[Stage of development]),"")</f>
        <v/>
      </c>
      <c r="CX31" s="345" t="str">
        <f>IF(_xlfn.XLOOKUP(CX$14,TableTransport['#],TableTransport[Stage of development])&lt;&gt;"",_xlfn.XLOOKUP(CX$14,TableTransport['#],TableTransport[Stage of development]),"")</f>
        <v/>
      </c>
      <c r="DB31" s="345" t="str">
        <f>IF(_xlfn.XLOOKUP(DB$14,TableTransport['#],TableTransport[Stage of development])&lt;&gt;"",_xlfn.XLOOKUP(DB$14,TableTransport['#],TableTransport[Stage of development]),"")</f>
        <v/>
      </c>
      <c r="DF31" s="345" t="str">
        <f>IF(_xlfn.XLOOKUP(DF$14,TableTransport['#],TableTransport[Stage of development])&lt;&gt;"",_xlfn.XLOOKUP(DF$14,TableTransport['#],TableTransport[Stage of development]),"")</f>
        <v/>
      </c>
      <c r="DJ31" s="345" t="str">
        <f>IF(_xlfn.XLOOKUP(DJ$14,TableTransport['#],TableTransport[Stage of development])&lt;&gt;"",_xlfn.XLOOKUP(DJ$14,TableTransport['#],TableTransport[Stage of development]),"")</f>
        <v/>
      </c>
      <c r="DN31" s="345" t="str">
        <f>IF(_xlfn.XLOOKUP(DN$14,TableTransport['#],TableTransport[Stage of development])&lt;&gt;"",_xlfn.XLOOKUP(DN$14,TableTransport['#],TableTransport[Stage of development]),"")</f>
        <v/>
      </c>
      <c r="DR31" s="345" t="str">
        <f>IF(_xlfn.XLOOKUP(DR$14,TableTransport['#],TableTransport[Stage of development])&lt;&gt;"",_xlfn.XLOOKUP(DR$14,TableTransport['#],TableTransport[Stage of development]),"")</f>
        <v/>
      </c>
      <c r="DV31" s="345" t="str">
        <f>IF(_xlfn.XLOOKUP(DV$14,TableTransport['#],TableTransport[Stage of development])&lt;&gt;"",_xlfn.XLOOKUP(DV$14,TableTransport['#],TableTransport[Stage of development]),"")</f>
        <v/>
      </c>
      <c r="DZ31" s="345" t="str">
        <f>IF(_xlfn.XLOOKUP(DZ$14,TableTransport['#],TableTransport[Stage of development])&lt;&gt;"",_xlfn.XLOOKUP(DZ$14,TableTransport['#],TableTransport[Stage of development]),"")</f>
        <v/>
      </c>
      <c r="ED31" s="345" t="str">
        <f>IF(_xlfn.XLOOKUP(ED$14,TableTransport['#],TableTransport[Stage of development])&lt;&gt;"",_xlfn.XLOOKUP(ED$14,TableTransport['#],TableTransport[Stage of development]),"")</f>
        <v/>
      </c>
      <c r="EH31" s="345" t="str">
        <f>IF(_xlfn.XLOOKUP(EH$14,TableTransport['#],TableTransport[Stage of development])&lt;&gt;"",_xlfn.XLOOKUP(EH$14,TableTransport['#],TableTransport[Stage of development]),"")</f>
        <v/>
      </c>
      <c r="EL31" s="345" t="str">
        <f>IF(_xlfn.XLOOKUP(EL$14,TableTransport['#],TableTransport[Stage of development])&lt;&gt;"",_xlfn.XLOOKUP(EL$14,TableTransport['#],TableTransport[Stage of development]),"")</f>
        <v/>
      </c>
      <c r="EP31" s="345" t="str">
        <f>IF(_xlfn.XLOOKUP(EP$14,TableTransport['#],TableTransport[Stage of development])&lt;&gt;"",_xlfn.XLOOKUP(EP$14,TableTransport['#],TableTransport[Stage of development]),"")</f>
        <v/>
      </c>
      <c r="ET31" s="345" t="str">
        <f>IF(_xlfn.XLOOKUP(ET$14,TableTransport['#],TableTransport[Stage of development])&lt;&gt;"",_xlfn.XLOOKUP(ET$14,TableTransport['#],TableTransport[Stage of development]),"")</f>
        <v/>
      </c>
      <c r="EX31" s="345" t="str">
        <f>IF(_xlfn.XLOOKUP(EX$14,TableTransport['#],TableTransport[Stage of development])&lt;&gt;"",_xlfn.XLOOKUP(EX$14,TableTransport['#],TableTransport[Stage of development]),"")</f>
        <v/>
      </c>
      <c r="FB31" s="345" t="str">
        <f>IF(_xlfn.XLOOKUP(FB$14,TableTransport['#],TableTransport[Stage of development])&lt;&gt;"",_xlfn.XLOOKUP(FB$14,TableTransport['#],TableTransport[Stage of development]),"")</f>
        <v/>
      </c>
      <c r="FF31" s="345" t="str">
        <f>IF(_xlfn.XLOOKUP(FF$14,TableTransport['#],TableTransport[Stage of development])&lt;&gt;"",_xlfn.XLOOKUP(FF$14,TableTransport['#],TableTransport[Stage of development]),"")</f>
        <v/>
      </c>
      <c r="FJ31" s="345" t="str">
        <f>IF(_xlfn.XLOOKUP(FJ$14,TableTransport['#],TableTransport[Stage of development])&lt;&gt;"",_xlfn.XLOOKUP(FJ$14,TableTransport['#],TableTransport[Stage of development]),"")</f>
        <v/>
      </c>
      <c r="FN31" s="345" t="str">
        <f>IF(_xlfn.XLOOKUP(FN$14,TableTransport['#],TableTransport[Stage of development])&lt;&gt;"",_xlfn.XLOOKUP(FN$14,TableTransport['#],TableTransport[Stage of development]),"")</f>
        <v/>
      </c>
      <c r="FR31" s="345" t="str">
        <f>IF(_xlfn.XLOOKUP(FR$14,TableTransport['#],TableTransport[Stage of development])&lt;&gt;"",_xlfn.XLOOKUP(FR$14,TableTransport['#],TableTransport[Stage of development]),"")</f>
        <v/>
      </c>
      <c r="FV31" s="345" t="str">
        <f>IF(_xlfn.XLOOKUP(FV$14,TableTransport['#],TableTransport[Stage of development])&lt;&gt;"",_xlfn.XLOOKUP(FV$14,TableTransport['#],TableTransport[Stage of development]),"")</f>
        <v/>
      </c>
      <c r="FZ31" s="345" t="str">
        <f>IF(_xlfn.XLOOKUP(FZ$14,TableTransport['#],TableTransport[Stage of development])&lt;&gt;"",_xlfn.XLOOKUP(FZ$14,TableTransport['#],TableTransport[Stage of development]),"")</f>
        <v/>
      </c>
      <c r="GD31" s="345" t="str">
        <f>IF(_xlfn.XLOOKUP(GD$14,TableTransport['#],TableTransport[Stage of development])&lt;&gt;"",_xlfn.XLOOKUP(GD$14,TableTransport['#],TableTransport[Stage of development]),"")</f>
        <v/>
      </c>
      <c r="GH31" s="345" t="str">
        <f>IF(_xlfn.XLOOKUP(GH$14,TableTransport['#],TableTransport[Stage of development])&lt;&gt;"",_xlfn.XLOOKUP(GH$14,TableTransport['#],TableTransport[Stage of development]),"")</f>
        <v/>
      </c>
      <c r="GL31" s="345" t="str">
        <f>IF(_xlfn.XLOOKUP(GL$14,TableTransport['#],TableTransport[Stage of development])&lt;&gt;"",_xlfn.XLOOKUP(GL$14,TableTransport['#],TableTransport[Stage of development]),"")</f>
        <v/>
      </c>
      <c r="GP31" s="345" t="str">
        <f>IF(_xlfn.XLOOKUP(GP$14,TableTransport['#],TableTransport[Stage of development])&lt;&gt;"",_xlfn.XLOOKUP(GP$14,TableTransport['#],TableTransport[Stage of development]),"")</f>
        <v/>
      </c>
      <c r="GT31" s="345" t="str">
        <f>IF(_xlfn.XLOOKUP(GT$14,TableTransport['#],TableTransport[Stage of development])&lt;&gt;"",_xlfn.XLOOKUP(GT$14,TableTransport['#],TableTransport[Stage of development]),"")</f>
        <v/>
      </c>
    </row>
    <row r="32" spans="4:204" x14ac:dyDescent="0.2">
      <c r="D32" t="s">
        <v>161</v>
      </c>
      <c r="G32" s="351" t="str" cm="1">
        <f t="array" ref="G32">IF(F31&lt;&gt;"",_xlfn.IFS(F31='Variable index'!$J$53,SUM('Variable index'!$K$48:$M$48),F31='Variable index'!$J$54,SUM('Variable index'!$L$48:$M$48),F31='Variable index'!$J$55,SUM('Variable index'!$M$48)),"")</f>
        <v/>
      </c>
      <c r="H32" s="168" t="str">
        <f>IFERROR(H$21*G32,"")</f>
        <v/>
      </c>
      <c r="K32" s="351" t="str" cm="1">
        <f t="array" ref="K32">IF(J31&lt;&gt;"",_xlfn.IFS(J31='Variable index'!$J$53,SUM('Variable index'!$K$48:$M$48),J31='Variable index'!$J$54,SUM('Variable index'!$L$48:$M$48),J31='Variable index'!$J$55,SUM('Variable index'!$M$48)),"")</f>
        <v/>
      </c>
      <c r="L32" s="168" t="str">
        <f>IFERROR(L$21*K32,"")</f>
        <v/>
      </c>
      <c r="O32" s="351" t="str" cm="1">
        <f t="array" ref="O32">IF(N31&lt;&gt;"",_xlfn.IFS(N31='Variable index'!$J$53,SUM('Variable index'!$K$48:$M$48),N31='Variable index'!$J$54,SUM('Variable index'!$L$48:$M$48),N31='Variable index'!$J$55,SUM('Variable index'!$M$48)),"")</f>
        <v/>
      </c>
      <c r="P32" s="168" t="str">
        <f>IFERROR(P$21*O32,"")</f>
        <v/>
      </c>
      <c r="S32" s="351" t="str" cm="1">
        <f t="array" ref="S32">IF(R31&lt;&gt;"",_xlfn.IFS(R31='Variable index'!$J$53,SUM('Variable index'!$K$48:$M$48),R31='Variable index'!$J$54,SUM('Variable index'!$L$48:$M$48),R31='Variable index'!$J$55,SUM('Variable index'!$M$48)),"")</f>
        <v/>
      </c>
      <c r="T32" s="168" t="str">
        <f>IFERROR(T$21*S32,"")</f>
        <v/>
      </c>
      <c r="W32" s="351" t="str" cm="1">
        <f t="array" ref="W32">IF(V31&lt;&gt;"",_xlfn.IFS(V31='Variable index'!$J$53,SUM('Variable index'!$K$48:$M$48),V31='Variable index'!$J$54,SUM('Variable index'!$L$48:$M$48),V31='Variable index'!$J$55,SUM('Variable index'!$M$48)),"")</f>
        <v/>
      </c>
      <c r="X32" s="168" t="str">
        <f>IFERROR(X$21*W32,"")</f>
        <v/>
      </c>
      <c r="AA32" s="351" t="str" cm="1">
        <f t="array" ref="AA32">IF(Z31&lt;&gt;"",_xlfn.IFS(Z31='Variable index'!$J$53,SUM('Variable index'!$K$48:$M$48),Z31='Variable index'!$J$54,SUM('Variable index'!$L$48:$M$48),Z31='Variable index'!$J$55,SUM('Variable index'!$M$48)),"")</f>
        <v/>
      </c>
      <c r="AB32" s="168" t="str">
        <f>IFERROR(AB$21*AA32,"")</f>
        <v/>
      </c>
      <c r="AE32" s="351" t="str" cm="1">
        <f t="array" ref="AE32">IF(AD31&lt;&gt;"",_xlfn.IFS(AD31='Variable index'!$J$53,SUM('Variable index'!$K$48:$M$48),AD31='Variable index'!$J$54,SUM('Variable index'!$L$48:$M$48),AD31='Variable index'!$J$55,SUM('Variable index'!$M$48)),"")</f>
        <v/>
      </c>
      <c r="AF32" s="168" t="str">
        <f>IFERROR(AF$21*AE32,"")</f>
        <v/>
      </c>
      <c r="AI32" s="351" t="str" cm="1">
        <f t="array" ref="AI32">IF(AH31&lt;&gt;"",_xlfn.IFS(AH31='Variable index'!$J$53,SUM('Variable index'!$K$48:$M$48),AH31='Variable index'!$J$54,SUM('Variable index'!$L$48:$M$48),AH31='Variable index'!$J$55,SUM('Variable index'!$M$48)),"")</f>
        <v/>
      </c>
      <c r="AJ32" s="168" t="str">
        <f>IFERROR(AJ$21*AI32,"")</f>
        <v/>
      </c>
      <c r="AM32" s="351" t="str" cm="1">
        <f t="array" ref="AM32">IF(AL31&lt;&gt;"",_xlfn.IFS(AL31='Variable index'!$J$53,SUM('Variable index'!$K$48:$M$48),AL31='Variable index'!$J$54,SUM('Variable index'!$L$48:$M$48),AL31='Variable index'!$J$55,SUM('Variable index'!$M$48)),"")</f>
        <v/>
      </c>
      <c r="AN32" s="168" t="str">
        <f>IFERROR(AN$21*AM32,"")</f>
        <v/>
      </c>
      <c r="AQ32" s="351" t="str" cm="1">
        <f t="array" ref="AQ32">IF(AP31&lt;&gt;"",_xlfn.IFS(AP31='Variable index'!$J$53,SUM('Variable index'!$K$48:$M$48),AP31='Variable index'!$J$54,SUM('Variable index'!$L$48:$M$48),AP31='Variable index'!$J$55,SUM('Variable index'!$M$48)),"")</f>
        <v/>
      </c>
      <c r="AR32" s="168" t="str">
        <f>IFERROR(AR$21*AQ32,"")</f>
        <v/>
      </c>
      <c r="AU32" s="351" t="str" cm="1">
        <f t="array" ref="AU32">IF(AT31&lt;&gt;"",_xlfn.IFS(AT31='Variable index'!$J$53,SUM('Variable index'!$K$48:$M$48),AT31='Variable index'!$J$54,SUM('Variable index'!$L$48:$M$48),AT31='Variable index'!$J$55,SUM('Variable index'!$M$48)),"")</f>
        <v/>
      </c>
      <c r="AV32" s="168" t="str">
        <f>IFERROR(AV$21*AU32,"")</f>
        <v/>
      </c>
      <c r="AY32" s="351" t="str" cm="1">
        <f t="array" ref="AY32">IF(AX31&lt;&gt;"",_xlfn.IFS(AX31='Variable index'!$J$53,SUM('Variable index'!$K$48:$M$48),AX31='Variable index'!$J$54,SUM('Variable index'!$L$48:$M$48),AX31='Variable index'!$J$55,SUM('Variable index'!$M$48)),"")</f>
        <v/>
      </c>
      <c r="AZ32" s="168" t="str">
        <f>IFERROR(AZ$21*AY32,"")</f>
        <v/>
      </c>
      <c r="BC32" s="351" t="str" cm="1">
        <f t="array" ref="BC32">IF(BB31&lt;&gt;"",_xlfn.IFS(BB31='Variable index'!$J$53,SUM('Variable index'!$K$48:$M$48),BB31='Variable index'!$J$54,SUM('Variable index'!$L$48:$M$48),BB31='Variable index'!$J$55,SUM('Variable index'!$M$48)),"")</f>
        <v/>
      </c>
      <c r="BD32" s="168" t="str">
        <f>IFERROR(BD$21*BC32,"")</f>
        <v/>
      </c>
      <c r="BG32" s="351" t="str" cm="1">
        <f t="array" ref="BG32">IF(BF31&lt;&gt;"",_xlfn.IFS(BF31='Variable index'!$J$53,SUM('Variable index'!$K$48:$M$48),BF31='Variable index'!$J$54,SUM('Variable index'!$L$48:$M$48),BF31='Variable index'!$J$55,SUM('Variable index'!$M$48)),"")</f>
        <v/>
      </c>
      <c r="BH32" s="168" t="str">
        <f>IFERROR(BH$21*BG32,"")</f>
        <v/>
      </c>
      <c r="BK32" s="351" t="str" cm="1">
        <f t="array" ref="BK32">IF(BJ31&lt;&gt;"",_xlfn.IFS(BJ31='Variable index'!$J$53,SUM('Variable index'!$K$48:$M$48),BJ31='Variable index'!$J$54,SUM('Variable index'!$L$48:$M$48),BJ31='Variable index'!$J$55,SUM('Variable index'!$M$48)),"")</f>
        <v/>
      </c>
      <c r="BL32" s="168" t="str">
        <f>IFERROR(BL$21*BK32,"")</f>
        <v/>
      </c>
      <c r="BO32" s="351" t="str" cm="1">
        <f t="array" ref="BO32">IF(BN31&lt;&gt;"",_xlfn.IFS(BN31='Variable index'!$J$53,SUM('Variable index'!$K$48:$M$48),BN31='Variable index'!$J$54,SUM('Variable index'!$L$48:$M$48),BN31='Variable index'!$J$55,SUM('Variable index'!$M$48)),"")</f>
        <v/>
      </c>
      <c r="BP32" s="168" t="str">
        <f>IFERROR(BP$21*BO32,"")</f>
        <v/>
      </c>
      <c r="BS32" s="351" t="str" cm="1">
        <f t="array" ref="BS32">IF(BR31&lt;&gt;"",_xlfn.IFS(BR31='Variable index'!$J$53,SUM('Variable index'!$K$48:$M$48),BR31='Variable index'!$J$54,SUM('Variable index'!$L$48:$M$48),BR31='Variable index'!$J$55,SUM('Variable index'!$M$48)),"")</f>
        <v/>
      </c>
      <c r="BT32" s="168" t="str">
        <f>IFERROR(BT$21*BS32,"")</f>
        <v/>
      </c>
      <c r="BW32" s="351" t="str" cm="1">
        <f t="array" ref="BW32">IF(BV31&lt;&gt;"",_xlfn.IFS(BV31='Variable index'!$J$53,SUM('Variable index'!$K$48:$M$48),BV31='Variable index'!$J$54,SUM('Variable index'!$L$48:$M$48),BV31='Variable index'!$J$55,SUM('Variable index'!$M$48)),"")</f>
        <v/>
      </c>
      <c r="BX32" s="168" t="str">
        <f>IFERROR(BX$21*BW32,"")</f>
        <v/>
      </c>
      <c r="CA32" s="351" t="str" cm="1">
        <f t="array" ref="CA32">IF(BZ31&lt;&gt;"",_xlfn.IFS(BZ31='Variable index'!$J$53,SUM('Variable index'!$K$48:$M$48),BZ31='Variable index'!$J$54,SUM('Variable index'!$L$48:$M$48),BZ31='Variable index'!$J$55,SUM('Variable index'!$M$48)),"")</f>
        <v/>
      </c>
      <c r="CB32" s="168" t="str">
        <f>IFERROR(CB$21*CA32,"")</f>
        <v/>
      </c>
      <c r="CE32" s="351" t="str" cm="1">
        <f t="array" ref="CE32">IF(CD31&lt;&gt;"",_xlfn.IFS(CD31='Variable index'!$J$53,SUM('Variable index'!$K$48:$M$48),CD31='Variable index'!$J$54,SUM('Variable index'!$L$48:$M$48),CD31='Variable index'!$J$55,SUM('Variable index'!$M$48)),"")</f>
        <v/>
      </c>
      <c r="CF32" s="168" t="str">
        <f>IFERROR(CF$21*CE32,"")</f>
        <v/>
      </c>
      <c r="CI32" s="351" t="str" cm="1">
        <f t="array" ref="CI32">IF(CH31&lt;&gt;"",_xlfn.IFS(CH31='Variable index'!$J$53,SUM('Variable index'!$K$48:$M$48),CH31='Variable index'!$J$54,SUM('Variable index'!$L$48:$M$48),CH31='Variable index'!$J$55,SUM('Variable index'!$M$48)),"")</f>
        <v/>
      </c>
      <c r="CJ32" s="168" t="str">
        <f>IFERROR(CJ$21*CI32,"")</f>
        <v/>
      </c>
      <c r="CM32" s="351" t="str" cm="1">
        <f t="array" ref="CM32">IF(CL31&lt;&gt;"",_xlfn.IFS(CL31='Variable index'!$J$53,SUM('Variable index'!$K$48:$M$48),CL31='Variable index'!$J$54,SUM('Variable index'!$L$48:$M$48),CL31='Variable index'!$J$55,SUM('Variable index'!$M$48)),"")</f>
        <v/>
      </c>
      <c r="CN32" s="168" t="str">
        <f>IFERROR(CN$21*CM32,"")</f>
        <v/>
      </c>
      <c r="CQ32" s="351" t="str" cm="1">
        <f t="array" ref="CQ32">IF(CP31&lt;&gt;"",_xlfn.IFS(CP31='Variable index'!$J$53,SUM('Variable index'!$K$48:$M$48),CP31='Variable index'!$J$54,SUM('Variable index'!$L$48:$M$48),CP31='Variable index'!$J$55,SUM('Variable index'!$M$48)),"")</f>
        <v/>
      </c>
      <c r="CR32" s="168" t="str">
        <f>IFERROR(CR$21*CQ32,"")</f>
        <v/>
      </c>
      <c r="CU32" s="351" t="str" cm="1">
        <f t="array" ref="CU32">IF(CT31&lt;&gt;"",_xlfn.IFS(CT31='Variable index'!$J$53,SUM('Variable index'!$K$48:$M$48),CT31='Variable index'!$J$54,SUM('Variable index'!$L$48:$M$48),CT31='Variable index'!$J$55,SUM('Variable index'!$M$48)),"")</f>
        <v/>
      </c>
      <c r="CV32" s="168" t="str">
        <f>IFERROR(CV$21*CU32,"")</f>
        <v/>
      </c>
      <c r="CY32" s="351" t="str" cm="1">
        <f t="array" ref="CY32">IF(CX31&lt;&gt;"",_xlfn.IFS(CX31='Variable index'!$J$53,SUM('Variable index'!$K$48:$M$48),CX31='Variable index'!$J$54,SUM('Variable index'!$L$48:$M$48),CX31='Variable index'!$J$55,SUM('Variable index'!$M$48)),"")</f>
        <v/>
      </c>
      <c r="CZ32" s="168" t="str">
        <f>IFERROR(CZ$21*CY32,"")</f>
        <v/>
      </c>
      <c r="DC32" s="351" t="str" cm="1">
        <f t="array" ref="DC32">IF(DB31&lt;&gt;"",_xlfn.IFS(DB31='Variable index'!$J$53,SUM('Variable index'!$K$48:$M$48),DB31='Variable index'!$J$54,SUM('Variable index'!$L$48:$M$48),DB31='Variable index'!$J$55,SUM('Variable index'!$M$48)),"")</f>
        <v/>
      </c>
      <c r="DD32" s="168" t="str">
        <f>IFERROR(DD$21*DC32,"")</f>
        <v/>
      </c>
      <c r="DG32" s="351" t="str" cm="1">
        <f t="array" ref="DG32">IF(DF31&lt;&gt;"",_xlfn.IFS(DF31='Variable index'!$J$53,SUM('Variable index'!$K$48:$M$48),DF31='Variable index'!$J$54,SUM('Variable index'!$L$48:$M$48),DF31='Variable index'!$J$55,SUM('Variable index'!$M$48)),"")</f>
        <v/>
      </c>
      <c r="DH32" s="168" t="str">
        <f>IFERROR(DH$21*DG32,"")</f>
        <v/>
      </c>
      <c r="DK32" s="351" t="str" cm="1">
        <f t="array" ref="DK32">IF(DJ31&lt;&gt;"",_xlfn.IFS(DJ31='Variable index'!$J$53,SUM('Variable index'!$K$48:$M$48),DJ31='Variable index'!$J$54,SUM('Variable index'!$L$48:$M$48),DJ31='Variable index'!$J$55,SUM('Variable index'!$M$48)),"")</f>
        <v/>
      </c>
      <c r="DL32" s="168" t="str">
        <f>IFERROR(DL$21*DK32,"")</f>
        <v/>
      </c>
      <c r="DO32" s="351" t="str" cm="1">
        <f t="array" ref="DO32">IF(DN31&lt;&gt;"",_xlfn.IFS(DN31='Variable index'!$J$53,SUM('Variable index'!$K$48:$M$48),DN31='Variable index'!$J$54,SUM('Variable index'!$L$48:$M$48),DN31='Variable index'!$J$55,SUM('Variable index'!$M$48)),"")</f>
        <v/>
      </c>
      <c r="DP32" s="168" t="str">
        <f>IFERROR(DP$21*DO32,"")</f>
        <v/>
      </c>
      <c r="DS32" s="351" t="str" cm="1">
        <f t="array" ref="DS32">IF(DR31&lt;&gt;"",_xlfn.IFS(DR31='Variable index'!$J$53,SUM('Variable index'!$K$48:$M$48),DR31='Variable index'!$J$54,SUM('Variable index'!$L$48:$M$48),DR31='Variable index'!$J$55,SUM('Variable index'!$M$48)),"")</f>
        <v/>
      </c>
      <c r="DT32" s="168" t="str">
        <f>IFERROR(DT$21*DS32,"")</f>
        <v/>
      </c>
      <c r="DW32" s="351" t="str" cm="1">
        <f t="array" ref="DW32">IF(DV31&lt;&gt;"",_xlfn.IFS(DV31='Variable index'!$J$53,SUM('Variable index'!$K$48:$M$48),DV31='Variable index'!$J$54,SUM('Variable index'!$L$48:$M$48),DV31='Variable index'!$J$55,SUM('Variable index'!$M$48)),"")</f>
        <v/>
      </c>
      <c r="DX32" s="168" t="str">
        <f>IFERROR(DX$21*DW32,"")</f>
        <v/>
      </c>
      <c r="EA32" s="351" t="str" cm="1">
        <f t="array" ref="EA32">IF(DZ31&lt;&gt;"",_xlfn.IFS(DZ31='Variable index'!$J$53,SUM('Variable index'!$K$48:$M$48),DZ31='Variable index'!$J$54,SUM('Variable index'!$L$48:$M$48),DZ31='Variable index'!$J$55,SUM('Variable index'!$M$48)),"")</f>
        <v/>
      </c>
      <c r="EB32" s="168" t="str">
        <f>IFERROR(EB$21*EA32,"")</f>
        <v/>
      </c>
      <c r="EE32" s="351" t="str" cm="1">
        <f t="array" ref="EE32">IF(ED31&lt;&gt;"",_xlfn.IFS(ED31='Variable index'!$J$53,SUM('Variable index'!$K$48:$M$48),ED31='Variable index'!$J$54,SUM('Variable index'!$L$48:$M$48),ED31='Variable index'!$J$55,SUM('Variable index'!$M$48)),"")</f>
        <v/>
      </c>
      <c r="EF32" s="168" t="str">
        <f>IFERROR(EF$21*EE32,"")</f>
        <v/>
      </c>
      <c r="EI32" s="351" t="str" cm="1">
        <f t="array" ref="EI32">IF(EH31&lt;&gt;"",_xlfn.IFS(EH31='Variable index'!$J$53,SUM('Variable index'!$K$48:$M$48),EH31='Variable index'!$J$54,SUM('Variable index'!$L$48:$M$48),EH31='Variable index'!$J$55,SUM('Variable index'!$M$48)),"")</f>
        <v/>
      </c>
      <c r="EJ32" s="168" t="str">
        <f>IFERROR(EJ$21*EI32,"")</f>
        <v/>
      </c>
      <c r="EM32" s="351" t="str" cm="1">
        <f t="array" ref="EM32">IF(EL31&lt;&gt;"",_xlfn.IFS(EL31='Variable index'!$J$53,SUM('Variable index'!$K$48:$M$48),EL31='Variable index'!$J$54,SUM('Variable index'!$L$48:$M$48),EL31='Variable index'!$J$55,SUM('Variable index'!$M$48)),"")</f>
        <v/>
      </c>
      <c r="EN32" s="168" t="str">
        <f>IFERROR(EN$21*EM32,"")</f>
        <v/>
      </c>
      <c r="EQ32" s="351" t="str" cm="1">
        <f t="array" ref="EQ32">IF(EP31&lt;&gt;"",_xlfn.IFS(EP31='Variable index'!$J$53,SUM('Variable index'!$K$48:$M$48),EP31='Variable index'!$J$54,SUM('Variable index'!$L$48:$M$48),EP31='Variable index'!$J$55,SUM('Variable index'!$M$48)),"")</f>
        <v/>
      </c>
      <c r="ER32" s="168" t="str">
        <f>IFERROR(ER$21*EQ32,"")</f>
        <v/>
      </c>
      <c r="EU32" s="351" t="str" cm="1">
        <f t="array" ref="EU32">IF(ET31&lt;&gt;"",_xlfn.IFS(ET31='Variable index'!$J$53,SUM('Variable index'!$K$48:$M$48),ET31='Variable index'!$J$54,SUM('Variable index'!$L$48:$M$48),ET31='Variable index'!$J$55,SUM('Variable index'!$M$48)),"")</f>
        <v/>
      </c>
      <c r="EV32" s="168" t="str">
        <f>IFERROR(EV$21*EU32,"")</f>
        <v/>
      </c>
      <c r="EY32" s="351" t="str" cm="1">
        <f t="array" ref="EY32">IF(EX31&lt;&gt;"",_xlfn.IFS(EX31='Variable index'!$J$53,SUM('Variable index'!$K$48:$M$48),EX31='Variable index'!$J$54,SUM('Variable index'!$L$48:$M$48),EX31='Variable index'!$J$55,SUM('Variable index'!$M$48)),"")</f>
        <v/>
      </c>
      <c r="EZ32" s="168" t="str">
        <f>IFERROR(EZ$21*EY32,"")</f>
        <v/>
      </c>
      <c r="FC32" s="351" t="str" cm="1">
        <f t="array" ref="FC32">IF(FB31&lt;&gt;"",_xlfn.IFS(FB31='Variable index'!$J$53,SUM('Variable index'!$K$48:$M$48),FB31='Variable index'!$J$54,SUM('Variable index'!$L$48:$M$48),FB31='Variable index'!$J$55,SUM('Variable index'!$M$48)),"")</f>
        <v/>
      </c>
      <c r="FD32" s="168" t="str">
        <f>IFERROR(FD$21*FC32,"")</f>
        <v/>
      </c>
      <c r="FG32" s="351" t="str" cm="1">
        <f t="array" ref="FG32">IF(FF31&lt;&gt;"",_xlfn.IFS(FF31='Variable index'!$J$53,SUM('Variable index'!$K$48:$M$48),FF31='Variable index'!$J$54,SUM('Variable index'!$L$48:$M$48),FF31='Variable index'!$J$55,SUM('Variable index'!$M$48)),"")</f>
        <v/>
      </c>
      <c r="FH32" s="168" t="str">
        <f>IFERROR(FH$21*FG32,"")</f>
        <v/>
      </c>
      <c r="FK32" s="351" t="str" cm="1">
        <f t="array" ref="FK32">IF(FJ31&lt;&gt;"",_xlfn.IFS(FJ31='Variable index'!$J$53,SUM('Variable index'!$K$48:$M$48),FJ31='Variable index'!$J$54,SUM('Variable index'!$L$48:$M$48),FJ31='Variable index'!$J$55,SUM('Variable index'!$M$48)),"")</f>
        <v/>
      </c>
      <c r="FL32" s="168" t="str">
        <f>IFERROR(FL$21*FK32,"")</f>
        <v/>
      </c>
      <c r="FO32" s="351" t="str" cm="1">
        <f t="array" ref="FO32">IF(FN31&lt;&gt;"",_xlfn.IFS(FN31='Variable index'!$J$53,SUM('Variable index'!$K$48:$M$48),FN31='Variable index'!$J$54,SUM('Variable index'!$L$48:$M$48),FN31='Variable index'!$J$55,SUM('Variable index'!$M$48)),"")</f>
        <v/>
      </c>
      <c r="FP32" s="168" t="str">
        <f>IFERROR(FP$21*FO32,"")</f>
        <v/>
      </c>
      <c r="FS32" s="351" t="str" cm="1">
        <f t="array" ref="FS32">IF(FR31&lt;&gt;"",_xlfn.IFS(FR31='Variable index'!$J$53,SUM('Variable index'!$K$48:$M$48),FR31='Variable index'!$J$54,SUM('Variable index'!$L$48:$M$48),FR31='Variable index'!$J$55,SUM('Variable index'!$M$48)),"")</f>
        <v/>
      </c>
      <c r="FT32" s="168" t="str">
        <f>IFERROR(FT$21*FS32,"")</f>
        <v/>
      </c>
      <c r="FW32" s="351" t="str" cm="1">
        <f t="array" ref="FW32">IF(FV31&lt;&gt;"",_xlfn.IFS(FV31='Variable index'!$J$53,SUM('Variable index'!$K$48:$M$48),FV31='Variable index'!$J$54,SUM('Variable index'!$L$48:$M$48),FV31='Variable index'!$J$55,SUM('Variable index'!$M$48)),"")</f>
        <v/>
      </c>
      <c r="FX32" s="168" t="str">
        <f>IFERROR(FX$21*FW32,"")</f>
        <v/>
      </c>
      <c r="GA32" s="351" t="str" cm="1">
        <f t="array" ref="GA32">IF(FZ31&lt;&gt;"",_xlfn.IFS(FZ31='Variable index'!$J$53,SUM('Variable index'!$K$48:$M$48),FZ31='Variable index'!$J$54,SUM('Variable index'!$L$48:$M$48),FZ31='Variable index'!$J$55,SUM('Variable index'!$M$48)),"")</f>
        <v/>
      </c>
      <c r="GB32" s="168" t="str">
        <f>IFERROR(GB$21*GA32,"")</f>
        <v/>
      </c>
      <c r="GE32" s="351" t="str" cm="1">
        <f t="array" ref="GE32">IF(GD31&lt;&gt;"",_xlfn.IFS(GD31='Variable index'!$J$53,SUM('Variable index'!$K$48:$M$48),GD31='Variable index'!$J$54,SUM('Variable index'!$L$48:$M$48),GD31='Variable index'!$J$55,SUM('Variable index'!$M$48)),"")</f>
        <v/>
      </c>
      <c r="GF32" s="168" t="str">
        <f>IFERROR(GF$21*GE32,"")</f>
        <v/>
      </c>
      <c r="GI32" s="351" t="str" cm="1">
        <f t="array" ref="GI32">IF(GH31&lt;&gt;"",_xlfn.IFS(GH31='Variable index'!$J$53,SUM('Variable index'!$K$48:$M$48),GH31='Variable index'!$J$54,SUM('Variable index'!$L$48:$M$48),GH31='Variable index'!$J$55,SUM('Variable index'!$M$48)),"")</f>
        <v/>
      </c>
      <c r="GJ32" s="168" t="str">
        <f>IFERROR(GJ$21*GI32,"")</f>
        <v/>
      </c>
      <c r="GM32" s="351" t="str" cm="1">
        <f t="array" ref="GM32">IF(GL31&lt;&gt;"",_xlfn.IFS(GL31='Variable index'!$J$53,SUM('Variable index'!$K$48:$M$48),GL31='Variable index'!$J$54,SUM('Variable index'!$L$48:$M$48),GL31='Variable index'!$J$55,SUM('Variable index'!$M$48)),"")</f>
        <v/>
      </c>
      <c r="GN32" s="168" t="str">
        <f>IFERROR(GN$21*GM32,"")</f>
        <v/>
      </c>
      <c r="GQ32" s="351" t="str" cm="1">
        <f t="array" ref="GQ32">IF(GP31&lt;&gt;"",_xlfn.IFS(GP31='Variable index'!$J$53,SUM('Variable index'!$K$48:$M$48),GP31='Variable index'!$J$54,SUM('Variable index'!$L$48:$M$48),GP31='Variable index'!$J$55,SUM('Variable index'!$M$48)),"")</f>
        <v/>
      </c>
      <c r="GR32" s="168" t="str">
        <f>IFERROR(GR$21*GQ32,"")</f>
        <v/>
      </c>
      <c r="GU32" s="351" t="str" cm="1">
        <f t="array" ref="GU32">IF(GT31&lt;&gt;"",_xlfn.IFS(GT31='Variable index'!$J$53,SUM('Variable index'!$K$48:$M$48),GT31='Variable index'!$J$54,SUM('Variable index'!$L$48:$M$48),GT31='Variable index'!$J$55,SUM('Variable index'!$M$48)),"")</f>
        <v/>
      </c>
      <c r="GV32" s="168" t="str">
        <f>IFERROR(GV$21*GU32,"")</f>
        <v/>
      </c>
    </row>
    <row r="33" spans="4:205" hidden="1" x14ac:dyDescent="0.2">
      <c r="D33" s="234" t="s">
        <v>832</v>
      </c>
      <c r="G33" s="351"/>
      <c r="H33" s="234">
        <f>IF(_xlfn.XLOOKUP(F14,TableTransport['#],TableTransport[Total benchmark cost])&lt;&gt;"",1,0)</f>
        <v>0</v>
      </c>
      <c r="K33" s="351"/>
      <c r="L33" s="234">
        <f>IF(_xlfn.XLOOKUP(J14,TableTransport['#],TableTransport[Total benchmark cost])&lt;&gt;"",1,0)</f>
        <v>0</v>
      </c>
      <c r="O33" s="351"/>
      <c r="P33" s="234">
        <f>IF(_xlfn.XLOOKUP(N14,TableTransport['#],TableTransport[Total benchmark cost])&lt;&gt;"",1,0)</f>
        <v>0</v>
      </c>
      <c r="S33" s="351"/>
      <c r="T33" s="234">
        <f>IF(_xlfn.XLOOKUP(R14,TableTransport['#],TableTransport[Total benchmark cost])&lt;&gt;"",1,0)</f>
        <v>0</v>
      </c>
      <c r="W33" s="351"/>
      <c r="X33" s="234">
        <f>IF(_xlfn.XLOOKUP(V14,TableTransport['#],TableTransport[Total benchmark cost])&lt;&gt;"",1,0)</f>
        <v>0</v>
      </c>
      <c r="AA33" s="351"/>
      <c r="AB33" s="234">
        <f>IF(_xlfn.XLOOKUP(Z14,TableTransport['#],TableTransport[Total benchmark cost])&lt;&gt;"",1,0)</f>
        <v>0</v>
      </c>
      <c r="AE33" s="351"/>
      <c r="AF33" s="234">
        <f>IF(_xlfn.XLOOKUP(AD14,TableTransport['#],TableTransport[Total benchmark cost])&lt;&gt;"",1,0)</f>
        <v>0</v>
      </c>
      <c r="AI33" s="351"/>
      <c r="AJ33" s="234">
        <f>IF(_xlfn.XLOOKUP(AH14,TableTransport['#],TableTransport[Total benchmark cost])&lt;&gt;"",1,0)</f>
        <v>0</v>
      </c>
      <c r="AM33" s="351"/>
      <c r="AN33" s="234">
        <f>IF(_xlfn.XLOOKUP(AL14,TableTransport['#],TableTransport[Total benchmark cost])&lt;&gt;"",1,0)</f>
        <v>0</v>
      </c>
      <c r="AQ33" s="351"/>
      <c r="AR33" s="234">
        <f>IF(_xlfn.XLOOKUP(AP14,TableTransport['#],TableTransport[Total benchmark cost])&lt;&gt;"",1,0)</f>
        <v>0</v>
      </c>
      <c r="AU33" s="351"/>
      <c r="AV33" s="234">
        <f>IF(_xlfn.XLOOKUP(AT14,TableTransport['#],TableTransport[Total benchmark cost])&lt;&gt;"",1,0)</f>
        <v>0</v>
      </c>
      <c r="AY33" s="351"/>
      <c r="AZ33" s="234">
        <f>IF(_xlfn.XLOOKUP(AX14,TableTransport['#],TableTransport[Total benchmark cost])&lt;&gt;"",1,0)</f>
        <v>0</v>
      </c>
      <c r="BC33" s="351"/>
      <c r="BD33" s="234">
        <f>IF(_xlfn.XLOOKUP(BB14,TableTransport['#],TableTransport[Total benchmark cost])&lt;&gt;"",1,0)</f>
        <v>0</v>
      </c>
      <c r="BG33" s="351"/>
      <c r="BH33" s="234">
        <f>IF(_xlfn.XLOOKUP(BF14,TableTransport['#],TableTransport[Total benchmark cost])&lt;&gt;"",1,0)</f>
        <v>0</v>
      </c>
      <c r="BK33" s="351"/>
      <c r="BL33" s="234">
        <f>IF(_xlfn.XLOOKUP(BJ14,TableTransport['#],TableTransport[Total benchmark cost])&lt;&gt;"",1,0)</f>
        <v>0</v>
      </c>
      <c r="BO33" s="351"/>
      <c r="BP33" s="234">
        <f>IF(_xlfn.XLOOKUP(BN14,TableTransport['#],TableTransport[Total benchmark cost])&lt;&gt;"",1,0)</f>
        <v>0</v>
      </c>
      <c r="BS33" s="351"/>
      <c r="BT33" s="234">
        <f>IF(_xlfn.XLOOKUP(BR14,TableTransport['#],TableTransport[Total benchmark cost])&lt;&gt;"",1,0)</f>
        <v>0</v>
      </c>
      <c r="BW33" s="351"/>
      <c r="BX33" s="234">
        <f>IF(_xlfn.XLOOKUP(BV14,TableTransport['#],TableTransport[Total benchmark cost])&lt;&gt;"",1,0)</f>
        <v>0</v>
      </c>
      <c r="CA33" s="351"/>
      <c r="CB33" s="234">
        <f>IF(_xlfn.XLOOKUP(BZ14,TableTransport['#],TableTransport[Total benchmark cost])&lt;&gt;"",1,0)</f>
        <v>0</v>
      </c>
      <c r="CE33" s="351"/>
      <c r="CF33" s="234">
        <f>IF(_xlfn.XLOOKUP(CD14,TableTransport['#],TableTransport[Total benchmark cost])&lt;&gt;"",1,0)</f>
        <v>0</v>
      </c>
      <c r="CI33" s="351"/>
      <c r="CJ33" s="234">
        <f>IF(_xlfn.XLOOKUP(CH14,TableTransport['#],TableTransport[Total benchmark cost])&lt;&gt;"",1,0)</f>
        <v>0</v>
      </c>
      <c r="CM33" s="351"/>
      <c r="CN33" s="234">
        <f>IF(_xlfn.XLOOKUP(CL14,TableTransport['#],TableTransport[Total benchmark cost])&lt;&gt;"",1,0)</f>
        <v>0</v>
      </c>
      <c r="CQ33" s="351"/>
      <c r="CR33" s="234">
        <f>IF(_xlfn.XLOOKUP(CP14,TableTransport['#],TableTransport[Total benchmark cost])&lt;&gt;"",1,0)</f>
        <v>0</v>
      </c>
      <c r="CU33" s="351"/>
      <c r="CV33" s="234">
        <f>IF(_xlfn.XLOOKUP(CT14,TableTransport['#],TableTransport[Total benchmark cost])&lt;&gt;"",1,0)</f>
        <v>0</v>
      </c>
      <c r="CY33" s="351"/>
      <c r="CZ33" s="234">
        <f>IF(_xlfn.XLOOKUP(CX14,TableTransport['#],TableTransport[Total benchmark cost])&lt;&gt;"",1,0)</f>
        <v>0</v>
      </c>
      <c r="DC33" s="351"/>
      <c r="DD33" s="234">
        <f>IF(_xlfn.XLOOKUP(DB14,TableTransport['#],TableTransport[Total benchmark cost])&lt;&gt;"",1,0)</f>
        <v>0</v>
      </c>
      <c r="DG33" s="351"/>
      <c r="DH33" s="234">
        <f>IF(_xlfn.XLOOKUP(DF14,TableTransport['#],TableTransport[Total benchmark cost])&lt;&gt;"",1,0)</f>
        <v>0</v>
      </c>
      <c r="DK33" s="351"/>
      <c r="DL33" s="234">
        <f>IF(_xlfn.XLOOKUP(DJ14,TableTransport['#],TableTransport[Total benchmark cost])&lt;&gt;"",1,0)</f>
        <v>0</v>
      </c>
      <c r="DO33" s="351"/>
      <c r="DP33" s="234">
        <f>IF(_xlfn.XLOOKUP(DN14,TableTransport['#],TableTransport[Total benchmark cost])&lt;&gt;"",1,0)</f>
        <v>0</v>
      </c>
      <c r="DS33" s="351"/>
      <c r="DT33" s="234">
        <f>IF(_xlfn.XLOOKUP(DR14,TableTransport['#],TableTransport[Total benchmark cost])&lt;&gt;"",1,0)</f>
        <v>0</v>
      </c>
      <c r="DW33" s="351"/>
      <c r="DX33" s="234">
        <f>IF(_xlfn.XLOOKUP(DV14,TableTransport['#],TableTransport[Total benchmark cost])&lt;&gt;"",1,0)</f>
        <v>0</v>
      </c>
      <c r="EA33" s="351"/>
      <c r="EB33" s="234">
        <f>IF(_xlfn.XLOOKUP(DZ14,TableTransport['#],TableTransport[Total benchmark cost])&lt;&gt;"",1,0)</f>
        <v>0</v>
      </c>
      <c r="EE33" s="351"/>
      <c r="EF33" s="234">
        <f>IF(_xlfn.XLOOKUP(ED14,TableTransport['#],TableTransport[Total benchmark cost])&lt;&gt;"",1,0)</f>
        <v>0</v>
      </c>
      <c r="EI33" s="351"/>
      <c r="EJ33" s="234">
        <f>IF(_xlfn.XLOOKUP(EH14,TableTransport['#],TableTransport[Total benchmark cost])&lt;&gt;"",1,0)</f>
        <v>0</v>
      </c>
      <c r="EM33" s="351"/>
      <c r="EN33" s="234">
        <f>IF(_xlfn.XLOOKUP(EL14,TableTransport['#],TableTransport[Total benchmark cost])&lt;&gt;"",1,0)</f>
        <v>0</v>
      </c>
      <c r="EQ33" s="351"/>
      <c r="ER33" s="234">
        <f>IF(_xlfn.XLOOKUP(EP14,TableTransport['#],TableTransport[Total benchmark cost])&lt;&gt;"",1,0)</f>
        <v>0</v>
      </c>
      <c r="EU33" s="351"/>
      <c r="EV33" s="234">
        <f>IF(_xlfn.XLOOKUP(ET14,TableTransport['#],TableTransport[Total benchmark cost])&lt;&gt;"",1,0)</f>
        <v>0</v>
      </c>
      <c r="EY33" s="351"/>
      <c r="EZ33" s="234">
        <f>IF(_xlfn.XLOOKUP(EX14,TableTransport['#],TableTransport[Total benchmark cost])&lt;&gt;"",1,0)</f>
        <v>0</v>
      </c>
      <c r="FC33" s="351"/>
      <c r="FD33" s="234">
        <f>IF(_xlfn.XLOOKUP(FB14,TableTransport['#],TableTransport[Total benchmark cost])&lt;&gt;"",1,0)</f>
        <v>0</v>
      </c>
      <c r="FG33" s="351"/>
      <c r="FH33" s="234">
        <f>IF(_xlfn.XLOOKUP(FF14,TableTransport['#],TableTransport[Total benchmark cost])&lt;&gt;"",1,0)</f>
        <v>0</v>
      </c>
      <c r="FK33" s="351"/>
      <c r="FL33" s="234">
        <f>IF(_xlfn.XLOOKUP(FJ14,TableTransport['#],TableTransport[Total benchmark cost])&lt;&gt;"",1,0)</f>
        <v>0</v>
      </c>
      <c r="FO33" s="351"/>
      <c r="FP33" s="234">
        <f>IF(_xlfn.XLOOKUP(FN14,TableTransport['#],TableTransport[Total benchmark cost])&lt;&gt;"",1,0)</f>
        <v>0</v>
      </c>
      <c r="FS33" s="351"/>
      <c r="FT33" s="234">
        <f>IF(_xlfn.XLOOKUP(FR14,TableTransport['#],TableTransport[Total benchmark cost])&lt;&gt;"",1,0)</f>
        <v>0</v>
      </c>
      <c r="FW33" s="351"/>
      <c r="FX33" s="234">
        <f>IF(_xlfn.XLOOKUP(FV14,TableTransport['#],TableTransport[Total benchmark cost])&lt;&gt;"",1,0)</f>
        <v>0</v>
      </c>
      <c r="GA33" s="351"/>
      <c r="GB33" s="234">
        <f>IF(_xlfn.XLOOKUP(FZ14,TableTransport['#],TableTransport[Total benchmark cost])&lt;&gt;"",1,0)</f>
        <v>0</v>
      </c>
      <c r="GE33" s="351"/>
      <c r="GF33" s="234">
        <f>IF(_xlfn.XLOOKUP(GD14,TableTransport['#],TableTransport[Total benchmark cost])&lt;&gt;"",1,0)</f>
        <v>0</v>
      </c>
      <c r="GI33" s="351"/>
      <c r="GJ33" s="234">
        <f>IF(_xlfn.XLOOKUP(GH14,TableTransport['#],TableTransport[Total benchmark cost])&lt;&gt;"",1,0)</f>
        <v>0</v>
      </c>
      <c r="GM33" s="351"/>
      <c r="GN33" s="234">
        <f>IF(_xlfn.XLOOKUP(GL14,TableTransport['#],TableTransport[Total benchmark cost])&lt;&gt;"",1,0)</f>
        <v>0</v>
      </c>
      <c r="GQ33" s="351"/>
      <c r="GR33" s="234">
        <f>IF(_xlfn.XLOOKUP(GP14,TableTransport['#],TableTransport[Total benchmark cost])&lt;&gt;"",1,0)</f>
        <v>0</v>
      </c>
      <c r="GU33" s="351"/>
      <c r="GV33" s="234">
        <f>IF(_xlfn.XLOOKUP(GT14,TableTransport['#],TableTransport[Total benchmark cost])&lt;&gt;"",1,0)</f>
        <v>0</v>
      </c>
    </row>
    <row r="34" spans="4:205" ht="12.6" thickBot="1" x14ac:dyDescent="0.3">
      <c r="D34" s="163" t="s">
        <v>162</v>
      </c>
      <c r="F34" s="164"/>
      <c r="G34" s="165"/>
      <c r="H34" s="166" t="str">
        <f>IF(H33=1,SUM(H21:H32),"")</f>
        <v/>
      </c>
      <c r="J34" s="164"/>
      <c r="K34" s="165"/>
      <c r="L34" s="166" t="str">
        <f>IF(L33=1,SUM(L21:L32),"")</f>
        <v/>
      </c>
      <c r="N34" s="164"/>
      <c r="O34" s="165"/>
      <c r="P34" s="166" t="str">
        <f>IF(P33=1,SUM(P21:P32),"")</f>
        <v/>
      </c>
      <c r="R34" s="164"/>
      <c r="S34" s="165"/>
      <c r="T34" s="166" t="str">
        <f>IF(T33=1,SUM(T21:T32),"")</f>
        <v/>
      </c>
      <c r="V34" s="164"/>
      <c r="W34" s="165"/>
      <c r="X34" s="166" t="str">
        <f>IF(X33=1,SUM(X21:X32),"")</f>
        <v/>
      </c>
      <c r="Z34" s="164"/>
      <c r="AA34" s="165"/>
      <c r="AB34" s="166" t="str">
        <f>IF(AB33=1,SUM(AB21:AB32),"")</f>
        <v/>
      </c>
      <c r="AD34" s="164"/>
      <c r="AE34" s="165"/>
      <c r="AF34" s="166" t="str">
        <f>IF(AF33=1,SUM(AF21:AF32),"")</f>
        <v/>
      </c>
      <c r="AH34" s="164"/>
      <c r="AI34" s="165"/>
      <c r="AJ34" s="166" t="str">
        <f>IF(AJ33=1,SUM(AJ21:AJ32),"")</f>
        <v/>
      </c>
      <c r="AL34" s="164"/>
      <c r="AM34" s="165"/>
      <c r="AN34" s="166" t="str">
        <f>IF(AN33=1,SUM(AN21:AN32),"")</f>
        <v/>
      </c>
      <c r="AP34" s="164"/>
      <c r="AQ34" s="165"/>
      <c r="AR34" s="166" t="str">
        <f>IF(AR33=1,SUM(AR21:AR32),"")</f>
        <v/>
      </c>
      <c r="AT34" s="164"/>
      <c r="AU34" s="165"/>
      <c r="AV34" s="166" t="str">
        <f>IF(AV33=1,SUM(AV21:AV32),"")</f>
        <v/>
      </c>
      <c r="AX34" s="164"/>
      <c r="AY34" s="165"/>
      <c r="AZ34" s="166" t="str">
        <f>IF(AZ33=1,SUM(AZ21:AZ32),"")</f>
        <v/>
      </c>
      <c r="BB34" s="164"/>
      <c r="BC34" s="165"/>
      <c r="BD34" s="166" t="str">
        <f>IF(BD33=1,SUM(BD21:BD32),"")</f>
        <v/>
      </c>
      <c r="BF34" s="164"/>
      <c r="BG34" s="165"/>
      <c r="BH34" s="166" t="str">
        <f>IF(BH33=1,SUM(BH21:BH32),"")</f>
        <v/>
      </c>
      <c r="BJ34" s="164"/>
      <c r="BK34" s="165"/>
      <c r="BL34" s="166" t="str">
        <f>IF(BL33=1,SUM(BL21:BL32),"")</f>
        <v/>
      </c>
      <c r="BN34" s="164"/>
      <c r="BO34" s="165"/>
      <c r="BP34" s="166" t="str">
        <f>IF(BP33=1,SUM(BP21:BP32),"")</f>
        <v/>
      </c>
      <c r="BR34" s="164"/>
      <c r="BS34" s="165"/>
      <c r="BT34" s="166" t="str">
        <f>IF(BT33=1,SUM(BT21:BT32),"")</f>
        <v/>
      </c>
      <c r="BV34" s="164"/>
      <c r="BW34" s="165"/>
      <c r="BX34" s="166" t="str">
        <f>IF(BX33=1,SUM(BX21:BX32),"")</f>
        <v/>
      </c>
      <c r="BZ34" s="164"/>
      <c r="CA34" s="165"/>
      <c r="CB34" s="166" t="str">
        <f>IF(CB33=1,SUM(CB21:CB32),"")</f>
        <v/>
      </c>
      <c r="CD34" s="164"/>
      <c r="CE34" s="165"/>
      <c r="CF34" s="166" t="str">
        <f>IF(CF33=1,SUM(CF21:CF32),"")</f>
        <v/>
      </c>
      <c r="CH34" s="164"/>
      <c r="CI34" s="165"/>
      <c r="CJ34" s="166" t="str">
        <f>IF(CJ33=1,SUM(CJ21:CJ32),"")</f>
        <v/>
      </c>
      <c r="CL34" s="164"/>
      <c r="CM34" s="165"/>
      <c r="CN34" s="166" t="str">
        <f>IF(CN33=1,SUM(CN21:CN32),"")</f>
        <v/>
      </c>
      <c r="CP34" s="164"/>
      <c r="CQ34" s="165"/>
      <c r="CR34" s="166" t="str">
        <f>IF(CR33=1,SUM(CR21:CR32),"")</f>
        <v/>
      </c>
      <c r="CT34" s="164"/>
      <c r="CU34" s="165"/>
      <c r="CV34" s="166" t="str">
        <f>IF(CV33=1,SUM(CV21:CV32),"")</f>
        <v/>
      </c>
      <c r="CX34" s="164"/>
      <c r="CY34" s="165"/>
      <c r="CZ34" s="166" t="str">
        <f>IF(CZ33=1,SUM(CZ21:CZ32),"")</f>
        <v/>
      </c>
      <c r="DB34" s="164"/>
      <c r="DC34" s="165"/>
      <c r="DD34" s="166" t="str">
        <f>IF(DD33=1,SUM(DD21:DD32),"")</f>
        <v/>
      </c>
      <c r="DF34" s="164"/>
      <c r="DG34" s="165"/>
      <c r="DH34" s="166" t="str">
        <f>IF(DH33=1,SUM(DH21:DH32),"")</f>
        <v/>
      </c>
      <c r="DJ34" s="164"/>
      <c r="DK34" s="165"/>
      <c r="DL34" s="166" t="str">
        <f>IF(DL33=1,SUM(DL21:DL32),"")</f>
        <v/>
      </c>
      <c r="DN34" s="164"/>
      <c r="DO34" s="165"/>
      <c r="DP34" s="166" t="str">
        <f>IF(DP33=1,SUM(DP21:DP32),"")</f>
        <v/>
      </c>
      <c r="DR34" s="164"/>
      <c r="DS34" s="165"/>
      <c r="DT34" s="166" t="str">
        <f>IF(DT33=1,SUM(DT21:DT32),"")</f>
        <v/>
      </c>
      <c r="DV34" s="164"/>
      <c r="DW34" s="165"/>
      <c r="DX34" s="166" t="str">
        <f>IF(DX33=1,SUM(DX21:DX32),"")</f>
        <v/>
      </c>
      <c r="DZ34" s="164"/>
      <c r="EA34" s="165"/>
      <c r="EB34" s="166" t="str">
        <f>IF(EB33=1,SUM(EB21:EB32),"")</f>
        <v/>
      </c>
      <c r="ED34" s="164"/>
      <c r="EE34" s="165"/>
      <c r="EF34" s="166" t="str">
        <f>IF(EF33=1,SUM(EF21:EF32),"")</f>
        <v/>
      </c>
      <c r="EH34" s="164"/>
      <c r="EI34" s="165"/>
      <c r="EJ34" s="166" t="str">
        <f>IF(EJ33=1,SUM(EJ21:EJ32),"")</f>
        <v/>
      </c>
      <c r="EL34" s="164"/>
      <c r="EM34" s="165"/>
      <c r="EN34" s="166" t="str">
        <f>IF(EN33=1,SUM(EN21:EN32),"")</f>
        <v/>
      </c>
      <c r="EP34" s="164"/>
      <c r="EQ34" s="165"/>
      <c r="ER34" s="166" t="str">
        <f>IF(ER33=1,SUM(ER21:ER32),"")</f>
        <v/>
      </c>
      <c r="ET34" s="164"/>
      <c r="EU34" s="165"/>
      <c r="EV34" s="166" t="str">
        <f>IF(EV33=1,SUM(EV21:EV32),"")</f>
        <v/>
      </c>
      <c r="EX34" s="164"/>
      <c r="EY34" s="165"/>
      <c r="EZ34" s="166" t="str">
        <f>IF(EZ33=1,SUM(EZ21:EZ32),"")</f>
        <v/>
      </c>
      <c r="FB34" s="164"/>
      <c r="FC34" s="165"/>
      <c r="FD34" s="166" t="str">
        <f>IF(FD33=1,SUM(FD21:FD32),"")</f>
        <v/>
      </c>
      <c r="FF34" s="164"/>
      <c r="FG34" s="165"/>
      <c r="FH34" s="166" t="str">
        <f>IF(FH33=1,SUM(FH21:FH32),"")</f>
        <v/>
      </c>
      <c r="FJ34" s="164"/>
      <c r="FK34" s="165"/>
      <c r="FL34" s="166" t="str">
        <f>IF(FL33=1,SUM(FL21:FL32),"")</f>
        <v/>
      </c>
      <c r="FN34" s="164"/>
      <c r="FO34" s="165"/>
      <c r="FP34" s="166" t="str">
        <f>IF(FP33=1,SUM(FP21:FP32),"")</f>
        <v/>
      </c>
      <c r="FR34" s="164"/>
      <c r="FS34" s="165"/>
      <c r="FT34" s="166" t="str">
        <f>IF(FT33=1,SUM(FT21:FT32),"")</f>
        <v/>
      </c>
      <c r="FV34" s="164"/>
      <c r="FW34" s="165"/>
      <c r="FX34" s="166" t="str">
        <f>IF(FX33=1,SUM(FX21:FX32),"")</f>
        <v/>
      </c>
      <c r="FZ34" s="164"/>
      <c r="GA34" s="165"/>
      <c r="GB34" s="166" t="str">
        <f>IF(GB33=1,SUM(GB21:GB32),"")</f>
        <v/>
      </c>
      <c r="GD34" s="164"/>
      <c r="GE34" s="165"/>
      <c r="GF34" s="166" t="str">
        <f>IF(GF33=1,SUM(GF21:GF32),"")</f>
        <v/>
      </c>
      <c r="GH34" s="164"/>
      <c r="GI34" s="165"/>
      <c r="GJ34" s="166" t="str">
        <f>IF(GJ33=1,SUM(GJ21:GJ32),"")</f>
        <v/>
      </c>
      <c r="GL34" s="164"/>
      <c r="GM34" s="165"/>
      <c r="GN34" s="166" t="str">
        <f>IF(GN33=1,SUM(GN21:GN32),"")</f>
        <v/>
      </c>
      <c r="GP34" s="164"/>
      <c r="GQ34" s="165"/>
      <c r="GR34" s="166" t="str">
        <f>IF(GR33=1,SUM(GR21:GR32),"")</f>
        <v/>
      </c>
      <c r="GT34" s="164"/>
      <c r="GU34" s="165"/>
      <c r="GV34" s="166" t="str">
        <f>IF(GV33=1,SUM(GV21:GV32),"")</f>
        <v/>
      </c>
    </row>
    <row r="35" spans="4:205" ht="12" thickTop="1" x14ac:dyDescent="0.2"/>
    <row r="36" spans="4:205" ht="12" x14ac:dyDescent="0.25">
      <c r="D36" s="27" t="s">
        <v>750</v>
      </c>
      <c r="H36" s="352">
        <f>SUM(H34:XP34)</f>
        <v>0</v>
      </c>
    </row>
    <row r="37" spans="4:205" x14ac:dyDescent="0.2">
      <c r="D37" s="217" t="s">
        <v>852</v>
      </c>
      <c r="H37" s="353" t="str">
        <f>IFERROR(H36-Transport!$AA$16,"-")</f>
        <v>-</v>
      </c>
    </row>
    <row r="39" spans="4:205" ht="12" x14ac:dyDescent="0.25">
      <c r="D39" s="170" t="s">
        <v>163</v>
      </c>
      <c r="E39" s="181"/>
      <c r="F39" s="178"/>
      <c r="G39" s="171"/>
      <c r="H39" s="354" t="str">
        <f>IF(_xlfn.XLOOKUP(F$14,TableTransport['#],TableTransport[Your works schedule cost])&lt;&gt;"",_xlfn.XLOOKUP(F$14,TableTransport['#],TableTransport[Your works schedule cost]),"")</f>
        <v/>
      </c>
      <c r="I39" s="181"/>
      <c r="J39" s="178"/>
      <c r="K39" s="171"/>
      <c r="L39" s="354" t="str">
        <f>IF(_xlfn.XLOOKUP(J$14,TableTransport['#],TableTransport[Your works schedule cost])&lt;&gt;"",_xlfn.XLOOKUP(J$14,TableTransport['#],TableTransport[Your works schedule cost]),"")</f>
        <v/>
      </c>
      <c r="M39" s="181"/>
      <c r="N39" s="178"/>
      <c r="O39" s="171"/>
      <c r="P39" s="354" t="str">
        <f>IF(_xlfn.XLOOKUP(N$14,TableTransport['#],TableTransport[Your works schedule cost])&lt;&gt;"",_xlfn.XLOOKUP(N$14,TableTransport['#],TableTransport[Your works schedule cost]),"")</f>
        <v/>
      </c>
      <c r="Q39" s="181"/>
      <c r="R39" s="178"/>
      <c r="S39" s="171"/>
      <c r="T39" s="354" t="str">
        <f>IF(_xlfn.XLOOKUP(R$14,TableTransport['#],TableTransport[Your works schedule cost])&lt;&gt;"",_xlfn.XLOOKUP(R$14,TableTransport['#],TableTransport[Your works schedule cost]),"")</f>
        <v/>
      </c>
      <c r="U39" s="181"/>
      <c r="V39" s="178"/>
      <c r="W39" s="171"/>
      <c r="X39" s="354" t="str">
        <f>IF(_xlfn.XLOOKUP(V$14,TableTransport['#],TableTransport[Your works schedule cost])&lt;&gt;"",_xlfn.XLOOKUP(V$14,TableTransport['#],TableTransport[Your works schedule cost]),"")</f>
        <v/>
      </c>
      <c r="Y39" s="181"/>
      <c r="Z39" s="178"/>
      <c r="AA39" s="171"/>
      <c r="AB39" s="354" t="str">
        <f>IF(_xlfn.XLOOKUP(Z$14,TableTransport['#],TableTransport[Your works schedule cost])&lt;&gt;"",_xlfn.XLOOKUP(Z$14,TableTransport['#],TableTransport[Your works schedule cost]),"")</f>
        <v/>
      </c>
      <c r="AC39" s="181"/>
      <c r="AD39" s="178"/>
      <c r="AE39" s="171"/>
      <c r="AF39" s="354" t="str">
        <f>IF(_xlfn.XLOOKUP(AD$14,TableTransport['#],TableTransport[Your works schedule cost])&lt;&gt;"",_xlfn.XLOOKUP(AD$14,TableTransport['#],TableTransport[Your works schedule cost]),"")</f>
        <v/>
      </c>
      <c r="AG39" s="181"/>
      <c r="AH39" s="178"/>
      <c r="AI39" s="171"/>
      <c r="AJ39" s="354" t="str">
        <f>IF(_xlfn.XLOOKUP(AH$14,TableTransport['#],TableTransport[Your works schedule cost])&lt;&gt;"",_xlfn.XLOOKUP(AH$14,TableTransport['#],TableTransport[Your works schedule cost]),"")</f>
        <v/>
      </c>
      <c r="AK39" s="181"/>
      <c r="AL39" s="178"/>
      <c r="AM39" s="171"/>
      <c r="AN39" s="354" t="str">
        <f>IF(_xlfn.XLOOKUP(AL$14,TableTransport['#],TableTransport[Your works schedule cost])&lt;&gt;"",_xlfn.XLOOKUP(AL$14,TableTransport['#],TableTransport[Your works schedule cost]),"")</f>
        <v/>
      </c>
      <c r="AO39" s="181"/>
      <c r="AP39" s="178"/>
      <c r="AQ39" s="171"/>
      <c r="AR39" s="354" t="str">
        <f>IF(_xlfn.XLOOKUP(AP$14,TableTransport['#],TableTransport[Your works schedule cost])&lt;&gt;"",_xlfn.XLOOKUP(AP$14,TableTransport['#],TableTransport[Your works schedule cost]),"")</f>
        <v/>
      </c>
      <c r="AS39" s="181"/>
      <c r="AT39" s="178"/>
      <c r="AU39" s="171"/>
      <c r="AV39" s="354" t="str">
        <f>IF(_xlfn.XLOOKUP(AT$14,TableTransport['#],TableTransport[Your works schedule cost])&lt;&gt;"",_xlfn.XLOOKUP(AT$14,TableTransport['#],TableTransport[Your works schedule cost]),"")</f>
        <v/>
      </c>
      <c r="AW39" s="181"/>
      <c r="AX39" s="178"/>
      <c r="AY39" s="171"/>
      <c r="AZ39" s="354" t="str">
        <f>IF(_xlfn.XLOOKUP(AX$14,TableTransport['#],TableTransport[Your works schedule cost])&lt;&gt;"",_xlfn.XLOOKUP(AX$14,TableTransport['#],TableTransport[Your works schedule cost]),"")</f>
        <v/>
      </c>
      <c r="BA39" s="181"/>
      <c r="BB39" s="178"/>
      <c r="BC39" s="171"/>
      <c r="BD39" s="354" t="str">
        <f>IF(_xlfn.XLOOKUP(BB$14,TableTransport['#],TableTransport[Your works schedule cost])&lt;&gt;"",_xlfn.XLOOKUP(BB$14,TableTransport['#],TableTransport[Your works schedule cost]),"")</f>
        <v/>
      </c>
      <c r="BE39" s="181"/>
      <c r="BF39" s="178"/>
      <c r="BG39" s="171"/>
      <c r="BH39" s="354" t="str">
        <f>IF(_xlfn.XLOOKUP(BF$14,TableTransport['#],TableTransport[Your works schedule cost])&lt;&gt;"",_xlfn.XLOOKUP(BF$14,TableTransport['#],TableTransport[Your works schedule cost]),"")</f>
        <v/>
      </c>
      <c r="BI39" s="181"/>
      <c r="BJ39" s="178"/>
      <c r="BK39" s="171"/>
      <c r="BL39" s="354" t="str">
        <f>IF(_xlfn.XLOOKUP(BJ$14,TableTransport['#],TableTransport[Your works schedule cost])&lt;&gt;"",_xlfn.XLOOKUP(BJ$14,TableTransport['#],TableTransport[Your works schedule cost]),"")</f>
        <v/>
      </c>
      <c r="BM39" s="181"/>
      <c r="BN39" s="178"/>
      <c r="BO39" s="171"/>
      <c r="BP39" s="354" t="str">
        <f>IF(_xlfn.XLOOKUP(BN$14,TableTransport['#],TableTransport[Your works schedule cost])&lt;&gt;"",_xlfn.XLOOKUP(BN$14,TableTransport['#],TableTransport[Your works schedule cost]),"")</f>
        <v/>
      </c>
      <c r="BQ39" s="181"/>
      <c r="BR39" s="178"/>
      <c r="BS39" s="171"/>
      <c r="BT39" s="354" t="str">
        <f>IF(_xlfn.XLOOKUP(BR$14,TableTransport['#],TableTransport[Your works schedule cost])&lt;&gt;"",_xlfn.XLOOKUP(BR$14,TableTransport['#],TableTransport[Your works schedule cost]),"")</f>
        <v/>
      </c>
      <c r="BU39" s="181"/>
      <c r="BV39" s="178"/>
      <c r="BW39" s="171"/>
      <c r="BX39" s="354" t="str">
        <f>IF(_xlfn.XLOOKUP(BV$14,TableTransport['#],TableTransport[Your works schedule cost])&lt;&gt;"",_xlfn.XLOOKUP(BV$14,TableTransport['#],TableTransport[Your works schedule cost]),"")</f>
        <v/>
      </c>
      <c r="BY39" s="181"/>
      <c r="BZ39" s="178"/>
      <c r="CA39" s="171"/>
      <c r="CB39" s="354" t="str">
        <f>IF(_xlfn.XLOOKUP(BZ$14,TableTransport['#],TableTransport[Your works schedule cost])&lt;&gt;"",_xlfn.XLOOKUP(BZ$14,TableTransport['#],TableTransport[Your works schedule cost]),"")</f>
        <v/>
      </c>
      <c r="CC39" s="181"/>
      <c r="CD39" s="178"/>
      <c r="CE39" s="171"/>
      <c r="CF39" s="354" t="str">
        <f>IF(_xlfn.XLOOKUP(CD$14,TableTransport['#],TableTransport[Your works schedule cost])&lt;&gt;"",_xlfn.XLOOKUP(CD$14,TableTransport['#],TableTransport[Your works schedule cost]),"")</f>
        <v/>
      </c>
      <c r="CG39" s="181"/>
      <c r="CH39" s="178"/>
      <c r="CI39" s="171"/>
      <c r="CJ39" s="354" t="str">
        <f>IF(_xlfn.XLOOKUP(CH$14,TableTransport['#],TableTransport[Your works schedule cost])&lt;&gt;"",_xlfn.XLOOKUP(CH$14,TableTransport['#],TableTransport[Your works schedule cost]),"")</f>
        <v/>
      </c>
      <c r="CK39" s="181"/>
      <c r="CL39" s="178"/>
      <c r="CM39" s="171"/>
      <c r="CN39" s="354" t="str">
        <f>IF(_xlfn.XLOOKUP(CL$14,TableTransport['#],TableTransport[Your works schedule cost])&lt;&gt;"",_xlfn.XLOOKUP(CL$14,TableTransport['#],TableTransport[Your works schedule cost]),"")</f>
        <v/>
      </c>
      <c r="CO39" s="181"/>
      <c r="CP39" s="178"/>
      <c r="CQ39" s="171"/>
      <c r="CR39" s="354" t="str">
        <f>IF(_xlfn.XLOOKUP(CP$14,TableTransport['#],TableTransport[Your works schedule cost])&lt;&gt;"",_xlfn.XLOOKUP(CP$14,TableTransport['#],TableTransport[Your works schedule cost]),"")</f>
        <v/>
      </c>
      <c r="CS39" s="181"/>
      <c r="CT39" s="178"/>
      <c r="CU39" s="171"/>
      <c r="CV39" s="354" t="str">
        <f>IF(_xlfn.XLOOKUP(CT$14,TableTransport['#],TableTransport[Your works schedule cost])&lt;&gt;"",_xlfn.XLOOKUP(CT$14,TableTransport['#],TableTransport[Your works schedule cost]),"")</f>
        <v/>
      </c>
      <c r="CW39" s="181"/>
      <c r="CX39" s="178"/>
      <c r="CY39" s="171"/>
      <c r="CZ39" s="354" t="str">
        <f>IF(_xlfn.XLOOKUP(CX$14,TableTransport['#],TableTransport[Your works schedule cost])&lt;&gt;"",_xlfn.XLOOKUP(CX$14,TableTransport['#],TableTransport[Your works schedule cost]),"")</f>
        <v/>
      </c>
      <c r="DA39" s="181"/>
      <c r="DB39" s="178"/>
      <c r="DC39" s="171"/>
      <c r="DD39" s="354" t="str">
        <f>IF(_xlfn.XLOOKUP(DB$14,TableTransport['#],TableTransport[Your works schedule cost])&lt;&gt;"",_xlfn.XLOOKUP(DB$14,TableTransport['#],TableTransport[Your works schedule cost]),"")</f>
        <v/>
      </c>
      <c r="DE39" s="181"/>
      <c r="DF39" s="178"/>
      <c r="DG39" s="171"/>
      <c r="DH39" s="354" t="str">
        <f>IF(_xlfn.XLOOKUP(DF$14,TableTransport['#],TableTransport[Your works schedule cost])&lt;&gt;"",_xlfn.XLOOKUP(DF$14,TableTransport['#],TableTransport[Your works schedule cost]),"")</f>
        <v/>
      </c>
      <c r="DI39" s="181"/>
      <c r="DJ39" s="178"/>
      <c r="DK39" s="171"/>
      <c r="DL39" s="354" t="str">
        <f>IF(_xlfn.XLOOKUP(DJ$14,TableTransport['#],TableTransport[Your works schedule cost])&lt;&gt;"",_xlfn.XLOOKUP(DJ$14,TableTransport['#],TableTransport[Your works schedule cost]),"")</f>
        <v/>
      </c>
      <c r="DM39" s="181"/>
      <c r="DN39" s="178"/>
      <c r="DO39" s="171"/>
      <c r="DP39" s="354" t="str">
        <f>IF(_xlfn.XLOOKUP(DN$14,TableTransport['#],TableTransport[Your works schedule cost])&lt;&gt;"",_xlfn.XLOOKUP(DN$14,TableTransport['#],TableTransport[Your works schedule cost]),"")</f>
        <v/>
      </c>
      <c r="DQ39" s="181"/>
      <c r="DR39" s="178"/>
      <c r="DS39" s="171"/>
      <c r="DT39" s="354" t="str">
        <f>IF(_xlfn.XLOOKUP(DR$14,TableTransport['#],TableTransport[Your works schedule cost])&lt;&gt;"",_xlfn.XLOOKUP(DR$14,TableTransport['#],TableTransport[Your works schedule cost]),"")</f>
        <v/>
      </c>
      <c r="DU39" s="181"/>
      <c r="DV39" s="178"/>
      <c r="DW39" s="171"/>
      <c r="DX39" s="354" t="str">
        <f>IF(_xlfn.XLOOKUP(DV$14,TableTransport['#],TableTransport[Your works schedule cost])&lt;&gt;"",_xlfn.XLOOKUP(DV$14,TableTransport['#],TableTransport[Your works schedule cost]),"")</f>
        <v/>
      </c>
      <c r="DY39" s="181"/>
      <c r="DZ39" s="178"/>
      <c r="EA39" s="171"/>
      <c r="EB39" s="354" t="str">
        <f>IF(_xlfn.XLOOKUP(DZ$14,TableTransport['#],TableTransport[Your works schedule cost])&lt;&gt;"",_xlfn.XLOOKUP(DZ$14,TableTransport['#],TableTransport[Your works schedule cost]),"")</f>
        <v/>
      </c>
      <c r="EC39" s="181"/>
      <c r="ED39" s="178"/>
      <c r="EE39" s="171"/>
      <c r="EF39" s="354" t="str">
        <f>IF(_xlfn.XLOOKUP(ED$14,TableTransport['#],TableTransport[Your works schedule cost])&lt;&gt;"",_xlfn.XLOOKUP(ED$14,TableTransport['#],TableTransport[Your works schedule cost]),"")</f>
        <v/>
      </c>
      <c r="EG39" s="181"/>
      <c r="EH39" s="178"/>
      <c r="EI39" s="171"/>
      <c r="EJ39" s="354" t="str">
        <f>IF(_xlfn.XLOOKUP(EH$14,TableTransport['#],TableTransport[Your works schedule cost])&lt;&gt;"",_xlfn.XLOOKUP(EH$14,TableTransport['#],TableTransport[Your works schedule cost]),"")</f>
        <v/>
      </c>
      <c r="EK39" s="181"/>
      <c r="EL39" s="178"/>
      <c r="EM39" s="171"/>
      <c r="EN39" s="354" t="str">
        <f>IF(_xlfn.XLOOKUP(EL$14,TableTransport['#],TableTransport[Your works schedule cost])&lt;&gt;"",_xlfn.XLOOKUP(EL$14,TableTransport['#],TableTransport[Your works schedule cost]),"")</f>
        <v/>
      </c>
      <c r="EO39" s="181"/>
      <c r="EP39" s="178"/>
      <c r="EQ39" s="171"/>
      <c r="ER39" s="354" t="str">
        <f>IF(_xlfn.XLOOKUP(EP$14,TableTransport['#],TableTransport[Your works schedule cost])&lt;&gt;"",_xlfn.XLOOKUP(EP$14,TableTransport['#],TableTransport[Your works schedule cost]),"")</f>
        <v/>
      </c>
      <c r="ES39" s="181"/>
      <c r="ET39" s="178"/>
      <c r="EU39" s="171"/>
      <c r="EV39" s="354" t="str">
        <f>IF(_xlfn.XLOOKUP(ET$14,TableTransport['#],TableTransport[Your works schedule cost])&lt;&gt;"",_xlfn.XLOOKUP(ET$14,TableTransport['#],TableTransport[Your works schedule cost]),"")</f>
        <v/>
      </c>
      <c r="EW39" s="181"/>
      <c r="EX39" s="178"/>
      <c r="EY39" s="171"/>
      <c r="EZ39" s="354" t="str">
        <f>IF(_xlfn.XLOOKUP(EX$14,TableTransport['#],TableTransport[Your works schedule cost])&lt;&gt;"",_xlfn.XLOOKUP(EX$14,TableTransport['#],TableTransport[Your works schedule cost]),"")</f>
        <v/>
      </c>
      <c r="FA39" s="181"/>
      <c r="FB39" s="178"/>
      <c r="FC39" s="171"/>
      <c r="FD39" s="354" t="str">
        <f>IF(_xlfn.XLOOKUP(FB$14,TableTransport['#],TableTransport[Your works schedule cost])&lt;&gt;"",_xlfn.XLOOKUP(FB$14,TableTransport['#],TableTransport[Your works schedule cost]),"")</f>
        <v/>
      </c>
      <c r="FE39" s="181"/>
      <c r="FF39" s="178"/>
      <c r="FG39" s="171"/>
      <c r="FH39" s="354" t="str">
        <f>IF(_xlfn.XLOOKUP(FF$14,TableTransport['#],TableTransport[Your works schedule cost])&lt;&gt;"",_xlfn.XLOOKUP(FF$14,TableTransport['#],TableTransport[Your works schedule cost]),"")</f>
        <v/>
      </c>
      <c r="FI39" s="181"/>
      <c r="FJ39" s="178"/>
      <c r="FK39" s="171"/>
      <c r="FL39" s="354" t="str">
        <f>IF(_xlfn.XLOOKUP(FJ$14,TableTransport['#],TableTransport[Your works schedule cost])&lt;&gt;"",_xlfn.XLOOKUP(FJ$14,TableTransport['#],TableTransport[Your works schedule cost]),"")</f>
        <v/>
      </c>
      <c r="FM39" s="181"/>
      <c r="FN39" s="178"/>
      <c r="FO39" s="171"/>
      <c r="FP39" s="354" t="str">
        <f>IF(_xlfn.XLOOKUP(FN$14,TableTransport['#],TableTransport[Your works schedule cost])&lt;&gt;"",_xlfn.XLOOKUP(FN$14,TableTransport['#],TableTransport[Your works schedule cost]),"")</f>
        <v/>
      </c>
      <c r="FQ39" s="181"/>
      <c r="FR39" s="178"/>
      <c r="FS39" s="171"/>
      <c r="FT39" s="354" t="str">
        <f>IF(_xlfn.XLOOKUP(FR$14,TableTransport['#],TableTransport[Your works schedule cost])&lt;&gt;"",_xlfn.XLOOKUP(FR$14,TableTransport['#],TableTransport[Your works schedule cost]),"")</f>
        <v/>
      </c>
      <c r="FU39" s="181"/>
      <c r="FV39" s="178"/>
      <c r="FW39" s="171"/>
      <c r="FX39" s="354" t="str">
        <f>IF(_xlfn.XLOOKUP(FV$14,TableTransport['#],TableTransport[Your works schedule cost])&lt;&gt;"",_xlfn.XLOOKUP(FV$14,TableTransport['#],TableTransport[Your works schedule cost]),"")</f>
        <v/>
      </c>
      <c r="FY39" s="181"/>
      <c r="FZ39" s="178"/>
      <c r="GA39" s="171"/>
      <c r="GB39" s="354" t="str">
        <f>IF(_xlfn.XLOOKUP(FZ$14,TableTransport['#],TableTransport[Your works schedule cost])&lt;&gt;"",_xlfn.XLOOKUP(FZ$14,TableTransport['#],TableTransport[Your works schedule cost]),"")</f>
        <v/>
      </c>
      <c r="GC39" s="181"/>
      <c r="GD39" s="178"/>
      <c r="GE39" s="171"/>
      <c r="GF39" s="354" t="str">
        <f>IF(_xlfn.XLOOKUP(GD$14,TableTransport['#],TableTransport[Your works schedule cost])&lt;&gt;"",_xlfn.XLOOKUP(GD$14,TableTransport['#],TableTransport[Your works schedule cost]),"")</f>
        <v/>
      </c>
      <c r="GG39" s="181"/>
      <c r="GH39" s="178"/>
      <c r="GI39" s="171"/>
      <c r="GJ39" s="354" t="str">
        <f>IF(_xlfn.XLOOKUP(GH$14,TableTransport['#],TableTransport[Your works schedule cost])&lt;&gt;"",_xlfn.XLOOKUP(GH$14,TableTransport['#],TableTransport[Your works schedule cost]),"")</f>
        <v/>
      </c>
      <c r="GK39" s="181"/>
      <c r="GL39" s="178"/>
      <c r="GM39" s="171"/>
      <c r="GN39" s="354" t="str">
        <f>IF(_xlfn.XLOOKUP(GL$14,TableTransport['#],TableTransport[Your works schedule cost])&lt;&gt;"",_xlfn.XLOOKUP(GL$14,TableTransport['#],TableTransport[Your works schedule cost]),"")</f>
        <v/>
      </c>
      <c r="GO39" s="181"/>
      <c r="GP39" s="178"/>
      <c r="GQ39" s="171"/>
      <c r="GR39" s="354" t="str">
        <f>IF(_xlfn.XLOOKUP(GP$14,TableTransport['#],TableTransport[Your works schedule cost])&lt;&gt;"",_xlfn.XLOOKUP(GP$14,TableTransport['#],TableTransport[Your works schedule cost]),"")</f>
        <v/>
      </c>
      <c r="GS39" s="181"/>
      <c r="GT39" s="178"/>
      <c r="GU39" s="171"/>
      <c r="GV39" s="354" t="str">
        <f>IF(_xlfn.XLOOKUP(GT$14,TableTransport['#],TableTransport[Your works schedule cost])&lt;&gt;"",_xlfn.XLOOKUP(GT$14,TableTransport['#],TableTransport[Your works schedule cost]),"")</f>
        <v/>
      </c>
      <c r="GW39" s="181"/>
    </row>
    <row r="40" spans="4:205" ht="12" x14ac:dyDescent="0.25">
      <c r="D40" s="172" t="s">
        <v>164</v>
      </c>
      <c r="E40" s="182"/>
      <c r="F40" s="179"/>
      <c r="G40" s="173"/>
      <c r="H40" s="174" t="str">
        <f>IF(AND(H33=1,H39&lt;&gt;""),H39-H34,"")</f>
        <v/>
      </c>
      <c r="I40" s="182"/>
      <c r="J40" s="179"/>
      <c r="K40" s="173"/>
      <c r="L40" s="174" t="str">
        <f>IF(AND(L33=1,L39&lt;&gt;""),L39-L34,"")</f>
        <v/>
      </c>
      <c r="M40" s="182"/>
      <c r="N40" s="179"/>
      <c r="O40" s="173"/>
      <c r="P40" s="174" t="str">
        <f>IF(AND(P33=1,P39&lt;&gt;""),P39-P34,"")</f>
        <v/>
      </c>
      <c r="Q40" s="182"/>
      <c r="R40" s="179"/>
      <c r="S40" s="173"/>
      <c r="T40" s="174" t="str">
        <f>IF(AND(T33=1,T39&lt;&gt;""),T39-T34,"")</f>
        <v/>
      </c>
      <c r="U40" s="182"/>
      <c r="V40" s="179"/>
      <c r="W40" s="173"/>
      <c r="X40" s="174" t="str">
        <f>IF(AND(X33=1,X39&lt;&gt;""),X39-X34,"")</f>
        <v/>
      </c>
      <c r="Y40" s="182"/>
      <c r="Z40" s="179"/>
      <c r="AA40" s="173"/>
      <c r="AB40" s="174" t="str">
        <f>IF(AND(AB33=1,AB39&lt;&gt;""),AB39-AB34,"")</f>
        <v/>
      </c>
      <c r="AC40" s="182"/>
      <c r="AD40" s="179"/>
      <c r="AE40" s="173"/>
      <c r="AF40" s="174" t="str">
        <f>IF(AND(AF33=1,AF39&lt;&gt;""),AF39-AF34,"")</f>
        <v/>
      </c>
      <c r="AG40" s="182"/>
      <c r="AH40" s="179"/>
      <c r="AI40" s="173"/>
      <c r="AJ40" s="174" t="str">
        <f>IF(AND(AJ33=1,AJ39&lt;&gt;""),AJ39-AJ34,"")</f>
        <v/>
      </c>
      <c r="AK40" s="182"/>
      <c r="AL40" s="179"/>
      <c r="AM40" s="173"/>
      <c r="AN40" s="174" t="str">
        <f>IF(AND(AN33=1,AN39&lt;&gt;""),AN39-AN34,"")</f>
        <v/>
      </c>
      <c r="AO40" s="182"/>
      <c r="AP40" s="179"/>
      <c r="AQ40" s="173"/>
      <c r="AR40" s="174" t="str">
        <f>IF(AND(AR33=1,AR39&lt;&gt;""),AR39-AR34,"")</f>
        <v/>
      </c>
      <c r="AS40" s="182"/>
      <c r="AT40" s="179"/>
      <c r="AU40" s="173"/>
      <c r="AV40" s="174" t="str">
        <f>IF(AND(AV33=1,AV39&lt;&gt;""),AV39-AV34,"")</f>
        <v/>
      </c>
      <c r="AW40" s="182"/>
      <c r="AX40" s="179"/>
      <c r="AY40" s="173"/>
      <c r="AZ40" s="174" t="str">
        <f>IF(AND(AZ33=1,AZ39&lt;&gt;""),AZ39-AZ34,"")</f>
        <v/>
      </c>
      <c r="BA40" s="182"/>
      <c r="BB40" s="179"/>
      <c r="BC40" s="173"/>
      <c r="BD40" s="174" t="str">
        <f>IF(AND(BD33=1,BD39&lt;&gt;""),BD39-BD34,"")</f>
        <v/>
      </c>
      <c r="BE40" s="182"/>
      <c r="BF40" s="179"/>
      <c r="BG40" s="173"/>
      <c r="BH40" s="174" t="str">
        <f>IF(AND(BH33=1,BH39&lt;&gt;""),BH39-BH34,"")</f>
        <v/>
      </c>
      <c r="BI40" s="182"/>
      <c r="BJ40" s="179"/>
      <c r="BK40" s="173"/>
      <c r="BL40" s="174" t="str">
        <f>IF(AND(BL33=1,BL39&lt;&gt;""),BL39-BL34,"")</f>
        <v/>
      </c>
      <c r="BM40" s="182"/>
      <c r="BN40" s="179"/>
      <c r="BO40" s="173"/>
      <c r="BP40" s="174" t="str">
        <f>IF(AND(BP33=1,BP39&lt;&gt;""),BP39-BP34,"")</f>
        <v/>
      </c>
      <c r="BQ40" s="182"/>
      <c r="BR40" s="179"/>
      <c r="BS40" s="173"/>
      <c r="BT40" s="174" t="str">
        <f>IF(AND(BT33=1,BT39&lt;&gt;""),BT39-BT34,"")</f>
        <v/>
      </c>
      <c r="BU40" s="182"/>
      <c r="BV40" s="179"/>
      <c r="BW40" s="173"/>
      <c r="BX40" s="174" t="str">
        <f>IF(AND(BX33=1,BX39&lt;&gt;""),BX39-BX34,"")</f>
        <v/>
      </c>
      <c r="BY40" s="182"/>
      <c r="BZ40" s="179"/>
      <c r="CA40" s="173"/>
      <c r="CB40" s="174" t="str">
        <f>IF(AND(CB33=1,CB39&lt;&gt;""),CB39-CB34,"")</f>
        <v/>
      </c>
      <c r="CC40" s="182"/>
      <c r="CD40" s="179"/>
      <c r="CE40" s="173"/>
      <c r="CF40" s="174" t="str">
        <f>IF(AND(CF33=1,CF39&lt;&gt;""),CF39-CF34,"")</f>
        <v/>
      </c>
      <c r="CG40" s="182"/>
      <c r="CH40" s="179"/>
      <c r="CI40" s="173"/>
      <c r="CJ40" s="174" t="str">
        <f>IF(AND(CJ33=1,CJ39&lt;&gt;""),CJ39-CJ34,"")</f>
        <v/>
      </c>
      <c r="CK40" s="182"/>
      <c r="CL40" s="179"/>
      <c r="CM40" s="173"/>
      <c r="CN40" s="174" t="str">
        <f>IF(AND(CN33=1,CN39&lt;&gt;""),CN39-CN34,"")</f>
        <v/>
      </c>
      <c r="CO40" s="182"/>
      <c r="CP40" s="179"/>
      <c r="CQ40" s="173"/>
      <c r="CR40" s="174" t="str">
        <f>IF(AND(CR33=1,CR39&lt;&gt;""),CR39-CR34,"")</f>
        <v/>
      </c>
      <c r="CS40" s="182"/>
      <c r="CT40" s="179"/>
      <c r="CU40" s="173"/>
      <c r="CV40" s="174" t="str">
        <f>IF(AND(CV33=1,CV39&lt;&gt;""),CV39-CV34,"")</f>
        <v/>
      </c>
      <c r="CW40" s="182"/>
      <c r="CX40" s="179"/>
      <c r="CY40" s="173"/>
      <c r="CZ40" s="174" t="str">
        <f>IF(AND(CZ33=1,CZ39&lt;&gt;""),CZ39-CZ34,"")</f>
        <v/>
      </c>
      <c r="DA40" s="182"/>
      <c r="DB40" s="179"/>
      <c r="DC40" s="173"/>
      <c r="DD40" s="174" t="str">
        <f>IF(AND(DD33=1,DD39&lt;&gt;""),DD39-DD34,"")</f>
        <v/>
      </c>
      <c r="DE40" s="182"/>
      <c r="DF40" s="179"/>
      <c r="DG40" s="173"/>
      <c r="DH40" s="174" t="str">
        <f>IF(AND(DH33=1,DH39&lt;&gt;""),DH39-DH34,"")</f>
        <v/>
      </c>
      <c r="DI40" s="182"/>
      <c r="DJ40" s="179"/>
      <c r="DK40" s="173"/>
      <c r="DL40" s="174" t="str">
        <f>IF(AND(DL33=1,DL39&lt;&gt;""),DL39-DL34,"")</f>
        <v/>
      </c>
      <c r="DM40" s="182"/>
      <c r="DN40" s="179"/>
      <c r="DO40" s="173"/>
      <c r="DP40" s="174" t="str">
        <f>IF(AND(DP33=1,DP39&lt;&gt;""),DP39-DP34,"")</f>
        <v/>
      </c>
      <c r="DQ40" s="182"/>
      <c r="DR40" s="179"/>
      <c r="DS40" s="173"/>
      <c r="DT40" s="174" t="str">
        <f>IF(AND(DT33=1,DT39&lt;&gt;""),DT39-DT34,"")</f>
        <v/>
      </c>
      <c r="DU40" s="182"/>
      <c r="DV40" s="179"/>
      <c r="DW40" s="173"/>
      <c r="DX40" s="174" t="str">
        <f>IF(AND(DX33=1,DX39&lt;&gt;""),DX39-DX34,"")</f>
        <v/>
      </c>
      <c r="DY40" s="182"/>
      <c r="DZ40" s="179"/>
      <c r="EA40" s="173"/>
      <c r="EB40" s="174" t="str">
        <f>IF(AND(EB33=1,EB39&lt;&gt;""),EB39-EB34,"")</f>
        <v/>
      </c>
      <c r="EC40" s="182"/>
      <c r="ED40" s="179"/>
      <c r="EE40" s="173"/>
      <c r="EF40" s="174" t="str">
        <f>IF(AND(EF33=1,EF39&lt;&gt;""),EF39-EF34,"")</f>
        <v/>
      </c>
      <c r="EG40" s="182"/>
      <c r="EH40" s="179"/>
      <c r="EI40" s="173"/>
      <c r="EJ40" s="174" t="str">
        <f>IF(AND(EJ33=1,EJ39&lt;&gt;""),EJ39-EJ34,"")</f>
        <v/>
      </c>
      <c r="EK40" s="182"/>
      <c r="EL40" s="179"/>
      <c r="EM40" s="173"/>
      <c r="EN40" s="174" t="str">
        <f>IF(AND(EN33=1,EN39&lt;&gt;""),EN39-EN34,"")</f>
        <v/>
      </c>
      <c r="EO40" s="182"/>
      <c r="EP40" s="179"/>
      <c r="EQ40" s="173"/>
      <c r="ER40" s="174" t="str">
        <f>IF(AND(ER33=1,ER39&lt;&gt;""),ER39-ER34,"")</f>
        <v/>
      </c>
      <c r="ES40" s="182"/>
      <c r="ET40" s="179"/>
      <c r="EU40" s="173"/>
      <c r="EV40" s="174" t="str">
        <f>IF(AND(EV33=1,EV39&lt;&gt;""),EV39-EV34,"")</f>
        <v/>
      </c>
      <c r="EW40" s="182"/>
      <c r="EX40" s="179"/>
      <c r="EY40" s="173"/>
      <c r="EZ40" s="174" t="str">
        <f>IF(AND(EZ33=1,EZ39&lt;&gt;""),EZ39-EZ34,"")</f>
        <v/>
      </c>
      <c r="FA40" s="182"/>
      <c r="FB40" s="179"/>
      <c r="FC40" s="173"/>
      <c r="FD40" s="174" t="str">
        <f>IF(AND(FD33=1,FD39&lt;&gt;""),FD39-FD34,"")</f>
        <v/>
      </c>
      <c r="FE40" s="182"/>
      <c r="FF40" s="179"/>
      <c r="FG40" s="173"/>
      <c r="FH40" s="174" t="str">
        <f>IF(AND(FH33=1,FH39&lt;&gt;""),FH39-FH34,"")</f>
        <v/>
      </c>
      <c r="FI40" s="182"/>
      <c r="FJ40" s="179"/>
      <c r="FK40" s="173"/>
      <c r="FL40" s="174" t="str">
        <f>IF(AND(FL33=1,FL39&lt;&gt;""),FL39-FL34,"")</f>
        <v/>
      </c>
      <c r="FM40" s="182"/>
      <c r="FN40" s="179"/>
      <c r="FO40" s="173"/>
      <c r="FP40" s="174" t="str">
        <f>IF(AND(FP33=1,FP39&lt;&gt;""),FP39-FP34,"")</f>
        <v/>
      </c>
      <c r="FQ40" s="182"/>
      <c r="FR40" s="179"/>
      <c r="FS40" s="173"/>
      <c r="FT40" s="174" t="str">
        <f>IF(AND(FT33=1,FT39&lt;&gt;""),FT39-FT34,"")</f>
        <v/>
      </c>
      <c r="FU40" s="182"/>
      <c r="FV40" s="179"/>
      <c r="FW40" s="173"/>
      <c r="FX40" s="174" t="str">
        <f>IF(AND(FX33=1,FX39&lt;&gt;""),FX39-FX34,"")</f>
        <v/>
      </c>
      <c r="FY40" s="182"/>
      <c r="FZ40" s="179"/>
      <c r="GA40" s="173"/>
      <c r="GB40" s="174" t="str">
        <f>IF(AND(GB33=1,GB39&lt;&gt;""),GB39-GB34,"")</f>
        <v/>
      </c>
      <c r="GC40" s="182"/>
      <c r="GD40" s="179"/>
      <c r="GE40" s="173"/>
      <c r="GF40" s="174" t="str">
        <f>IF(AND(GF33=1,GF39&lt;&gt;""),GF39-GF34,"")</f>
        <v/>
      </c>
      <c r="GG40" s="182"/>
      <c r="GH40" s="179"/>
      <c r="GI40" s="173"/>
      <c r="GJ40" s="174" t="str">
        <f>IF(AND(GJ33=1,GJ39&lt;&gt;""),GJ39-GJ34,"")</f>
        <v/>
      </c>
      <c r="GK40" s="182"/>
      <c r="GL40" s="179"/>
      <c r="GM40" s="173"/>
      <c r="GN40" s="174" t="str">
        <f>IF(AND(GN33=1,GN39&lt;&gt;""),GN39-GN34,"")</f>
        <v/>
      </c>
      <c r="GO40" s="182"/>
      <c r="GP40" s="179"/>
      <c r="GQ40" s="173"/>
      <c r="GR40" s="174" t="str">
        <f>IF(AND(GR33=1,GR39&lt;&gt;""),GR39-GR34,"")</f>
        <v/>
      </c>
      <c r="GS40" s="182"/>
      <c r="GT40" s="179"/>
      <c r="GU40" s="173"/>
      <c r="GV40" s="174" t="str">
        <f>IF(AND(GV33=1,GV39&lt;&gt;""),GV39-GV34,"")</f>
        <v/>
      </c>
      <c r="GW40" s="182"/>
    </row>
    <row r="41" spans="4:205" ht="12" x14ac:dyDescent="0.25">
      <c r="D41" s="177" t="s">
        <v>165</v>
      </c>
      <c r="E41" s="183"/>
      <c r="F41" s="180"/>
      <c r="G41" s="175"/>
      <c r="H41" s="355" t="str">
        <f>IF(AND(H33=1,H39&lt;&gt;""),H39/H34-1,"")</f>
        <v/>
      </c>
      <c r="I41" s="183"/>
      <c r="J41" s="180"/>
      <c r="K41" s="175"/>
      <c r="L41" s="355" t="str">
        <f>IF(AND(L33=1,L39&lt;&gt;""),L39/L34-1,"")</f>
        <v/>
      </c>
      <c r="M41" s="183"/>
      <c r="N41" s="180"/>
      <c r="O41" s="175"/>
      <c r="P41" s="355" t="str">
        <f>IF(AND(P33=1,P39&lt;&gt;""),P39/P34-1,"")</f>
        <v/>
      </c>
      <c r="Q41" s="183"/>
      <c r="R41" s="180"/>
      <c r="S41" s="175"/>
      <c r="T41" s="355" t="str">
        <f>IF(AND(T33=1,T39&lt;&gt;""),T39/T34-1,"")</f>
        <v/>
      </c>
      <c r="U41" s="183"/>
      <c r="V41" s="180"/>
      <c r="W41" s="175"/>
      <c r="X41" s="355" t="str">
        <f>IF(AND(X33=1,X39&lt;&gt;""),X39/X34-1,"")</f>
        <v/>
      </c>
      <c r="Y41" s="183"/>
      <c r="Z41" s="180"/>
      <c r="AA41" s="175"/>
      <c r="AB41" s="355" t="str">
        <f>IF(AND(AB33=1,AB39&lt;&gt;""),AB39/AB34-1,"")</f>
        <v/>
      </c>
      <c r="AC41" s="183"/>
      <c r="AD41" s="180"/>
      <c r="AE41" s="175"/>
      <c r="AF41" s="355" t="str">
        <f>IF(AND(AF33=1,AF39&lt;&gt;""),AF39/AF34-1,"")</f>
        <v/>
      </c>
      <c r="AG41" s="183"/>
      <c r="AH41" s="180"/>
      <c r="AI41" s="175"/>
      <c r="AJ41" s="355" t="str">
        <f>IF(AND(AJ33=1,AJ39&lt;&gt;""),AJ39/AJ34-1,"")</f>
        <v/>
      </c>
      <c r="AK41" s="183"/>
      <c r="AL41" s="180"/>
      <c r="AM41" s="175"/>
      <c r="AN41" s="355" t="str">
        <f>IF(AND(AN33=1,AN39&lt;&gt;""),AN39/AN34-1,"")</f>
        <v/>
      </c>
      <c r="AO41" s="183"/>
      <c r="AP41" s="180"/>
      <c r="AQ41" s="175"/>
      <c r="AR41" s="355" t="str">
        <f>IF(AND(AR33=1,AR39&lt;&gt;""),AR39/AR34-1,"")</f>
        <v/>
      </c>
      <c r="AS41" s="183"/>
      <c r="AT41" s="180"/>
      <c r="AU41" s="175"/>
      <c r="AV41" s="355" t="str">
        <f>IF(AND(AV33=1,AV39&lt;&gt;""),AV39/AV34-1,"")</f>
        <v/>
      </c>
      <c r="AW41" s="183"/>
      <c r="AX41" s="180"/>
      <c r="AY41" s="175"/>
      <c r="AZ41" s="355" t="str">
        <f>IF(AND(AZ33=1,AZ39&lt;&gt;""),AZ39/AZ34-1,"")</f>
        <v/>
      </c>
      <c r="BA41" s="183"/>
      <c r="BB41" s="180"/>
      <c r="BC41" s="175"/>
      <c r="BD41" s="355" t="str">
        <f>IF(AND(BD33=1,BD39&lt;&gt;""),BD39/BD34-1,"")</f>
        <v/>
      </c>
      <c r="BE41" s="183"/>
      <c r="BF41" s="180"/>
      <c r="BG41" s="175"/>
      <c r="BH41" s="355" t="str">
        <f>IF(AND(BH33=1,BH39&lt;&gt;""),BH39/BH34-1,"")</f>
        <v/>
      </c>
      <c r="BI41" s="183"/>
      <c r="BJ41" s="180"/>
      <c r="BK41" s="175"/>
      <c r="BL41" s="355" t="str">
        <f>IF(AND(BL33=1,BL39&lt;&gt;""),BL39/BL34-1,"")</f>
        <v/>
      </c>
      <c r="BM41" s="183"/>
      <c r="BN41" s="180"/>
      <c r="BO41" s="175"/>
      <c r="BP41" s="355" t="str">
        <f>IF(AND(BP33=1,BP39&lt;&gt;""),BP39/BP34-1,"")</f>
        <v/>
      </c>
      <c r="BQ41" s="183"/>
      <c r="BR41" s="180"/>
      <c r="BS41" s="175"/>
      <c r="BT41" s="355" t="str">
        <f>IF(AND(BT33=1,BT39&lt;&gt;""),BT39/BT34-1,"")</f>
        <v/>
      </c>
      <c r="BU41" s="183"/>
      <c r="BV41" s="180"/>
      <c r="BW41" s="175"/>
      <c r="BX41" s="355" t="str">
        <f>IF(AND(BX33=1,BX39&lt;&gt;""),BX39/BX34-1,"")</f>
        <v/>
      </c>
      <c r="BY41" s="183"/>
      <c r="BZ41" s="180"/>
      <c r="CA41" s="175"/>
      <c r="CB41" s="355" t="str">
        <f>IF(AND(CB33=1,CB39&lt;&gt;""),CB39/CB34-1,"")</f>
        <v/>
      </c>
      <c r="CC41" s="183"/>
      <c r="CD41" s="180"/>
      <c r="CE41" s="175"/>
      <c r="CF41" s="355" t="str">
        <f>IF(AND(CF33=1,CF39&lt;&gt;""),CF39/CF34-1,"")</f>
        <v/>
      </c>
      <c r="CG41" s="183"/>
      <c r="CH41" s="180"/>
      <c r="CI41" s="175"/>
      <c r="CJ41" s="355" t="str">
        <f>IF(AND(CJ33=1,CJ39&lt;&gt;""),CJ39/CJ34-1,"")</f>
        <v/>
      </c>
      <c r="CK41" s="183"/>
      <c r="CL41" s="180"/>
      <c r="CM41" s="175"/>
      <c r="CN41" s="355" t="str">
        <f>IF(AND(CN33=1,CN39&lt;&gt;""),CN39/CN34-1,"")</f>
        <v/>
      </c>
      <c r="CO41" s="183"/>
      <c r="CP41" s="180"/>
      <c r="CQ41" s="175"/>
      <c r="CR41" s="355" t="str">
        <f>IF(AND(CR33=1,CR39&lt;&gt;""),CR39/CR34-1,"")</f>
        <v/>
      </c>
      <c r="CS41" s="183"/>
      <c r="CT41" s="180"/>
      <c r="CU41" s="175"/>
      <c r="CV41" s="355" t="str">
        <f>IF(AND(CV33=1,CV39&lt;&gt;""),CV39/CV34-1,"")</f>
        <v/>
      </c>
      <c r="CW41" s="183"/>
      <c r="CX41" s="180"/>
      <c r="CY41" s="175"/>
      <c r="CZ41" s="355" t="str">
        <f>IF(AND(CZ33=1,CZ39&lt;&gt;""),CZ39/CZ34-1,"")</f>
        <v/>
      </c>
      <c r="DA41" s="183"/>
      <c r="DB41" s="180"/>
      <c r="DC41" s="175"/>
      <c r="DD41" s="355" t="str">
        <f>IF(AND(DD33=1,DD39&lt;&gt;""),DD39/DD34-1,"")</f>
        <v/>
      </c>
      <c r="DE41" s="183"/>
      <c r="DF41" s="180"/>
      <c r="DG41" s="175"/>
      <c r="DH41" s="355" t="str">
        <f>IF(AND(DH33=1,DH39&lt;&gt;""),DH39/DH34-1,"")</f>
        <v/>
      </c>
      <c r="DI41" s="183"/>
      <c r="DJ41" s="180"/>
      <c r="DK41" s="175"/>
      <c r="DL41" s="355" t="str">
        <f>IF(AND(DL33=1,DL39&lt;&gt;""),DL39/DL34-1,"")</f>
        <v/>
      </c>
      <c r="DM41" s="183"/>
      <c r="DN41" s="180"/>
      <c r="DO41" s="175"/>
      <c r="DP41" s="355" t="str">
        <f>IF(AND(DP33=1,DP39&lt;&gt;""),DP39/DP34-1,"")</f>
        <v/>
      </c>
      <c r="DQ41" s="183"/>
      <c r="DR41" s="180"/>
      <c r="DS41" s="175"/>
      <c r="DT41" s="355" t="str">
        <f>IF(AND(DT33=1,DT39&lt;&gt;""),DT39/DT34-1,"")</f>
        <v/>
      </c>
      <c r="DU41" s="183"/>
      <c r="DV41" s="180"/>
      <c r="DW41" s="175"/>
      <c r="DX41" s="355" t="str">
        <f>IF(AND(DX33=1,DX39&lt;&gt;""),DX39/DX34-1,"")</f>
        <v/>
      </c>
      <c r="DY41" s="183"/>
      <c r="DZ41" s="180"/>
      <c r="EA41" s="175"/>
      <c r="EB41" s="355" t="str">
        <f>IF(AND(EB33=1,EB39&lt;&gt;""),EB39/EB34-1,"")</f>
        <v/>
      </c>
      <c r="EC41" s="183"/>
      <c r="ED41" s="180"/>
      <c r="EE41" s="175"/>
      <c r="EF41" s="355" t="str">
        <f>IF(AND(EF33=1,EF39&lt;&gt;""),EF39/EF34-1,"")</f>
        <v/>
      </c>
      <c r="EG41" s="183"/>
      <c r="EH41" s="180"/>
      <c r="EI41" s="175"/>
      <c r="EJ41" s="355" t="str">
        <f>IF(AND(EJ33=1,EJ39&lt;&gt;""),EJ39/EJ34-1,"")</f>
        <v/>
      </c>
      <c r="EK41" s="183"/>
      <c r="EL41" s="180"/>
      <c r="EM41" s="175"/>
      <c r="EN41" s="355" t="str">
        <f>IF(AND(EN33=1,EN39&lt;&gt;""),EN39/EN34-1,"")</f>
        <v/>
      </c>
      <c r="EO41" s="183"/>
      <c r="EP41" s="180"/>
      <c r="EQ41" s="175"/>
      <c r="ER41" s="355" t="str">
        <f>IF(AND(ER33=1,ER39&lt;&gt;""),ER39/ER34-1,"")</f>
        <v/>
      </c>
      <c r="ES41" s="183"/>
      <c r="ET41" s="180"/>
      <c r="EU41" s="175"/>
      <c r="EV41" s="355" t="str">
        <f>IF(AND(EV33=1,EV39&lt;&gt;""),EV39/EV34-1,"")</f>
        <v/>
      </c>
      <c r="EW41" s="183"/>
      <c r="EX41" s="180"/>
      <c r="EY41" s="175"/>
      <c r="EZ41" s="355" t="str">
        <f>IF(AND(EZ33=1,EZ39&lt;&gt;""),EZ39/EZ34-1,"")</f>
        <v/>
      </c>
      <c r="FA41" s="183"/>
      <c r="FB41" s="180"/>
      <c r="FC41" s="175"/>
      <c r="FD41" s="355" t="str">
        <f>IF(AND(FD33=1,FD39&lt;&gt;""),FD39/FD34-1,"")</f>
        <v/>
      </c>
      <c r="FE41" s="183"/>
      <c r="FF41" s="180"/>
      <c r="FG41" s="175"/>
      <c r="FH41" s="355" t="str">
        <f>IF(AND(FH33=1,FH39&lt;&gt;""),FH39/FH34-1,"")</f>
        <v/>
      </c>
      <c r="FI41" s="183"/>
      <c r="FJ41" s="180"/>
      <c r="FK41" s="175"/>
      <c r="FL41" s="355" t="str">
        <f>IF(AND(FL33=1,FL39&lt;&gt;""),FL39/FL34-1,"")</f>
        <v/>
      </c>
      <c r="FM41" s="183"/>
      <c r="FN41" s="180"/>
      <c r="FO41" s="175"/>
      <c r="FP41" s="355" t="str">
        <f>IF(AND(FP33=1,FP39&lt;&gt;""),FP39/FP34-1,"")</f>
        <v/>
      </c>
      <c r="FQ41" s="183"/>
      <c r="FR41" s="180"/>
      <c r="FS41" s="175"/>
      <c r="FT41" s="355" t="str">
        <f>IF(AND(FT33=1,FT39&lt;&gt;""),FT39/FT34-1,"")</f>
        <v/>
      </c>
      <c r="FU41" s="183"/>
      <c r="FV41" s="180"/>
      <c r="FW41" s="175"/>
      <c r="FX41" s="355" t="str">
        <f>IF(AND(FX33=1,FX39&lt;&gt;""),FX39/FX34-1,"")</f>
        <v/>
      </c>
      <c r="FY41" s="183"/>
      <c r="FZ41" s="180"/>
      <c r="GA41" s="175"/>
      <c r="GB41" s="355" t="str">
        <f>IF(AND(GB33=1,GB39&lt;&gt;""),GB39/GB34-1,"")</f>
        <v/>
      </c>
      <c r="GC41" s="183"/>
      <c r="GD41" s="180"/>
      <c r="GE41" s="175"/>
      <c r="GF41" s="355" t="str">
        <f>IF(AND(GF33=1,GF39&lt;&gt;""),GF39/GF34-1,"")</f>
        <v/>
      </c>
      <c r="GG41" s="183"/>
      <c r="GH41" s="180"/>
      <c r="GI41" s="175"/>
      <c r="GJ41" s="355" t="str">
        <f>IF(AND(GJ33=1,GJ39&lt;&gt;""),GJ39/GJ34-1,"")</f>
        <v/>
      </c>
      <c r="GK41" s="183"/>
      <c r="GL41" s="180"/>
      <c r="GM41" s="175"/>
      <c r="GN41" s="355" t="str">
        <f>IF(AND(GN33=1,GN39&lt;&gt;""),GN39/GN34-1,"")</f>
        <v/>
      </c>
      <c r="GO41" s="183"/>
      <c r="GP41" s="180"/>
      <c r="GQ41" s="175"/>
      <c r="GR41" s="355" t="str">
        <f>IF(AND(GR33=1,GR39&lt;&gt;""),GR39/GR34-1,"")</f>
        <v/>
      </c>
      <c r="GS41" s="183"/>
      <c r="GT41" s="180"/>
      <c r="GU41" s="175"/>
      <c r="GV41" s="355" t="str">
        <f>IF(AND(GV33=1,GV39&lt;&gt;""),GV39/GV34-1,"")</f>
        <v/>
      </c>
      <c r="GW41" s="183"/>
    </row>
    <row r="44" spans="4:205" x14ac:dyDescent="0.2">
      <c r="H44" s="168"/>
    </row>
    <row r="45" spans="4:205" x14ac:dyDescent="0.2">
      <c r="H45" s="168"/>
    </row>
    <row r="46" spans="4:205" x14ac:dyDescent="0.2">
      <c r="H46" s="168"/>
    </row>
    <row r="47" spans="4:205" x14ac:dyDescent="0.2">
      <c r="H47" s="168"/>
    </row>
    <row r="48" spans="4:205" x14ac:dyDescent="0.2">
      <c r="H48" s="168"/>
    </row>
    <row r="49" spans="8:8" x14ac:dyDescent="0.2">
      <c r="H49" s="168"/>
    </row>
    <row r="50" spans="8:8" x14ac:dyDescent="0.2">
      <c r="H50" s="168"/>
    </row>
    <row r="51" spans="8:8" x14ac:dyDescent="0.2">
      <c r="H51" s="168"/>
    </row>
    <row r="52" spans="8:8" x14ac:dyDescent="0.2">
      <c r="H52" s="168"/>
    </row>
    <row r="53" spans="8:8" x14ac:dyDescent="0.2">
      <c r="H53" s="168"/>
    </row>
    <row r="54" spans="8:8" x14ac:dyDescent="0.2">
      <c r="H54" s="168"/>
    </row>
    <row r="55" spans="8:8" x14ac:dyDescent="0.2">
      <c r="H55" s="168"/>
    </row>
    <row r="56" spans="8:8" x14ac:dyDescent="0.2">
      <c r="H56" s="168"/>
    </row>
    <row r="57" spans="8:8" x14ac:dyDescent="0.2">
      <c r="H57" s="168"/>
    </row>
  </sheetData>
  <sheetProtection algorithmName="SHA-512" hashValue="FuqgZUdwdY3hzoGXR58zW59qIJMN+EqHOsj27C5/72d0jDLtCRFE1fPd0HII/UUYo45n0hoHyFyaEEtdwaHL2w==" saltValue="XopCRRg4shq20jospixGSw==" spinCount="100000" sheet="1" objects="1" scenarios="1"/>
  <pageMargins left="0.7" right="0.7" top="0.75" bottom="0.75" header="0.3" footer="0.3"/>
  <pageSetup paperSize="9" orientation="portrait" horizontalDpi="300" verticalDpi="300" r:id="rId1"/>
  <legacyDrawing r:id="rId2"/>
  <extLst>
    <ext xmlns:x14="http://schemas.microsoft.com/office/spreadsheetml/2009/9/main" uri="{CCE6A557-97BC-4b89-ADB6-D9C93CAAB3DF}">
      <x14:dataValidations xmlns:xm="http://schemas.microsoft.com/office/excel/2006/main" disablePrompts="1" xWindow="2381" yWindow="756" count="1">
        <x14:dataValidation type="list" allowBlank="1" showInputMessage="1" showErrorMessage="1" xr:uid="{015CA7FF-6826-45AF-BDD1-87C58C56F014}">
          <x14:formula1>
            <xm:f>Lists!$C$3:$C$4</xm:f>
          </x14:formula1>
          <xm:sqref>E11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8c694c2-8810-45bc-8916-eeae2125cc56">
      <Terms xmlns="http://schemas.microsoft.com/office/infopath/2007/PartnerControls"/>
    </lcf76f155ced4ddcb4097134ff3c332f>
    <TaxCatchAll xmlns="8954c74a-0647-486f-a0c4-a23d5bd4d0a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C3028E07767B14B9CE1058FE04BA169" ma:contentTypeVersion="19" ma:contentTypeDescription="Create a new document." ma:contentTypeScope="" ma:versionID="b4865a5b49e1acc0e0248a6b233d9a19">
  <xsd:schema xmlns:xsd="http://www.w3.org/2001/XMLSchema" xmlns:xs="http://www.w3.org/2001/XMLSchema" xmlns:p="http://schemas.microsoft.com/office/2006/metadata/properties" xmlns:ns2="8954c74a-0647-486f-a0c4-a23d5bd4d0ac" xmlns:ns3="a8c694c2-8810-45bc-8916-eeae2125cc56" targetNamespace="http://schemas.microsoft.com/office/2006/metadata/properties" ma:root="true" ma:fieldsID="25637cd5133803385d659505c9abf715" ns2:_="" ns3:_="">
    <xsd:import namespace="8954c74a-0647-486f-a0c4-a23d5bd4d0ac"/>
    <xsd:import namespace="a8c694c2-8810-45bc-8916-eeae2125cc5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54c74a-0647-486f-a0c4-a23d5bd4d0ac"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e50dd8ae-f9a1-4e32-9db0-febe03a25443}" ma:internalName="TaxCatchAll" ma:showField="CatchAllData" ma:web="8954c74a-0647-486f-a0c4-a23d5bd4d0a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8c694c2-8810-45bc-8916-eeae2125cc5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c6004604-8c32-4241-8b90-5e68b4a33b5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7324545-89A4-45ED-9194-47AEDC4BF9A7}">
  <ds:schemaRefs>
    <ds:schemaRef ds:uri="http://schemas.microsoft.com/sharepoint/v3/contenttype/forms"/>
  </ds:schemaRefs>
</ds:datastoreItem>
</file>

<file path=customXml/itemProps2.xml><?xml version="1.0" encoding="utf-8"?>
<ds:datastoreItem xmlns:ds="http://schemas.openxmlformats.org/officeDocument/2006/customXml" ds:itemID="{4E92686B-109C-4C2E-9EB9-58A7DA8EFFF0}">
  <ds:schemaRefs>
    <ds:schemaRef ds:uri="http://schemas.microsoft.com/office/infopath/2007/PartnerControls"/>
    <ds:schemaRef ds:uri="http://purl.org/dc/terms/"/>
    <ds:schemaRef ds:uri="http://schemas.microsoft.com/office/2006/documentManagement/types"/>
    <ds:schemaRef ds:uri="8954c74a-0647-486f-a0c4-a23d5bd4d0ac"/>
    <ds:schemaRef ds:uri="a8c694c2-8810-45bc-8916-eeae2125cc56"/>
    <ds:schemaRef ds:uri="http://purl.org/dc/elements/1.1/"/>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BC5B39FE-CFF2-4609-AD5A-EBDAB037A1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54c74a-0647-486f-a0c4-a23d5bd4d0ac"/>
    <ds:schemaRef ds:uri="a8c694c2-8810-45bc-8916-eeae2125cc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31</vt:i4>
      </vt:variant>
    </vt:vector>
  </HeadingPairs>
  <TitlesOfParts>
    <vt:vector size="47" baseType="lpstr">
      <vt:lpstr>Examples</vt:lpstr>
      <vt:lpstr>Building block QA scope</vt:lpstr>
      <vt:lpstr>Other QA scope</vt:lpstr>
      <vt:lpstr>Journal</vt:lpstr>
      <vt:lpstr>Cover</vt:lpstr>
      <vt:lpstr>Summary</vt:lpstr>
      <vt:lpstr>Total project costs</vt:lpstr>
      <vt:lpstr>Transport</vt:lpstr>
      <vt:lpstr>Transport (cost breakdown)</vt:lpstr>
      <vt:lpstr>Stormwater</vt:lpstr>
      <vt:lpstr>Stormwater (cost breakdown)</vt:lpstr>
      <vt:lpstr>Open space</vt:lpstr>
      <vt:lpstr>Open space (cost breakdown)</vt:lpstr>
      <vt:lpstr>Lists</vt:lpstr>
      <vt:lpstr>Variable index</vt:lpstr>
      <vt:lpstr>Rawlinsons regional indices</vt:lpstr>
      <vt:lpstr>Amenities_building</vt:lpstr>
      <vt:lpstr>Basic_landscaping</vt:lpstr>
      <vt:lpstr>BBQ_area</vt:lpstr>
      <vt:lpstr>BioRetention_basin_grassed_swale</vt:lpstr>
      <vt:lpstr>Box_culvert_headwall_headwall_single</vt:lpstr>
      <vt:lpstr>Box_culvert_headwall_headwall_twin</vt:lpstr>
      <vt:lpstr>Box_culvert_headwall_single_cell</vt:lpstr>
      <vt:lpstr>Box_culvert_headwall_twin_cell</vt:lpstr>
      <vt:lpstr>Demolition</vt:lpstr>
      <vt:lpstr>Examples!ExampleData1</vt:lpstr>
      <vt:lpstr>Examples!ExampleData2</vt:lpstr>
      <vt:lpstr>Examples!ExampleData3</vt:lpstr>
      <vt:lpstr>Examples!ExampleData4</vt:lpstr>
      <vt:lpstr>Gross_pollutant_trap</vt:lpstr>
      <vt:lpstr>No</vt:lpstr>
      <vt:lpstr>Paved_area_hard</vt:lpstr>
      <vt:lpstr>Picnic_area</vt:lpstr>
      <vt:lpstr>Playground_equipment</vt:lpstr>
      <vt:lpstr>Playing_lighting</vt:lpstr>
      <vt:lpstr>'Building block QA scope'!Print_Area</vt:lpstr>
      <vt:lpstr>Cover!Print_Area</vt:lpstr>
      <vt:lpstr>'Other QA scope'!Print_Area</vt:lpstr>
      <vt:lpstr>Retaining_wall</vt:lpstr>
      <vt:lpstr>Seating_area</vt:lpstr>
      <vt:lpstr>Signalised_intersection_2_lane</vt:lpstr>
      <vt:lpstr>Signalised_intersection_single_lane</vt:lpstr>
      <vt:lpstr>Spectator_seat</vt:lpstr>
      <vt:lpstr>Stormwater_headwalls</vt:lpstr>
      <vt:lpstr>Stormwater_pipe_reinforced_concrete</vt:lpstr>
      <vt:lpstr>Stormwater_pit</vt:lpstr>
      <vt:lpstr>Turfing</vt:lpstr>
    </vt:vector>
  </TitlesOfParts>
  <Manager/>
  <Company>IPART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Isaac Di Matteo</dc:creator>
  <cp:keywords/>
  <dc:description/>
  <cp:lastModifiedBy>Isaac Di Matteo</cp:lastModifiedBy>
  <cp:revision/>
  <dcterms:created xsi:type="dcterms:W3CDTF">2014-05-19T07:21:06Z</dcterms:created>
  <dcterms:modified xsi:type="dcterms:W3CDTF">2025-12-09T22:24:44Z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0x0101003C3028E07767B14B9CE1058FE04BA169</vt:lpwstr>
  </property>
  <property fmtid="{D5CDD505-2E9C-101B-9397-08002B2CF9AE}" pid="3" name="MediaServiceImageTags">
    <vt:lpwstr/>
  </property>
</Properties>
</file>