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ECBB9F7F-1DE0-474E-B1BE-E19D469F6533}" xr6:coauthVersionLast="47" xr6:coauthVersionMax="47" xr10:uidLastSave="{00000000-0000-0000-0000-000000000000}"/>
  <bookViews>
    <workbookView xWindow="-110" yWindow="-110" windowWidth="19420" windowHeight="10420" tabRatio="722" firstSheet="2" activeTab="2" xr2:uid="{00000000-000D-0000-FFFF-FFFF00000000}"/>
  </bookViews>
  <sheets>
    <sheet name="Cover" sheetId="12" r:id="rId1"/>
    <sheet name="Journal of changes" sheetId="27" state="hidden"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state="hidden" r:id="rId11"/>
    <sheet name="Scheme cost allocation" sheetId="26" r:id="rId12"/>
    <sheet name="Asset exclusions" sheetId="24" r:id="rId13"/>
  </sheets>
  <definedNames>
    <definedName name="_xlnm._FilterDatabase" localSheetId="6" hidden="1">'Post-1996 commissioned assets'!$A$21:$R$3034</definedName>
    <definedName name="_xlnm._FilterDatabase" localSheetId="5" hidden="1">'Pre-1996 assets'!$A$21:$R$790</definedName>
    <definedName name="_xlnm.Print_Area" localSheetId="0">Cover!$B$1:$E$100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7" l="1"/>
  <c r="F124" i="17"/>
  <c r="F123" i="17"/>
  <c r="F122" i="17"/>
  <c r="F121" i="17"/>
  <c r="F120" i="17"/>
  <c r="O124" i="17"/>
  <c r="P124" i="17"/>
  <c r="O123" i="17"/>
  <c r="P123" i="17"/>
  <c r="O122" i="17"/>
  <c r="P122" i="17"/>
  <c r="O121" i="17"/>
  <c r="P121" i="17"/>
  <c r="O120" i="17"/>
  <c r="P120" i="17"/>
  <c r="O2616" i="16"/>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AP19" i="19"/>
  <c r="D39" i="19"/>
  <c r="D40" i="19"/>
  <c r="D41" i="19"/>
  <c r="D42" i="19"/>
  <c r="D43" i="19"/>
  <c r="D44" i="19"/>
  <c r="D45" i="19"/>
  <c r="D46" i="19"/>
  <c r="D47" i="19"/>
  <c r="D48" i="19"/>
  <c r="D49" i="19"/>
  <c r="D50" i="19"/>
  <c r="D51" i="19"/>
  <c r="D52" i="19"/>
  <c r="D53" i="19"/>
  <c r="D54" i="19"/>
  <c r="D55" i="19"/>
  <c r="D56" i="19"/>
  <c r="D57" i="19"/>
  <c r="D58" i="19"/>
  <c r="D59" i="19"/>
  <c r="D60" i="19"/>
  <c r="D61" i="19"/>
  <c r="D62" i="19"/>
  <c r="D63" i="19"/>
  <c r="D64" i="19"/>
  <c r="D65" i="19"/>
  <c r="AP14" i="19"/>
  <c r="AP21" i="19"/>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59" i="16"/>
  <c r="J60" i="16"/>
  <c r="J61" i="16"/>
  <c r="J62" i="16"/>
  <c r="J63" i="16"/>
  <c r="J64" i="16"/>
  <c r="J65" i="16"/>
  <c r="J66" i="16"/>
  <c r="J67" i="16"/>
  <c r="J68" i="16"/>
  <c r="J69" i="16"/>
  <c r="J70" i="16"/>
  <c r="J71" i="16"/>
  <c r="J72" i="16"/>
  <c r="J73" i="16"/>
  <c r="J74" i="16"/>
  <c r="J75" i="16"/>
  <c r="J76" i="16"/>
  <c r="J77" i="16"/>
  <c r="J78" i="16"/>
  <c r="J79" i="16"/>
  <c r="J80" i="16"/>
  <c r="J81" i="16"/>
  <c r="J82" i="16"/>
  <c r="J83" i="16"/>
  <c r="J84" i="16"/>
  <c r="J85" i="16"/>
  <c r="J86" i="16"/>
  <c r="J87" i="16"/>
  <c r="J88" i="16"/>
  <c r="J89" i="16"/>
  <c r="J90" i="16"/>
  <c r="J91" i="16"/>
  <c r="J92" i="16"/>
  <c r="J93" i="16"/>
  <c r="J94" i="16"/>
  <c r="J95" i="16"/>
  <c r="J96" i="16"/>
  <c r="J97" i="16"/>
  <c r="J98" i="16"/>
  <c r="J99" i="16"/>
  <c r="J100" i="16"/>
  <c r="J101" i="16"/>
  <c r="J102" i="16"/>
  <c r="J103" i="16"/>
  <c r="J104" i="16"/>
  <c r="J105" i="16"/>
  <c r="J106" i="16"/>
  <c r="J107" i="16"/>
  <c r="J108" i="16"/>
  <c r="J109" i="16"/>
  <c r="J110" i="16"/>
  <c r="J111" i="16"/>
  <c r="J112" i="16"/>
  <c r="J113" i="16"/>
  <c r="J114" i="16"/>
  <c r="J115" i="16"/>
  <c r="J116" i="16"/>
  <c r="J117" i="16"/>
  <c r="J118" i="16"/>
  <c r="J119" i="16"/>
  <c r="J120" i="16"/>
  <c r="J121" i="16"/>
  <c r="J122" i="16"/>
  <c r="J123" i="16"/>
  <c r="J124" i="16"/>
  <c r="J125" i="16"/>
  <c r="J126" i="16"/>
  <c r="J127" i="16"/>
  <c r="J128" i="16"/>
  <c r="J129" i="16"/>
  <c r="J130" i="16"/>
  <c r="J131" i="16"/>
  <c r="J132" i="16"/>
  <c r="J133" i="16"/>
  <c r="J134" i="16"/>
  <c r="J135" i="16"/>
  <c r="J136" i="16"/>
  <c r="J137" i="16"/>
  <c r="J138" i="16"/>
  <c r="J139" i="16"/>
  <c r="J140" i="16"/>
  <c r="J141" i="16"/>
  <c r="J142" i="16"/>
  <c r="J143" i="16"/>
  <c r="J144" i="16"/>
  <c r="J145" i="16"/>
  <c r="J146" i="16"/>
  <c r="J147" i="16"/>
  <c r="J148" i="16"/>
  <c r="J149" i="16"/>
  <c r="J150" i="16"/>
  <c r="J151" i="16"/>
  <c r="J152" i="16"/>
  <c r="J153" i="16"/>
  <c r="J154" i="16"/>
  <c r="J155" i="16"/>
  <c r="J156" i="16"/>
  <c r="J157" i="16"/>
  <c r="J158" i="16"/>
  <c r="J159" i="16"/>
  <c r="J160" i="16"/>
  <c r="J161" i="16"/>
  <c r="J162" i="16"/>
  <c r="J163" i="16"/>
  <c r="J164" i="16"/>
  <c r="J165" i="16"/>
  <c r="J166" i="16"/>
  <c r="J167" i="16"/>
  <c r="J168" i="16"/>
  <c r="J169" i="16"/>
  <c r="J170" i="16"/>
  <c r="J171" i="16"/>
  <c r="J172" i="16"/>
  <c r="J173" i="16"/>
  <c r="J174" i="16"/>
  <c r="J175" i="16"/>
  <c r="J176" i="16"/>
  <c r="J177" i="16"/>
  <c r="J178" i="16"/>
  <c r="J179" i="16"/>
  <c r="J180" i="16"/>
  <c r="J181" i="16"/>
  <c r="J182" i="16"/>
  <c r="J183" i="16"/>
  <c r="J184" i="16"/>
  <c r="J185" i="16"/>
  <c r="J186" i="16"/>
  <c r="J187" i="16"/>
  <c r="J188" i="16"/>
  <c r="J189" i="16"/>
  <c r="J190" i="16"/>
  <c r="J191" i="16"/>
  <c r="J192" i="16"/>
  <c r="J193" i="16"/>
  <c r="J194" i="16"/>
  <c r="J195" i="16"/>
  <c r="J196" i="16"/>
  <c r="J197" i="16"/>
  <c r="J198" i="16"/>
  <c r="J199" i="16"/>
  <c r="J200" i="16"/>
  <c r="J201" i="16"/>
  <c r="J202" i="16"/>
  <c r="J203" i="16"/>
  <c r="J204" i="16"/>
  <c r="J205" i="16"/>
  <c r="J206" i="16"/>
  <c r="J207" i="16"/>
  <c r="J208" i="16"/>
  <c r="J209" i="16"/>
  <c r="J210" i="16"/>
  <c r="J211" i="16"/>
  <c r="J212" i="16"/>
  <c r="J213" i="16"/>
  <c r="J214" i="16"/>
  <c r="J215" i="16"/>
  <c r="J216" i="16"/>
  <c r="J217" i="16"/>
  <c r="J218" i="16"/>
  <c r="J219" i="16"/>
  <c r="J220" i="16"/>
  <c r="J221" i="16"/>
  <c r="J222" i="16"/>
  <c r="J223" i="16"/>
  <c r="J224" i="16"/>
  <c r="J225" i="16"/>
  <c r="J226" i="16"/>
  <c r="J227" i="16"/>
  <c r="J228" i="16"/>
  <c r="J229" i="16"/>
  <c r="J230" i="16"/>
  <c r="J231" i="16"/>
  <c r="J232" i="16"/>
  <c r="J233" i="16"/>
  <c r="J234" i="16"/>
  <c r="J235" i="16"/>
  <c r="J236" i="16"/>
  <c r="J237" i="16"/>
  <c r="J238" i="16"/>
  <c r="J239" i="16"/>
  <c r="J240" i="16"/>
  <c r="J241" i="16"/>
  <c r="J242" i="16"/>
  <c r="J243" i="16"/>
  <c r="J244" i="16"/>
  <c r="J245" i="16"/>
  <c r="J246" i="16"/>
  <c r="J247" i="16"/>
  <c r="J248" i="16"/>
  <c r="J249" i="16"/>
  <c r="J250" i="16"/>
  <c r="J251" i="16"/>
  <c r="J252" i="16"/>
  <c r="J253" i="16"/>
  <c r="J254" i="16"/>
  <c r="J255" i="16"/>
  <c r="J256" i="16"/>
  <c r="J257" i="16"/>
  <c r="J258" i="16"/>
  <c r="J259" i="16"/>
  <c r="J260" i="16"/>
  <c r="J261" i="16"/>
  <c r="J262" i="16"/>
  <c r="J263" i="16"/>
  <c r="J264" i="16"/>
  <c r="J265" i="16"/>
  <c r="J266" i="16"/>
  <c r="J267" i="16"/>
  <c r="J268" i="16"/>
  <c r="J269" i="16"/>
  <c r="J270" i="16"/>
  <c r="J271" i="16"/>
  <c r="J272" i="16"/>
  <c r="J273" i="16"/>
  <c r="J274" i="16"/>
  <c r="J275" i="16"/>
  <c r="J276" i="16"/>
  <c r="J277" i="16"/>
  <c r="J278" i="16"/>
  <c r="J279" i="16"/>
  <c r="J280" i="16"/>
  <c r="J281" i="16"/>
  <c r="J282" i="16"/>
  <c r="J283" i="16"/>
  <c r="J284" i="16"/>
  <c r="J285" i="16"/>
  <c r="J286" i="16"/>
  <c r="J287" i="16"/>
  <c r="J288" i="16"/>
  <c r="J289" i="16"/>
  <c r="J290" i="16"/>
  <c r="J291" i="16"/>
  <c r="J292" i="16"/>
  <c r="J293" i="16"/>
  <c r="J294" i="16"/>
  <c r="J295" i="16"/>
  <c r="J296" i="16"/>
  <c r="J297" i="16"/>
  <c r="J298" i="16"/>
  <c r="J299" i="16"/>
  <c r="J300" i="16"/>
  <c r="J301" i="16"/>
  <c r="J302" i="16"/>
  <c r="J303" i="16"/>
  <c r="J304" i="16"/>
  <c r="J305" i="16"/>
  <c r="J306" i="16"/>
  <c r="J307" i="16"/>
  <c r="J308" i="16"/>
  <c r="J309" i="16"/>
  <c r="J310" i="16"/>
  <c r="J311" i="16"/>
  <c r="J312" i="16"/>
  <c r="J313" i="16"/>
  <c r="J314" i="16"/>
  <c r="J315" i="16"/>
  <c r="J316" i="16"/>
  <c r="J317" i="16"/>
  <c r="J318" i="16"/>
  <c r="J319" i="16"/>
  <c r="J320" i="16"/>
  <c r="J321" i="16"/>
  <c r="J322" i="16"/>
  <c r="J323" i="16"/>
  <c r="J324" i="16"/>
  <c r="J325" i="16"/>
  <c r="J326" i="16"/>
  <c r="J327" i="16"/>
  <c r="J328" i="16"/>
  <c r="J329" i="16"/>
  <c r="J330" i="16"/>
  <c r="J331" i="16"/>
  <c r="J332" i="16"/>
  <c r="J333" i="16"/>
  <c r="J334" i="16"/>
  <c r="J335" i="16"/>
  <c r="J336" i="16"/>
  <c r="J337" i="16"/>
  <c r="J338" i="16"/>
  <c r="J339" i="16"/>
  <c r="J340" i="16"/>
  <c r="J341" i="16"/>
  <c r="J342" i="16"/>
  <c r="J343" i="16"/>
  <c r="J344" i="16"/>
  <c r="J345" i="16"/>
  <c r="J346" i="16"/>
  <c r="J347" i="16"/>
  <c r="J348" i="16"/>
  <c r="J349" i="16"/>
  <c r="J350" i="16"/>
  <c r="J351" i="16"/>
  <c r="J352" i="16"/>
  <c r="J353" i="16"/>
  <c r="J354" i="16"/>
  <c r="J355" i="16"/>
  <c r="J356" i="16"/>
  <c r="J357" i="16"/>
  <c r="J358" i="16"/>
  <c r="J359" i="16"/>
  <c r="J360" i="16"/>
  <c r="J361" i="16"/>
  <c r="J362" i="16"/>
  <c r="J363" i="16"/>
  <c r="J364" i="16"/>
  <c r="J365" i="16"/>
  <c r="J366" i="16"/>
  <c r="J367" i="16"/>
  <c r="J368" i="16"/>
  <c r="J369" i="16"/>
  <c r="J370" i="16"/>
  <c r="J371" i="16"/>
  <c r="J372" i="16"/>
  <c r="J373" i="16"/>
  <c r="J374" i="16"/>
  <c r="J375" i="16"/>
  <c r="J376" i="16"/>
  <c r="J377" i="16"/>
  <c r="J378" i="16"/>
  <c r="J379" i="16"/>
  <c r="J380" i="16"/>
  <c r="J381" i="16"/>
  <c r="J382" i="16"/>
  <c r="J383" i="16"/>
  <c r="J384" i="16"/>
  <c r="J385" i="16"/>
  <c r="J386" i="16"/>
  <c r="J387" i="16"/>
  <c r="J388" i="16"/>
  <c r="J389" i="16"/>
  <c r="J390" i="16"/>
  <c r="J391" i="16"/>
  <c r="J392" i="16"/>
  <c r="J393" i="16"/>
  <c r="J394" i="16"/>
  <c r="J395" i="16"/>
  <c r="J396" i="16"/>
  <c r="J397" i="16"/>
  <c r="J398" i="16"/>
  <c r="J399" i="16"/>
  <c r="J400" i="16"/>
  <c r="J401" i="16"/>
  <c r="J402" i="16"/>
  <c r="J403" i="16"/>
  <c r="J404" i="16"/>
  <c r="J405" i="16"/>
  <c r="J406" i="16"/>
  <c r="J407" i="16"/>
  <c r="J408" i="16"/>
  <c r="J409" i="16"/>
  <c r="J410" i="16"/>
  <c r="J411" i="16"/>
  <c r="J412" i="16"/>
  <c r="J413" i="16"/>
  <c r="J414" i="16"/>
  <c r="J415" i="16"/>
  <c r="J416" i="16"/>
  <c r="J417" i="16"/>
  <c r="J418" i="16"/>
  <c r="J419" i="16"/>
  <c r="J420" i="16"/>
  <c r="J421" i="16"/>
  <c r="J422" i="16"/>
  <c r="J423" i="16"/>
  <c r="J424" i="16"/>
  <c r="J425" i="16"/>
  <c r="J426" i="16"/>
  <c r="J427" i="16"/>
  <c r="J428" i="16"/>
  <c r="J429" i="16"/>
  <c r="J430" i="16"/>
  <c r="J431" i="16"/>
  <c r="J432" i="16"/>
  <c r="J433" i="16"/>
  <c r="J434" i="16"/>
  <c r="J435" i="16"/>
  <c r="J436" i="16"/>
  <c r="J437" i="16"/>
  <c r="J438" i="16"/>
  <c r="J439" i="16"/>
  <c r="J440" i="16"/>
  <c r="J441" i="16"/>
  <c r="J442" i="16"/>
  <c r="J443" i="16"/>
  <c r="J444" i="16"/>
  <c r="J445" i="16"/>
  <c r="J446" i="16"/>
  <c r="J447" i="16"/>
  <c r="J448" i="16"/>
  <c r="J449" i="16"/>
  <c r="J450" i="16"/>
  <c r="J451" i="16"/>
  <c r="J452" i="16"/>
  <c r="J453" i="16"/>
  <c r="J454" i="16"/>
  <c r="J455" i="16"/>
  <c r="J456" i="16"/>
  <c r="J457" i="16"/>
  <c r="J458" i="16"/>
  <c r="J459" i="16"/>
  <c r="J460" i="16"/>
  <c r="J461" i="16"/>
  <c r="J462" i="16"/>
  <c r="J463" i="16"/>
  <c r="J464" i="16"/>
  <c r="J465" i="16"/>
  <c r="J466" i="16"/>
  <c r="J467" i="16"/>
  <c r="J468" i="16"/>
  <c r="J469" i="16"/>
  <c r="J470" i="16"/>
  <c r="J471" i="16"/>
  <c r="J472" i="16"/>
  <c r="J473" i="16"/>
  <c r="J474" i="16"/>
  <c r="J475" i="16"/>
  <c r="J476" i="16"/>
  <c r="J477" i="16"/>
  <c r="J478" i="16"/>
  <c r="J479" i="16"/>
  <c r="J480" i="16"/>
  <c r="J481" i="16"/>
  <c r="J482" i="16"/>
  <c r="J483" i="16"/>
  <c r="J484" i="16"/>
  <c r="J485" i="16"/>
  <c r="J486" i="16"/>
  <c r="J487" i="16"/>
  <c r="J488" i="16"/>
  <c r="J489" i="16"/>
  <c r="J490" i="16"/>
  <c r="J491" i="16"/>
  <c r="J492" i="16"/>
  <c r="J493" i="16"/>
  <c r="J494" i="16"/>
  <c r="J495" i="16"/>
  <c r="J496" i="16"/>
  <c r="J497" i="16"/>
  <c r="J498" i="16"/>
  <c r="J499" i="16"/>
  <c r="J500" i="16"/>
  <c r="J501" i="16"/>
  <c r="J502" i="16"/>
  <c r="J503" i="16"/>
  <c r="J504" i="16"/>
  <c r="J505" i="16"/>
  <c r="J506" i="16"/>
  <c r="J507" i="16"/>
  <c r="J508" i="16"/>
  <c r="J509" i="16"/>
  <c r="J510" i="16"/>
  <c r="J511" i="16"/>
  <c r="J512" i="16"/>
  <c r="J513" i="16"/>
  <c r="J514" i="16"/>
  <c r="J515" i="16"/>
  <c r="J516" i="16"/>
  <c r="J517" i="16"/>
  <c r="J518" i="16"/>
  <c r="J519" i="16"/>
  <c r="J520" i="16"/>
  <c r="J521" i="16"/>
  <c r="J522" i="16"/>
  <c r="J523" i="16"/>
  <c r="J524" i="16"/>
  <c r="J525" i="16"/>
  <c r="J526" i="16"/>
  <c r="J527" i="16"/>
  <c r="J528" i="16"/>
  <c r="J529" i="16"/>
  <c r="J531" i="16"/>
  <c r="J532" i="16"/>
  <c r="J533" i="16"/>
  <c r="J534" i="16"/>
  <c r="J535" i="16"/>
  <c r="J536" i="16"/>
  <c r="J537" i="16"/>
  <c r="J538" i="16"/>
  <c r="J539" i="16"/>
  <c r="J540" i="16"/>
  <c r="J541" i="16"/>
  <c r="J542" i="16"/>
  <c r="J543" i="16"/>
  <c r="J544" i="16"/>
  <c r="J545" i="16"/>
  <c r="J546" i="16"/>
  <c r="J547" i="16"/>
  <c r="J548" i="16"/>
  <c r="J549" i="16"/>
  <c r="J550" i="16"/>
  <c r="J551" i="16"/>
  <c r="J552" i="16"/>
  <c r="J553" i="16"/>
  <c r="J554" i="16"/>
  <c r="J555" i="16"/>
  <c r="J556" i="16"/>
  <c r="J557" i="16"/>
  <c r="J558" i="16"/>
  <c r="J559" i="16"/>
  <c r="J560" i="16"/>
  <c r="J561" i="16"/>
  <c r="J563" i="16"/>
  <c r="J564" i="16"/>
  <c r="J565" i="16"/>
  <c r="J566" i="16"/>
  <c r="J568" i="16"/>
  <c r="J569" i="16"/>
  <c r="J570" i="16"/>
  <c r="J571" i="16"/>
  <c r="J572" i="16"/>
  <c r="J573" i="16"/>
  <c r="J574" i="16"/>
  <c r="J575" i="16"/>
  <c r="J576" i="16"/>
  <c r="J577" i="16"/>
  <c r="J578" i="16"/>
  <c r="J579" i="16"/>
  <c r="J580" i="16"/>
  <c r="J581" i="16"/>
  <c r="J582" i="16"/>
  <c r="J583" i="16"/>
  <c r="J584" i="16"/>
  <c r="J585" i="16"/>
  <c r="J586" i="16"/>
  <c r="J587" i="16"/>
  <c r="J588" i="16"/>
  <c r="J589" i="16"/>
  <c r="J590" i="16"/>
  <c r="J591" i="16"/>
  <c r="J592" i="16"/>
  <c r="J593" i="16"/>
  <c r="J594" i="16"/>
  <c r="J595" i="16"/>
  <c r="J596" i="16"/>
  <c r="J597" i="16"/>
  <c r="J598" i="16"/>
  <c r="J599" i="16"/>
  <c r="J600" i="16"/>
  <c r="J601" i="16"/>
  <c r="J602" i="16"/>
  <c r="J603" i="16"/>
  <c r="J604" i="16"/>
  <c r="J605" i="16"/>
  <c r="J606" i="16"/>
  <c r="J607" i="16"/>
  <c r="J608" i="16"/>
  <c r="J609" i="16"/>
  <c r="J610" i="16"/>
  <c r="J611" i="16"/>
  <c r="J612" i="16"/>
  <c r="J613" i="16"/>
  <c r="J614" i="16"/>
  <c r="J615" i="16"/>
  <c r="J616" i="16"/>
  <c r="J617" i="16"/>
  <c r="J618" i="16"/>
  <c r="J619" i="16"/>
  <c r="J620" i="16"/>
  <c r="J621" i="16"/>
  <c r="J622" i="16"/>
  <c r="J623" i="16"/>
  <c r="J624" i="16"/>
  <c r="J625" i="16"/>
  <c r="J626" i="16"/>
  <c r="J627" i="16"/>
  <c r="J628" i="16"/>
  <c r="J629" i="16"/>
  <c r="J630" i="16"/>
  <c r="J631" i="16"/>
  <c r="J632" i="16"/>
  <c r="J633" i="16"/>
  <c r="J634" i="16"/>
  <c r="J635" i="16"/>
  <c r="J636" i="16"/>
  <c r="J637" i="16"/>
  <c r="J638" i="16"/>
  <c r="J639" i="16"/>
  <c r="J640" i="16"/>
  <c r="J641" i="16"/>
  <c r="J642" i="16"/>
  <c r="J643" i="16"/>
  <c r="J644" i="16"/>
  <c r="J645" i="16"/>
  <c r="J646" i="16"/>
  <c r="J647" i="16"/>
  <c r="J648" i="16"/>
  <c r="J649" i="16"/>
  <c r="J650" i="16"/>
  <c r="J651" i="16"/>
  <c r="J652" i="16"/>
  <c r="J653" i="16"/>
  <c r="J654" i="16"/>
  <c r="J655" i="16"/>
  <c r="J656" i="16"/>
  <c r="J657" i="16"/>
  <c r="J658" i="16"/>
  <c r="J659" i="16"/>
  <c r="J660" i="16"/>
  <c r="J661" i="16"/>
  <c r="J662" i="16"/>
  <c r="J663" i="16"/>
  <c r="J664" i="16"/>
  <c r="J665" i="16"/>
  <c r="J666" i="16"/>
  <c r="J667" i="16"/>
  <c r="J668" i="16"/>
  <c r="J669" i="16"/>
  <c r="J670" i="16"/>
  <c r="J671" i="16"/>
  <c r="J672" i="16"/>
  <c r="J673" i="16"/>
  <c r="J674" i="16"/>
  <c r="J675" i="16"/>
  <c r="J676" i="16"/>
  <c r="J677" i="16"/>
  <c r="J678" i="16"/>
  <c r="J679" i="16"/>
  <c r="J680" i="16"/>
  <c r="J681" i="16"/>
  <c r="J682" i="16"/>
  <c r="J683" i="16"/>
  <c r="J684" i="16"/>
  <c r="J685" i="16"/>
  <c r="J686" i="16"/>
  <c r="J687" i="16"/>
  <c r="J688" i="16"/>
  <c r="J689" i="16"/>
  <c r="J690" i="16"/>
  <c r="J691" i="16"/>
  <c r="J692" i="16"/>
  <c r="J693" i="16"/>
  <c r="J694" i="16"/>
  <c r="J695" i="16"/>
  <c r="J696" i="16"/>
  <c r="J697" i="16"/>
  <c r="J698" i="16"/>
  <c r="J699" i="16"/>
  <c r="J700" i="16"/>
  <c r="J701" i="16"/>
  <c r="J702" i="16"/>
  <c r="J703" i="16"/>
  <c r="J704" i="16"/>
  <c r="J705" i="16"/>
  <c r="J706" i="16"/>
  <c r="J707" i="16"/>
  <c r="J708" i="16"/>
  <c r="J709" i="16"/>
  <c r="J710" i="16"/>
  <c r="J711" i="16"/>
  <c r="J712" i="16"/>
  <c r="J713" i="16"/>
  <c r="J714" i="16"/>
  <c r="J715" i="16"/>
  <c r="J716" i="16"/>
  <c r="J717" i="16"/>
  <c r="J718" i="16"/>
  <c r="J719" i="16"/>
  <c r="J720" i="16"/>
  <c r="J721" i="16"/>
  <c r="J722" i="16"/>
  <c r="J723" i="16"/>
  <c r="J724" i="16"/>
  <c r="J725" i="16"/>
  <c r="J726" i="16"/>
  <c r="J727" i="16"/>
  <c r="J728" i="16"/>
  <c r="J729" i="16"/>
  <c r="J730" i="16"/>
  <c r="J731" i="16"/>
  <c r="J732" i="16"/>
  <c r="J733" i="16"/>
  <c r="J734" i="16"/>
  <c r="J735" i="16"/>
  <c r="J736" i="16"/>
  <c r="J737" i="16"/>
  <c r="J738" i="16"/>
  <c r="J739" i="16"/>
  <c r="J740" i="16"/>
  <c r="J741" i="16"/>
  <c r="J742" i="16"/>
  <c r="J743" i="16"/>
  <c r="J744" i="16"/>
  <c r="J745" i="16"/>
  <c r="J746" i="16"/>
  <c r="J747" i="16"/>
  <c r="J748" i="16"/>
  <c r="J749" i="16"/>
  <c r="J750" i="16"/>
  <c r="J751" i="16"/>
  <c r="J752" i="16"/>
  <c r="J753" i="16"/>
  <c r="J754" i="16"/>
  <c r="J755" i="16"/>
  <c r="J756" i="16"/>
  <c r="J757" i="16"/>
  <c r="J758" i="16"/>
  <c r="J759" i="16"/>
  <c r="J760" i="16"/>
  <c r="J761" i="16"/>
  <c r="J762" i="16"/>
  <c r="J763" i="16"/>
  <c r="J764" i="16"/>
  <c r="J765" i="16"/>
  <c r="J766" i="16"/>
  <c r="J767" i="16"/>
  <c r="J768" i="16"/>
  <c r="J769" i="16"/>
  <c r="J770" i="16"/>
  <c r="J771" i="16"/>
  <c r="J772" i="16"/>
  <c r="J773" i="16"/>
  <c r="J774" i="16"/>
  <c r="J775" i="16"/>
  <c r="J776" i="16"/>
  <c r="J777" i="16"/>
  <c r="J778" i="16"/>
  <c r="J779" i="16"/>
  <c r="J780" i="16"/>
  <c r="J781" i="16"/>
  <c r="J782" i="16"/>
  <c r="J783" i="16"/>
  <c r="J784" i="16"/>
  <c r="J785" i="16"/>
  <c r="J786" i="16"/>
  <c r="J787" i="16"/>
  <c r="J788" i="16"/>
  <c r="J789" i="16"/>
  <c r="J790" i="16"/>
  <c r="J791" i="16"/>
  <c r="J792" i="16"/>
  <c r="J793" i="16"/>
  <c r="J794" i="16"/>
  <c r="J795" i="16"/>
  <c r="J796" i="16"/>
  <c r="J797" i="16"/>
  <c r="J798" i="16"/>
  <c r="J799" i="16"/>
  <c r="J800" i="16"/>
  <c r="J801" i="16"/>
  <c r="J802" i="16"/>
  <c r="J803" i="16"/>
  <c r="J804" i="16"/>
  <c r="J805" i="16"/>
  <c r="J806" i="16"/>
  <c r="J807" i="16"/>
  <c r="J808" i="16"/>
  <c r="J809" i="16"/>
  <c r="J810" i="16"/>
  <c r="J811" i="16"/>
  <c r="J812" i="16"/>
  <c r="J813" i="16"/>
  <c r="J814" i="16"/>
  <c r="J815" i="16"/>
  <c r="J816" i="16"/>
  <c r="J817" i="16"/>
  <c r="J818" i="16"/>
  <c r="J819" i="16"/>
  <c r="J820" i="16"/>
  <c r="J821" i="16"/>
  <c r="J822" i="16"/>
  <c r="J823" i="16"/>
  <c r="J824" i="16"/>
  <c r="J825" i="16"/>
  <c r="J826" i="16"/>
  <c r="J827" i="16"/>
  <c r="J828" i="16"/>
  <c r="J829" i="16"/>
  <c r="J830" i="16"/>
  <c r="J831" i="16"/>
  <c r="J832" i="16"/>
  <c r="J833" i="16"/>
  <c r="J834" i="16"/>
  <c r="J835" i="16"/>
  <c r="J836" i="16"/>
  <c r="J837" i="16"/>
  <c r="J838" i="16"/>
  <c r="J839" i="16"/>
  <c r="J840" i="16"/>
  <c r="J841" i="16"/>
  <c r="J842" i="16"/>
  <c r="J843" i="16"/>
  <c r="J844" i="16"/>
  <c r="J845" i="16"/>
  <c r="J846" i="16"/>
  <c r="J847" i="16"/>
  <c r="J848" i="16"/>
  <c r="J849" i="16"/>
  <c r="J850" i="16"/>
  <c r="J851" i="16"/>
  <c r="J852" i="16"/>
  <c r="J853" i="16"/>
  <c r="J854" i="16"/>
  <c r="J855" i="16"/>
  <c r="J856" i="16"/>
  <c r="J857" i="16"/>
  <c r="J858" i="16"/>
  <c r="J859" i="16"/>
  <c r="J860" i="16"/>
  <c r="J861" i="16"/>
  <c r="J862" i="16"/>
  <c r="J863" i="16"/>
  <c r="J864" i="16"/>
  <c r="J865" i="16"/>
  <c r="J866" i="16"/>
  <c r="J867" i="16"/>
  <c r="J868" i="16"/>
  <c r="J869" i="16"/>
  <c r="J870" i="16"/>
  <c r="J871" i="16"/>
  <c r="J872" i="16"/>
  <c r="J873" i="16"/>
  <c r="J874" i="16"/>
  <c r="J875" i="16"/>
  <c r="J876" i="16"/>
  <c r="J877" i="16"/>
  <c r="J878" i="16"/>
  <c r="J879" i="16"/>
  <c r="J880" i="16"/>
  <c r="J881" i="16"/>
  <c r="J882" i="16"/>
  <c r="J883" i="16"/>
  <c r="J884" i="16"/>
  <c r="J885" i="16"/>
  <c r="J886" i="16"/>
  <c r="J887" i="16"/>
  <c r="J888" i="16"/>
  <c r="J889" i="16"/>
  <c r="J890" i="16"/>
  <c r="J891" i="16"/>
  <c r="J892" i="16"/>
  <c r="J893" i="16"/>
  <c r="J894" i="16"/>
  <c r="J895" i="16"/>
  <c r="J896" i="16"/>
  <c r="J897" i="16"/>
  <c r="J898" i="16"/>
  <c r="J899" i="16"/>
  <c r="J900" i="16"/>
  <c r="J901" i="16"/>
  <c r="J902" i="16"/>
  <c r="J903" i="16"/>
  <c r="J904" i="16"/>
  <c r="J905" i="16"/>
  <c r="J906" i="16"/>
  <c r="J907" i="16"/>
  <c r="J908" i="16"/>
  <c r="J909" i="16"/>
  <c r="J910" i="16"/>
  <c r="J911" i="16"/>
  <c r="J912" i="16"/>
  <c r="J913" i="16"/>
  <c r="J914" i="16"/>
  <c r="J915" i="16"/>
  <c r="J916" i="16"/>
  <c r="J917" i="16"/>
  <c r="J918" i="16"/>
  <c r="J919" i="16"/>
  <c r="J920" i="16"/>
  <c r="J921" i="16"/>
  <c r="J922" i="16"/>
  <c r="J923" i="16"/>
  <c r="J924" i="16"/>
  <c r="J925" i="16"/>
  <c r="J926" i="16"/>
  <c r="J927" i="16"/>
  <c r="J928" i="16"/>
  <c r="J929" i="16"/>
  <c r="J930" i="16"/>
  <c r="J931" i="16"/>
  <c r="J932" i="16"/>
  <c r="J933" i="16"/>
  <c r="J934" i="16"/>
  <c r="J935" i="16"/>
  <c r="J936" i="16"/>
  <c r="J937" i="16"/>
  <c r="J938" i="16"/>
  <c r="J939" i="16"/>
  <c r="J940" i="16"/>
  <c r="J941" i="16"/>
  <c r="J942" i="16"/>
  <c r="J943" i="16"/>
  <c r="J944" i="16"/>
  <c r="J945" i="16"/>
  <c r="J946" i="16"/>
  <c r="J947" i="16"/>
  <c r="J948" i="16"/>
  <c r="J949" i="16"/>
  <c r="J950" i="16"/>
  <c r="J951" i="16"/>
  <c r="J952" i="16"/>
  <c r="J953" i="16"/>
  <c r="J954" i="16"/>
  <c r="J955" i="16"/>
  <c r="J956" i="16"/>
  <c r="J957" i="16"/>
  <c r="J958" i="16"/>
  <c r="J959" i="16"/>
  <c r="J960" i="16"/>
  <c r="J961" i="16"/>
  <c r="J962" i="16"/>
  <c r="J963" i="16"/>
  <c r="J964" i="16"/>
  <c r="J965" i="16"/>
  <c r="J966" i="16"/>
  <c r="J967" i="16"/>
  <c r="J968" i="16"/>
  <c r="J969" i="16"/>
  <c r="J970" i="16"/>
  <c r="J971" i="16"/>
  <c r="J972" i="16"/>
  <c r="J973" i="16"/>
  <c r="J974" i="16"/>
  <c r="J975" i="16"/>
  <c r="J976" i="16"/>
  <c r="J977" i="16"/>
  <c r="J978" i="16"/>
  <c r="J979" i="16"/>
  <c r="J980" i="16"/>
  <c r="J981" i="16"/>
  <c r="J982" i="16"/>
  <c r="J983" i="16"/>
  <c r="J984" i="16"/>
  <c r="J985" i="16"/>
  <c r="J986" i="16"/>
  <c r="J987" i="16"/>
  <c r="J988" i="16"/>
  <c r="J989" i="16"/>
  <c r="J990" i="16"/>
  <c r="J991" i="16"/>
  <c r="J992" i="16"/>
  <c r="J993" i="16"/>
  <c r="J994" i="16"/>
  <c r="J995" i="16"/>
  <c r="J996" i="16"/>
  <c r="J997" i="16"/>
  <c r="J998" i="16"/>
  <c r="J999" i="16"/>
  <c r="J1000" i="16"/>
  <c r="J1001" i="16"/>
  <c r="J1002" i="16"/>
  <c r="J1003" i="16"/>
  <c r="J1004" i="16"/>
  <c r="J1005" i="16"/>
  <c r="J1006" i="16"/>
  <c r="J1007" i="16"/>
  <c r="J1008" i="16"/>
  <c r="J1009" i="16"/>
  <c r="J1010" i="16"/>
  <c r="J1011" i="16"/>
  <c r="J1012" i="16"/>
  <c r="J1013" i="16"/>
  <c r="J1014" i="16"/>
  <c r="J1015" i="16"/>
  <c r="J1016" i="16"/>
  <c r="J1017" i="16"/>
  <c r="J1018" i="16"/>
  <c r="J1019" i="16"/>
  <c r="J1020" i="16"/>
  <c r="J1021" i="16"/>
  <c r="J1022" i="16"/>
  <c r="J1023" i="16"/>
  <c r="J1024" i="16"/>
  <c r="J1025" i="16"/>
  <c r="J1026" i="16"/>
  <c r="J1027" i="16"/>
  <c r="J1028" i="16"/>
  <c r="J1029" i="16"/>
  <c r="J1030" i="16"/>
  <c r="J1031" i="16"/>
  <c r="J1032" i="16"/>
  <c r="J1033" i="16"/>
  <c r="J1034" i="16"/>
  <c r="J1035" i="16"/>
  <c r="J1036" i="16"/>
  <c r="J1037" i="16"/>
  <c r="J1038" i="16"/>
  <c r="J1039" i="16"/>
  <c r="J1040" i="16"/>
  <c r="J1041" i="16"/>
  <c r="J1042" i="16"/>
  <c r="J1043" i="16"/>
  <c r="J1044" i="16"/>
  <c r="J1045" i="16"/>
  <c r="J1046" i="16"/>
  <c r="J1047" i="16"/>
  <c r="J1048" i="16"/>
  <c r="J1049" i="16"/>
  <c r="J1050" i="16"/>
  <c r="J1051" i="16"/>
  <c r="J1052" i="16"/>
  <c r="J1053" i="16"/>
  <c r="J1054" i="16"/>
  <c r="J1055" i="16"/>
  <c r="J1056" i="16"/>
  <c r="J1057" i="16"/>
  <c r="J1058" i="16"/>
  <c r="J1059" i="16"/>
  <c r="J1060" i="16"/>
  <c r="J1061" i="16"/>
  <c r="J1062" i="16"/>
  <c r="J1063" i="16"/>
  <c r="J1064" i="16"/>
  <c r="J1065" i="16"/>
  <c r="J1066" i="16"/>
  <c r="J1067" i="16"/>
  <c r="J1068" i="16"/>
  <c r="J1069" i="16"/>
  <c r="J1070" i="16"/>
  <c r="J1071" i="16"/>
  <c r="J1072" i="16"/>
  <c r="J1073" i="16"/>
  <c r="J1074" i="16"/>
  <c r="J1075" i="16"/>
  <c r="J1076" i="16"/>
  <c r="J1077" i="16"/>
  <c r="J1078" i="16"/>
  <c r="J1079" i="16"/>
  <c r="J1080" i="16"/>
  <c r="J1081" i="16"/>
  <c r="J1082" i="16"/>
  <c r="J1083" i="16"/>
  <c r="J1084" i="16"/>
  <c r="J1085" i="16"/>
  <c r="J1086" i="16"/>
  <c r="J1087" i="16"/>
  <c r="J1088" i="16"/>
  <c r="J1089" i="16"/>
  <c r="J1090" i="16"/>
  <c r="J1091" i="16"/>
  <c r="J1092" i="16"/>
  <c r="J1093" i="16"/>
  <c r="J1094" i="16"/>
  <c r="J1095" i="16"/>
  <c r="J1096" i="16"/>
  <c r="J1097" i="16"/>
  <c r="J1098" i="16"/>
  <c r="J1099" i="16"/>
  <c r="J1100" i="16"/>
  <c r="J1101" i="16"/>
  <c r="J1102" i="16"/>
  <c r="J1103" i="16"/>
  <c r="J1104" i="16"/>
  <c r="J1105" i="16"/>
  <c r="J1106" i="16"/>
  <c r="J1107" i="16"/>
  <c r="J1108" i="16"/>
  <c r="J1109" i="16"/>
  <c r="J1110" i="16"/>
  <c r="J1111" i="16"/>
  <c r="J1112" i="16"/>
  <c r="J1113" i="16"/>
  <c r="J1114" i="16"/>
  <c r="J1115" i="16"/>
  <c r="J1116" i="16"/>
  <c r="J1117" i="16"/>
  <c r="J1118" i="16"/>
  <c r="J1119" i="16"/>
  <c r="J1120" i="16"/>
  <c r="J1121" i="16"/>
  <c r="J1122" i="16"/>
  <c r="J1123" i="16"/>
  <c r="J1124" i="16"/>
  <c r="J1125" i="16"/>
  <c r="J1126" i="16"/>
  <c r="J1127" i="16"/>
  <c r="J1128" i="16"/>
  <c r="J1129" i="16"/>
  <c r="J1130" i="16"/>
  <c r="J1131" i="16"/>
  <c r="J1132" i="16"/>
  <c r="J1133" i="16"/>
  <c r="J1134" i="16"/>
  <c r="J1135" i="16"/>
  <c r="J1136" i="16"/>
  <c r="J1137" i="16"/>
  <c r="J1138" i="16"/>
  <c r="J1139" i="16"/>
  <c r="J1140" i="16"/>
  <c r="J1141" i="16"/>
  <c r="J1142" i="16"/>
  <c r="J1143" i="16"/>
  <c r="J1144" i="16"/>
  <c r="J1145" i="16"/>
  <c r="J1146" i="16"/>
  <c r="J1147" i="16"/>
  <c r="J1148" i="16"/>
  <c r="J1149" i="16"/>
  <c r="J1150" i="16"/>
  <c r="J1151" i="16"/>
  <c r="J1152" i="16"/>
  <c r="J1153" i="16"/>
  <c r="J1154" i="16"/>
  <c r="J1155" i="16"/>
  <c r="J1156" i="16"/>
  <c r="J1157" i="16"/>
  <c r="J1158" i="16"/>
  <c r="J1159" i="16"/>
  <c r="J1160" i="16"/>
  <c r="J1161" i="16"/>
  <c r="J1162" i="16"/>
  <c r="J1163" i="16"/>
  <c r="J1164" i="16"/>
  <c r="J1165" i="16"/>
  <c r="J1166" i="16"/>
  <c r="J1167" i="16"/>
  <c r="J1168" i="16"/>
  <c r="J1169" i="16"/>
  <c r="J1170" i="16"/>
  <c r="J1171" i="16"/>
  <c r="J1172" i="16"/>
  <c r="J1173" i="16"/>
  <c r="J1174" i="16"/>
  <c r="J1175" i="16"/>
  <c r="J1176" i="16"/>
  <c r="J1177" i="16"/>
  <c r="J1178" i="16"/>
  <c r="J1179" i="16"/>
  <c r="J1180" i="16"/>
  <c r="J1181" i="16"/>
  <c r="J1182" i="16"/>
  <c r="J1183" i="16"/>
  <c r="J1184" i="16"/>
  <c r="J1185" i="16"/>
  <c r="J1186" i="16"/>
  <c r="J1187" i="16"/>
  <c r="J1188" i="16"/>
  <c r="J1189" i="16"/>
  <c r="J1190" i="16"/>
  <c r="J1191" i="16"/>
  <c r="J1192" i="16"/>
  <c r="J1193" i="16"/>
  <c r="J1194" i="16"/>
  <c r="J1195" i="16"/>
  <c r="J1196" i="16"/>
  <c r="J1197" i="16"/>
  <c r="J1198" i="16"/>
  <c r="J1199" i="16"/>
  <c r="J1200" i="16"/>
  <c r="J1201" i="16"/>
  <c r="J1202" i="16"/>
  <c r="J1203" i="16"/>
  <c r="J1204" i="16"/>
  <c r="J1205" i="16"/>
  <c r="J1206" i="16"/>
  <c r="J1207" i="16"/>
  <c r="J1208" i="16"/>
  <c r="J1209" i="16"/>
  <c r="J1210" i="16"/>
  <c r="J1211" i="16"/>
  <c r="J1212" i="16"/>
  <c r="J1213" i="16"/>
  <c r="J1214" i="16"/>
  <c r="J1215" i="16"/>
  <c r="J1216" i="16"/>
  <c r="J1217" i="16"/>
  <c r="J1218" i="16"/>
  <c r="J1219" i="16"/>
  <c r="J1220" i="16"/>
  <c r="J1221" i="16"/>
  <c r="J1222" i="16"/>
  <c r="J1223" i="16"/>
  <c r="J1224" i="16"/>
  <c r="J1225" i="16"/>
  <c r="J1226" i="16"/>
  <c r="J1227" i="16"/>
  <c r="J1228" i="16"/>
  <c r="J1229" i="16"/>
  <c r="J1230" i="16"/>
  <c r="J1231" i="16"/>
  <c r="J1232" i="16"/>
  <c r="J1233" i="16"/>
  <c r="J1234" i="16"/>
  <c r="J1235" i="16"/>
  <c r="J1236" i="16"/>
  <c r="J1237" i="16"/>
  <c r="J1238" i="16"/>
  <c r="J1239" i="16"/>
  <c r="J1240" i="16"/>
  <c r="J1241" i="16"/>
  <c r="J1242" i="16"/>
  <c r="J1243" i="16"/>
  <c r="J1244" i="16"/>
  <c r="J1245" i="16"/>
  <c r="J1246" i="16"/>
  <c r="J1247" i="16"/>
  <c r="J1248" i="16"/>
  <c r="J1249" i="16"/>
  <c r="J1250" i="16"/>
  <c r="J1251" i="16"/>
  <c r="J1252" i="16"/>
  <c r="J1253" i="16"/>
  <c r="J1254" i="16"/>
  <c r="J1255" i="16"/>
  <c r="J1256" i="16"/>
  <c r="J1257" i="16"/>
  <c r="J1258" i="16"/>
  <c r="J1259" i="16"/>
  <c r="J1260" i="16"/>
  <c r="J1261" i="16"/>
  <c r="J1262" i="16"/>
  <c r="J1263" i="16"/>
  <c r="J1264" i="16"/>
  <c r="J1265" i="16"/>
  <c r="J1266" i="16"/>
  <c r="J1267" i="16"/>
  <c r="J1268" i="16"/>
  <c r="J1269" i="16"/>
  <c r="J1270" i="16"/>
  <c r="J1271" i="16"/>
  <c r="J1272" i="16"/>
  <c r="J1273" i="16"/>
  <c r="J1274" i="16"/>
  <c r="J1275" i="16"/>
  <c r="J1276" i="16"/>
  <c r="J1277" i="16"/>
  <c r="J1278" i="16"/>
  <c r="J1279" i="16"/>
  <c r="J1280" i="16"/>
  <c r="J1281" i="16"/>
  <c r="J1282" i="16"/>
  <c r="J1283" i="16"/>
  <c r="J1284" i="16"/>
  <c r="J1285" i="16"/>
  <c r="J1286" i="16"/>
  <c r="J1287" i="16"/>
  <c r="J1288" i="16"/>
  <c r="J1289" i="16"/>
  <c r="J1290" i="16"/>
  <c r="J1291" i="16"/>
  <c r="J1292" i="16"/>
  <c r="J1293" i="16"/>
  <c r="J1294" i="16"/>
  <c r="J1295" i="16"/>
  <c r="J1296" i="16"/>
  <c r="J1297" i="16"/>
  <c r="J1298" i="16"/>
  <c r="J1299" i="16"/>
  <c r="J1300" i="16"/>
  <c r="J1301" i="16"/>
  <c r="J1302" i="16"/>
  <c r="J1303" i="16"/>
  <c r="J1304" i="16"/>
  <c r="J1305" i="16"/>
  <c r="J1306" i="16"/>
  <c r="J1307" i="16"/>
  <c r="J1308" i="16"/>
  <c r="J1309" i="16"/>
  <c r="J1310" i="16"/>
  <c r="J1311" i="16"/>
  <c r="J1312" i="16"/>
  <c r="J1313" i="16"/>
  <c r="J1314" i="16"/>
  <c r="J1315" i="16"/>
  <c r="J1316" i="16"/>
  <c r="J1317" i="16"/>
  <c r="J1318" i="16"/>
  <c r="J1319" i="16"/>
  <c r="J1320" i="16"/>
  <c r="J1321" i="16"/>
  <c r="J1322" i="16"/>
  <c r="J1323" i="16"/>
  <c r="J1324" i="16"/>
  <c r="J1325" i="16"/>
  <c r="J1326" i="16"/>
  <c r="J1327" i="16"/>
  <c r="J1328" i="16"/>
  <c r="J1329" i="16"/>
  <c r="J1330" i="16"/>
  <c r="J1331" i="16"/>
  <c r="J1332" i="16"/>
  <c r="J1333" i="16"/>
  <c r="J1334" i="16"/>
  <c r="J1335" i="16"/>
  <c r="J1336" i="16"/>
  <c r="J1337" i="16"/>
  <c r="J1338" i="16"/>
  <c r="J1339" i="16"/>
  <c r="J1340" i="16"/>
  <c r="J1341" i="16"/>
  <c r="J1342" i="16"/>
  <c r="J1343" i="16"/>
  <c r="J1344" i="16"/>
  <c r="J1345" i="16"/>
  <c r="J1346" i="16"/>
  <c r="J1347" i="16"/>
  <c r="J1348" i="16"/>
  <c r="J1349" i="16"/>
  <c r="J1350" i="16"/>
  <c r="J1351" i="16"/>
  <c r="J1352" i="16"/>
  <c r="J1353" i="16"/>
  <c r="J1354" i="16"/>
  <c r="J1355" i="16"/>
  <c r="J1356" i="16"/>
  <c r="J1357" i="16"/>
  <c r="J1358" i="16"/>
  <c r="J1359" i="16"/>
  <c r="J1360" i="16"/>
  <c r="J1361" i="16"/>
  <c r="J1362" i="16"/>
  <c r="J1363" i="16"/>
  <c r="J1364" i="16"/>
  <c r="J1365" i="16"/>
  <c r="J1366" i="16"/>
  <c r="J1367" i="16"/>
  <c r="J1368" i="16"/>
  <c r="J1369" i="16"/>
  <c r="J1370" i="16"/>
  <c r="J1371" i="16"/>
  <c r="J1372" i="16"/>
  <c r="J1373" i="16"/>
  <c r="J1374" i="16"/>
  <c r="J1375" i="16"/>
  <c r="J1376" i="16"/>
  <c r="J1377" i="16"/>
  <c r="J1378" i="16"/>
  <c r="J1379" i="16"/>
  <c r="J1380" i="16"/>
  <c r="J1381" i="16"/>
  <c r="J1382" i="16"/>
  <c r="J1383" i="16"/>
  <c r="J1384" i="16"/>
  <c r="J1385" i="16"/>
  <c r="J1386" i="16"/>
  <c r="J1387" i="16"/>
  <c r="J1388" i="16"/>
  <c r="J1389" i="16"/>
  <c r="J1390" i="16"/>
  <c r="J1391" i="16"/>
  <c r="J1392" i="16"/>
  <c r="J1393" i="16"/>
  <c r="J1394" i="16"/>
  <c r="J1395" i="16"/>
  <c r="J1396" i="16"/>
  <c r="J1397" i="16"/>
  <c r="J1398" i="16"/>
  <c r="J1399" i="16"/>
  <c r="J1400" i="16"/>
  <c r="J1401" i="16"/>
  <c r="J1402" i="16"/>
  <c r="J1403" i="16"/>
  <c r="J1404" i="16"/>
  <c r="J1405" i="16"/>
  <c r="J1406" i="16"/>
  <c r="J1407" i="16"/>
  <c r="J1408" i="16"/>
  <c r="J1409" i="16"/>
  <c r="J1410" i="16"/>
  <c r="J1411" i="16"/>
  <c r="J1412" i="16"/>
  <c r="J1413" i="16"/>
  <c r="J1414" i="16"/>
  <c r="J1415" i="16"/>
  <c r="J1416" i="16"/>
  <c r="J1417" i="16"/>
  <c r="J1418" i="16"/>
  <c r="J1419" i="16"/>
  <c r="J1420" i="16"/>
  <c r="J1421" i="16"/>
  <c r="J1422" i="16"/>
  <c r="J1423" i="16"/>
  <c r="J1424" i="16"/>
  <c r="J1425" i="16"/>
  <c r="J1426" i="16"/>
  <c r="J1427" i="16"/>
  <c r="J1428" i="16"/>
  <c r="J1429" i="16"/>
  <c r="J1430" i="16"/>
  <c r="J1431" i="16"/>
  <c r="J1432" i="16"/>
  <c r="J1433" i="16"/>
  <c r="J1434" i="16"/>
  <c r="J1435" i="16"/>
  <c r="J1436" i="16"/>
  <c r="J1437" i="16"/>
  <c r="J1438" i="16"/>
  <c r="J1439" i="16"/>
  <c r="J1440" i="16"/>
  <c r="J1441" i="16"/>
  <c r="J1442" i="16"/>
  <c r="J1443" i="16"/>
  <c r="J1444" i="16"/>
  <c r="J1445" i="16"/>
  <c r="J1446" i="16"/>
  <c r="J1447" i="16"/>
  <c r="J1448" i="16"/>
  <c r="J1449" i="16"/>
  <c r="J1450" i="16"/>
  <c r="J1451" i="16"/>
  <c r="J1452" i="16"/>
  <c r="J1453" i="16"/>
  <c r="J1454" i="16"/>
  <c r="J1455" i="16"/>
  <c r="J1456" i="16"/>
  <c r="J1457" i="16"/>
  <c r="J1458" i="16"/>
  <c r="J1459" i="16"/>
  <c r="J1460" i="16"/>
  <c r="J1461" i="16"/>
  <c r="J1462" i="16"/>
  <c r="J1463" i="16"/>
  <c r="J1464" i="16"/>
  <c r="J1465" i="16"/>
  <c r="J1466" i="16"/>
  <c r="J1467" i="16"/>
  <c r="J1468" i="16"/>
  <c r="J1469" i="16"/>
  <c r="J1470" i="16"/>
  <c r="J1471" i="16"/>
  <c r="J1472" i="16"/>
  <c r="J1473" i="16"/>
  <c r="J1474" i="16"/>
  <c r="J1475" i="16"/>
  <c r="J1476" i="16"/>
  <c r="J1477" i="16"/>
  <c r="J1478" i="16"/>
  <c r="J1479" i="16"/>
  <c r="J1480" i="16"/>
  <c r="J1481" i="16"/>
  <c r="J1482" i="16"/>
  <c r="J1483" i="16"/>
  <c r="J1484" i="16"/>
  <c r="J1485" i="16"/>
  <c r="J1486" i="16"/>
  <c r="J1487" i="16"/>
  <c r="J1488" i="16"/>
  <c r="J1489" i="16"/>
  <c r="J1490" i="16"/>
  <c r="J1491" i="16"/>
  <c r="J1492" i="16"/>
  <c r="J1493" i="16"/>
  <c r="J1494" i="16"/>
  <c r="J1495" i="16"/>
  <c r="J1496" i="16"/>
  <c r="J1497" i="16"/>
  <c r="J1498" i="16"/>
  <c r="J1499" i="16"/>
  <c r="J1500" i="16"/>
  <c r="J1501" i="16"/>
  <c r="J1502" i="16"/>
  <c r="J1503" i="16"/>
  <c r="J1504" i="16"/>
  <c r="J1505" i="16"/>
  <c r="J1506" i="16"/>
  <c r="J1507" i="16"/>
  <c r="J1508" i="16"/>
  <c r="J1509" i="16"/>
  <c r="J1510" i="16"/>
  <c r="J1511" i="16"/>
  <c r="J1512" i="16"/>
  <c r="J1513" i="16"/>
  <c r="J1514" i="16"/>
  <c r="J1515" i="16"/>
  <c r="J1516" i="16"/>
  <c r="J1517" i="16"/>
  <c r="J1518" i="16"/>
  <c r="J1519" i="16"/>
  <c r="J1520" i="16"/>
  <c r="J1521" i="16"/>
  <c r="J1522" i="16"/>
  <c r="J1523" i="16"/>
  <c r="J1524" i="16"/>
  <c r="J1525" i="16"/>
  <c r="J1526" i="16"/>
  <c r="J1527" i="16"/>
  <c r="J1528" i="16"/>
  <c r="J1529" i="16"/>
  <c r="J1530" i="16"/>
  <c r="J1531" i="16"/>
  <c r="J1532" i="16"/>
  <c r="J1533" i="16"/>
  <c r="J1534" i="16"/>
  <c r="J1535" i="16"/>
  <c r="J1536" i="16"/>
  <c r="J1537" i="16"/>
  <c r="J1538" i="16"/>
  <c r="J1539" i="16"/>
  <c r="J1540" i="16"/>
  <c r="J1541" i="16"/>
  <c r="J1542" i="16"/>
  <c r="J1543" i="16"/>
  <c r="J1544" i="16"/>
  <c r="J1545" i="16"/>
  <c r="J1546" i="16"/>
  <c r="J1547" i="16"/>
  <c r="J1548" i="16"/>
  <c r="J1549" i="16"/>
  <c r="J1550" i="16"/>
  <c r="J1551" i="16"/>
  <c r="J1552" i="16"/>
  <c r="J1553" i="16"/>
  <c r="J1554" i="16"/>
  <c r="J1555" i="16"/>
  <c r="J1556" i="16"/>
  <c r="J1557" i="16"/>
  <c r="J1558" i="16"/>
  <c r="J1559" i="16"/>
  <c r="J1560" i="16"/>
  <c r="J1561" i="16"/>
  <c r="J1562" i="16"/>
  <c r="J1563" i="16"/>
  <c r="J1564" i="16"/>
  <c r="J1565" i="16"/>
  <c r="J1566" i="16"/>
  <c r="J1567" i="16"/>
  <c r="J1568" i="16"/>
  <c r="J1569" i="16"/>
  <c r="J1570" i="16"/>
  <c r="J1571" i="16"/>
  <c r="J1572" i="16"/>
  <c r="J1573" i="16"/>
  <c r="J1574" i="16"/>
  <c r="J1575" i="16"/>
  <c r="J1576" i="16"/>
  <c r="J1577" i="16"/>
  <c r="J1578" i="16"/>
  <c r="J1579" i="16"/>
  <c r="J1580" i="16"/>
  <c r="J1581" i="16"/>
  <c r="J1582" i="16"/>
  <c r="J1583" i="16"/>
  <c r="J1584" i="16"/>
  <c r="J1585" i="16"/>
  <c r="J1586" i="16"/>
  <c r="J1587" i="16"/>
  <c r="J1588" i="16"/>
  <c r="J1589" i="16"/>
  <c r="J1590" i="16"/>
  <c r="J1591" i="16"/>
  <c r="J1592" i="16"/>
  <c r="J1593" i="16"/>
  <c r="J1594" i="16"/>
  <c r="J1595" i="16"/>
  <c r="J1596" i="16"/>
  <c r="J1597" i="16"/>
  <c r="J1598" i="16"/>
  <c r="J1599" i="16"/>
  <c r="J1600" i="16"/>
  <c r="J1601" i="16"/>
  <c r="J1602" i="16"/>
  <c r="J1603" i="16"/>
  <c r="J1604" i="16"/>
  <c r="J1605" i="16"/>
  <c r="J1606" i="16"/>
  <c r="J1607" i="16"/>
  <c r="J1608" i="16"/>
  <c r="J1609" i="16"/>
  <c r="J1610" i="16"/>
  <c r="J1611" i="16"/>
  <c r="J1612" i="16"/>
  <c r="J1613" i="16"/>
  <c r="J1614" i="16"/>
  <c r="J1615" i="16"/>
  <c r="J1616" i="16"/>
  <c r="J1617" i="16"/>
  <c r="J1618" i="16"/>
  <c r="J1619" i="16"/>
  <c r="J1620" i="16"/>
  <c r="J1621" i="16"/>
  <c r="J1622" i="16"/>
  <c r="J1623" i="16"/>
  <c r="J1624" i="16"/>
  <c r="J1625" i="16"/>
  <c r="J1626" i="16"/>
  <c r="J1627" i="16"/>
  <c r="J1628" i="16"/>
  <c r="J1629" i="16"/>
  <c r="J1630" i="16"/>
  <c r="J1631" i="16"/>
  <c r="J1632" i="16"/>
  <c r="J1633" i="16"/>
  <c r="J1634" i="16"/>
  <c r="J1635" i="16"/>
  <c r="J1636" i="16"/>
  <c r="J1637" i="16"/>
  <c r="J1638" i="16"/>
  <c r="J1639" i="16"/>
  <c r="J1640" i="16"/>
  <c r="J1641" i="16"/>
  <c r="J1642" i="16"/>
  <c r="J1643" i="16"/>
  <c r="J1644" i="16"/>
  <c r="J1645" i="16"/>
  <c r="J1646" i="16"/>
  <c r="J1647" i="16"/>
  <c r="J1648" i="16"/>
  <c r="J1649" i="16"/>
  <c r="J1650" i="16"/>
  <c r="J1651" i="16"/>
  <c r="J1652" i="16"/>
  <c r="J1653" i="16"/>
  <c r="J1654" i="16"/>
  <c r="J1655" i="16"/>
  <c r="J1656" i="16"/>
  <c r="J1657" i="16"/>
  <c r="J1658" i="16"/>
  <c r="J1659" i="16"/>
  <c r="J1660" i="16"/>
  <c r="J1661" i="16"/>
  <c r="J1662" i="16"/>
  <c r="J1663" i="16"/>
  <c r="J1664" i="16"/>
  <c r="J1665" i="16"/>
  <c r="J1666" i="16"/>
  <c r="J1667" i="16"/>
  <c r="J1668" i="16"/>
  <c r="J1669" i="16"/>
  <c r="J1670" i="16"/>
  <c r="J1671" i="16"/>
  <c r="J1672" i="16"/>
  <c r="J1673" i="16"/>
  <c r="J1674" i="16"/>
  <c r="J1675" i="16"/>
  <c r="J1676" i="16"/>
  <c r="J1677" i="16"/>
  <c r="J1678" i="16"/>
  <c r="J1679" i="16"/>
  <c r="J1680" i="16"/>
  <c r="J1681" i="16"/>
  <c r="J1682" i="16"/>
  <c r="J1683" i="16"/>
  <c r="J1684" i="16"/>
  <c r="J1685" i="16"/>
  <c r="J1686" i="16"/>
  <c r="J1687" i="16"/>
  <c r="J1688" i="16"/>
  <c r="J1689" i="16"/>
  <c r="J1690" i="16"/>
  <c r="J1691" i="16"/>
  <c r="J1692" i="16"/>
  <c r="J1693" i="16"/>
  <c r="J1694" i="16"/>
  <c r="J1695" i="16"/>
  <c r="J1696" i="16"/>
  <c r="J1697" i="16"/>
  <c r="J1698" i="16"/>
  <c r="J1699" i="16"/>
  <c r="J1700" i="16"/>
  <c r="J1701" i="16"/>
  <c r="J1702" i="16"/>
  <c r="J1703" i="16"/>
  <c r="J1704" i="16"/>
  <c r="J1705" i="16"/>
  <c r="J1706" i="16"/>
  <c r="J1707" i="16"/>
  <c r="J1708" i="16"/>
  <c r="J1709" i="16"/>
  <c r="J1710" i="16"/>
  <c r="J1711" i="16"/>
  <c r="J1712" i="16"/>
  <c r="J1713" i="16"/>
  <c r="J1714" i="16"/>
  <c r="J1715" i="16"/>
  <c r="J1716" i="16"/>
  <c r="J1717" i="16"/>
  <c r="J1718" i="16"/>
  <c r="J1719" i="16"/>
  <c r="J1720" i="16"/>
  <c r="J1721" i="16"/>
  <c r="J1722" i="16"/>
  <c r="J1723" i="16"/>
  <c r="J1724" i="16"/>
  <c r="J1725" i="16"/>
  <c r="J1726" i="16"/>
  <c r="J1727" i="16"/>
  <c r="J1728" i="16"/>
  <c r="J1729" i="16"/>
  <c r="J1730" i="16"/>
  <c r="J1731" i="16"/>
  <c r="J1732" i="16"/>
  <c r="J1733" i="16"/>
  <c r="J1734" i="16"/>
  <c r="J1735" i="16"/>
  <c r="J1736" i="16"/>
  <c r="J1737" i="16"/>
  <c r="J1738" i="16"/>
  <c r="J1739" i="16"/>
  <c r="J1740" i="16"/>
  <c r="J1741" i="16"/>
  <c r="J1742" i="16"/>
  <c r="J1743" i="16"/>
  <c r="J1744" i="16"/>
  <c r="J1745" i="16"/>
  <c r="J1746" i="16"/>
  <c r="J1747" i="16"/>
  <c r="J1748" i="16"/>
  <c r="J1749" i="16"/>
  <c r="J1750" i="16"/>
  <c r="J1751" i="16"/>
  <c r="J1752" i="16"/>
  <c r="J1753" i="16"/>
  <c r="J1754" i="16"/>
  <c r="J1755" i="16"/>
  <c r="J1756" i="16"/>
  <c r="J1757" i="16"/>
  <c r="J1758" i="16"/>
  <c r="J1759" i="16"/>
  <c r="J1760" i="16"/>
  <c r="J1761" i="16"/>
  <c r="J1762" i="16"/>
  <c r="J1763" i="16"/>
  <c r="J1764" i="16"/>
  <c r="J1765" i="16"/>
  <c r="J1766" i="16"/>
  <c r="J1767" i="16"/>
  <c r="J1768" i="16"/>
  <c r="J1769" i="16"/>
  <c r="J1770" i="16"/>
  <c r="J1771" i="16"/>
  <c r="J1772" i="16"/>
  <c r="J1773" i="16"/>
  <c r="J1774" i="16"/>
  <c r="J1775" i="16"/>
  <c r="J1776" i="16"/>
  <c r="J1777" i="16"/>
  <c r="J1778" i="16"/>
  <c r="J1779" i="16"/>
  <c r="J1780" i="16"/>
  <c r="J1781" i="16"/>
  <c r="J1782" i="16"/>
  <c r="J1783" i="16"/>
  <c r="J1784" i="16"/>
  <c r="J1785" i="16"/>
  <c r="J1786" i="16"/>
  <c r="J1787" i="16"/>
  <c r="J1788" i="16"/>
  <c r="J1789" i="16"/>
  <c r="J1790" i="16"/>
  <c r="J1791" i="16"/>
  <c r="J1792" i="16"/>
  <c r="J1793" i="16"/>
  <c r="J1794" i="16"/>
  <c r="J1795" i="16"/>
  <c r="J1796" i="16"/>
  <c r="J1797" i="16"/>
  <c r="J1798" i="16"/>
  <c r="J1799" i="16"/>
  <c r="J1800" i="16"/>
  <c r="J1801" i="16"/>
  <c r="J1802" i="16"/>
  <c r="J1803" i="16"/>
  <c r="J1804" i="16"/>
  <c r="J1805" i="16"/>
  <c r="J1806" i="16"/>
  <c r="J1807" i="16"/>
  <c r="J1808" i="16"/>
  <c r="J1809" i="16"/>
  <c r="J1810" i="16"/>
  <c r="J1811" i="16"/>
  <c r="J1812" i="16"/>
  <c r="J1813" i="16"/>
  <c r="J1814" i="16"/>
  <c r="J1815" i="16"/>
  <c r="J1816" i="16"/>
  <c r="J1817" i="16"/>
  <c r="J1818" i="16"/>
  <c r="J1819" i="16"/>
  <c r="J1820" i="16"/>
  <c r="J1821" i="16"/>
  <c r="J1822" i="16"/>
  <c r="J1823" i="16"/>
  <c r="J1824" i="16"/>
  <c r="J1825" i="16"/>
  <c r="J1826" i="16"/>
  <c r="J1827" i="16"/>
  <c r="J1828" i="16"/>
  <c r="J1829" i="16"/>
  <c r="J1830" i="16"/>
  <c r="J1831" i="16"/>
  <c r="J1832" i="16"/>
  <c r="J1833" i="16"/>
  <c r="J1834" i="16"/>
  <c r="J1835" i="16"/>
  <c r="J1836" i="16"/>
  <c r="J1837" i="16"/>
  <c r="J1838" i="16"/>
  <c r="J1839" i="16"/>
  <c r="J1840" i="16"/>
  <c r="J1841" i="16"/>
  <c r="J1842" i="16"/>
  <c r="J1843" i="16"/>
  <c r="J1844" i="16"/>
  <c r="J1845" i="16"/>
  <c r="J1846" i="16"/>
  <c r="J1847" i="16"/>
  <c r="J1848" i="16"/>
  <c r="J1849" i="16"/>
  <c r="J1850" i="16"/>
  <c r="J1851" i="16"/>
  <c r="J1852" i="16"/>
  <c r="J1853" i="16"/>
  <c r="J1854" i="16"/>
  <c r="J1855" i="16"/>
  <c r="J1856" i="16"/>
  <c r="J1857" i="16"/>
  <c r="J1858" i="16"/>
  <c r="J1859" i="16"/>
  <c r="J1860" i="16"/>
  <c r="J1861" i="16"/>
  <c r="J1862" i="16"/>
  <c r="J1863" i="16"/>
  <c r="J1864" i="16"/>
  <c r="J1865" i="16"/>
  <c r="J1866" i="16"/>
  <c r="J1867" i="16"/>
  <c r="J1868" i="16"/>
  <c r="J1869" i="16"/>
  <c r="J1870" i="16"/>
  <c r="J1871" i="16"/>
  <c r="J1872" i="16"/>
  <c r="J1873" i="16"/>
  <c r="J1874" i="16"/>
  <c r="J1875" i="16"/>
  <c r="J1876" i="16"/>
  <c r="J1877" i="16"/>
  <c r="J1878" i="16"/>
  <c r="J1879" i="16"/>
  <c r="J1880" i="16"/>
  <c r="J1881" i="16"/>
  <c r="J1882" i="16"/>
  <c r="J1883" i="16"/>
  <c r="J1884" i="16"/>
  <c r="J1885" i="16"/>
  <c r="J1886" i="16"/>
  <c r="J1887" i="16"/>
  <c r="J1888" i="16"/>
  <c r="J1889" i="16"/>
  <c r="J1890" i="16"/>
  <c r="J1891" i="16"/>
  <c r="J1892" i="16"/>
  <c r="J1893" i="16"/>
  <c r="J1894" i="16"/>
  <c r="J1895" i="16"/>
  <c r="J1896" i="16"/>
  <c r="J1897" i="16"/>
  <c r="J1898" i="16"/>
  <c r="J1899" i="16"/>
  <c r="J1900" i="16"/>
  <c r="J1901" i="16"/>
  <c r="J1902" i="16"/>
  <c r="J1903" i="16"/>
  <c r="J1904" i="16"/>
  <c r="J1905" i="16"/>
  <c r="J1906" i="16"/>
  <c r="J1907" i="16"/>
  <c r="J1908" i="16"/>
  <c r="J1909" i="16"/>
  <c r="J1910" i="16"/>
  <c r="J1911" i="16"/>
  <c r="J1912" i="16"/>
  <c r="J1913" i="16"/>
  <c r="J1914" i="16"/>
  <c r="J1915" i="16"/>
  <c r="J1916" i="16"/>
  <c r="J1917" i="16"/>
  <c r="J1918" i="16"/>
  <c r="J1919" i="16"/>
  <c r="J1920" i="16"/>
  <c r="J1921" i="16"/>
  <c r="J1922" i="16"/>
  <c r="J1923" i="16"/>
  <c r="J1924" i="16"/>
  <c r="J1925" i="16"/>
  <c r="J1926" i="16"/>
  <c r="J1927" i="16"/>
  <c r="J1928" i="16"/>
  <c r="J1929" i="16"/>
  <c r="J1930" i="16"/>
  <c r="J1931" i="16"/>
  <c r="J1932" i="16"/>
  <c r="J1933" i="16"/>
  <c r="J1934" i="16"/>
  <c r="J1935" i="16"/>
  <c r="J1936" i="16"/>
  <c r="J1937" i="16"/>
  <c r="J1938" i="16"/>
  <c r="J1939" i="16"/>
  <c r="J1940" i="16"/>
  <c r="J1941" i="16"/>
  <c r="J1942" i="16"/>
  <c r="J1943" i="16"/>
  <c r="J1944" i="16"/>
  <c r="J1945" i="16"/>
  <c r="J1946" i="16"/>
  <c r="J1947" i="16"/>
  <c r="J1948" i="16"/>
  <c r="J1949" i="16"/>
  <c r="J1950" i="16"/>
  <c r="J1951" i="16"/>
  <c r="J1952" i="16"/>
  <c r="J1953" i="16"/>
  <c r="J1954" i="16"/>
  <c r="J1955" i="16"/>
  <c r="J1956" i="16"/>
  <c r="J1957" i="16"/>
  <c r="J1958" i="16"/>
  <c r="J1959" i="16"/>
  <c r="J1960" i="16"/>
  <c r="J1961" i="16"/>
  <c r="J1962" i="16"/>
  <c r="J1963" i="16"/>
  <c r="J1964" i="16"/>
  <c r="J1965" i="16"/>
  <c r="J1966" i="16"/>
  <c r="J1967" i="16"/>
  <c r="J1968" i="16"/>
  <c r="J1969" i="16"/>
  <c r="J1970" i="16"/>
  <c r="J1971" i="16"/>
  <c r="J1972" i="16"/>
  <c r="J1973" i="16"/>
  <c r="J1974" i="16"/>
  <c r="J1975" i="16"/>
  <c r="J1976" i="16"/>
  <c r="J1977" i="16"/>
  <c r="J1978" i="16"/>
  <c r="J1979" i="16"/>
  <c r="J1980" i="16"/>
  <c r="J1981" i="16"/>
  <c r="J1982" i="16"/>
  <c r="J1983" i="16"/>
  <c r="J1984" i="16"/>
  <c r="J1985" i="16"/>
  <c r="J1986" i="16"/>
  <c r="J1987" i="16"/>
  <c r="J1988" i="16"/>
  <c r="J1989" i="16"/>
  <c r="J1990" i="16"/>
  <c r="J1991" i="16"/>
  <c r="J1992" i="16"/>
  <c r="J1993" i="16"/>
  <c r="J1994" i="16"/>
  <c r="J1995" i="16"/>
  <c r="J1996" i="16"/>
  <c r="J1997" i="16"/>
  <c r="J1998" i="16"/>
  <c r="J1999" i="16"/>
  <c r="J2000" i="16"/>
  <c r="J2001" i="16"/>
  <c r="J2002" i="16"/>
  <c r="J2003" i="16"/>
  <c r="J2004" i="16"/>
  <c r="J2005" i="16"/>
  <c r="J2006" i="16"/>
  <c r="J2007" i="16"/>
  <c r="J2008" i="16"/>
  <c r="J2009" i="16"/>
  <c r="J2010" i="16"/>
  <c r="J2011" i="16"/>
  <c r="J2012" i="16"/>
  <c r="J2013" i="16"/>
  <c r="J2014" i="16"/>
  <c r="J2015" i="16"/>
  <c r="J2016" i="16"/>
  <c r="J2017" i="16"/>
  <c r="J2018" i="16"/>
  <c r="J2019" i="16"/>
  <c r="J2020" i="16"/>
  <c r="J2021" i="16"/>
  <c r="J2022" i="16"/>
  <c r="J2023" i="16"/>
  <c r="J2024" i="16"/>
  <c r="J2025" i="16"/>
  <c r="J2026" i="16"/>
  <c r="J2027" i="16"/>
  <c r="J2028" i="16"/>
  <c r="J2029" i="16"/>
  <c r="J2030" i="16"/>
  <c r="J2031" i="16"/>
  <c r="J2032" i="16"/>
  <c r="J2033" i="16"/>
  <c r="J2034" i="16"/>
  <c r="J2035" i="16"/>
  <c r="J2036" i="16"/>
  <c r="J2037" i="16"/>
  <c r="J2038" i="16"/>
  <c r="J2039" i="16"/>
  <c r="J2040" i="16"/>
  <c r="J2041" i="16"/>
  <c r="J2042" i="16"/>
  <c r="J2043" i="16"/>
  <c r="J2044" i="16"/>
  <c r="J2045" i="16"/>
  <c r="J2046" i="16"/>
  <c r="J2047" i="16"/>
  <c r="J2048" i="16"/>
  <c r="J2049" i="16"/>
  <c r="J2050" i="16"/>
  <c r="J2051" i="16"/>
  <c r="J2052" i="16"/>
  <c r="J2053" i="16"/>
  <c r="J2054" i="16"/>
  <c r="J2055" i="16"/>
  <c r="J2056" i="16"/>
  <c r="J2057" i="16"/>
  <c r="J2058" i="16"/>
  <c r="J2059" i="16"/>
  <c r="J2060" i="16"/>
  <c r="J2061" i="16"/>
  <c r="J2062" i="16"/>
  <c r="J2063" i="16"/>
  <c r="J2064" i="16"/>
  <c r="J2065" i="16"/>
  <c r="J2066" i="16"/>
  <c r="J2067" i="16"/>
  <c r="J2068" i="16"/>
  <c r="J2069" i="16"/>
  <c r="J2070" i="16"/>
  <c r="J2071" i="16"/>
  <c r="J2072" i="16"/>
  <c r="J2073" i="16"/>
  <c r="J2074" i="16"/>
  <c r="J2075" i="16"/>
  <c r="J2076" i="16"/>
  <c r="J2077" i="16"/>
  <c r="J2078" i="16"/>
  <c r="J2079" i="16"/>
  <c r="J2080" i="16"/>
  <c r="J2081" i="16"/>
  <c r="J2082" i="16"/>
  <c r="J2083" i="16"/>
  <c r="J2084" i="16"/>
  <c r="J2085" i="16"/>
  <c r="J2086" i="16"/>
  <c r="J2087" i="16"/>
  <c r="J2088" i="16"/>
  <c r="J2089" i="16"/>
  <c r="J2090" i="16"/>
  <c r="J2091" i="16"/>
  <c r="J2092" i="16"/>
  <c r="J2093" i="16"/>
  <c r="J2094" i="16"/>
  <c r="J2095" i="16"/>
  <c r="J2096" i="16"/>
  <c r="J2097" i="16"/>
  <c r="J2098" i="16"/>
  <c r="J2099" i="16"/>
  <c r="J2100" i="16"/>
  <c r="J2101" i="16"/>
  <c r="J2102" i="16"/>
  <c r="J2103" i="16"/>
  <c r="J2104" i="16"/>
  <c r="J2105" i="16"/>
  <c r="J2106" i="16"/>
  <c r="J2107" i="16"/>
  <c r="J2108" i="16"/>
  <c r="J2109" i="16"/>
  <c r="J2110" i="16"/>
  <c r="J2111" i="16"/>
  <c r="J2112" i="16"/>
  <c r="J2113" i="16"/>
  <c r="J2114" i="16"/>
  <c r="J2115" i="16"/>
  <c r="J2116" i="16"/>
  <c r="J2117" i="16"/>
  <c r="J2118" i="16"/>
  <c r="J2119" i="16"/>
  <c r="J2120" i="16"/>
  <c r="J2121" i="16"/>
  <c r="J2122" i="16"/>
  <c r="J2123" i="16"/>
  <c r="J2124" i="16"/>
  <c r="J2125" i="16"/>
  <c r="J2126" i="16"/>
  <c r="J2127" i="16"/>
  <c r="J2128" i="16"/>
  <c r="J2129" i="16"/>
  <c r="J2130" i="16"/>
  <c r="J2131" i="16"/>
  <c r="J2132" i="16"/>
  <c r="J2133" i="16"/>
  <c r="J2134" i="16"/>
  <c r="J2135" i="16"/>
  <c r="J2136" i="16"/>
  <c r="J2137" i="16"/>
  <c r="J2138" i="16"/>
  <c r="J2139" i="16"/>
  <c r="J2140" i="16"/>
  <c r="J2141" i="16"/>
  <c r="J2142" i="16"/>
  <c r="J2143" i="16"/>
  <c r="J2144" i="16"/>
  <c r="J2145" i="16"/>
  <c r="J2146" i="16"/>
  <c r="J2147" i="16"/>
  <c r="J2148" i="16"/>
  <c r="J2149" i="16"/>
  <c r="J2150" i="16"/>
  <c r="J2151" i="16"/>
  <c r="J2152" i="16"/>
  <c r="J2153" i="16"/>
  <c r="J2154" i="16"/>
  <c r="J2155" i="16"/>
  <c r="J2156" i="16"/>
  <c r="J2157" i="16"/>
  <c r="J2158" i="16"/>
  <c r="J2159" i="16"/>
  <c r="J2160" i="16"/>
  <c r="J2161" i="16"/>
  <c r="J2162" i="16"/>
  <c r="J2163" i="16"/>
  <c r="J2164" i="16"/>
  <c r="J2165" i="16"/>
  <c r="J2166" i="16"/>
  <c r="J2167" i="16"/>
  <c r="J2168" i="16"/>
  <c r="J2169" i="16"/>
  <c r="J2170" i="16"/>
  <c r="J2171" i="16"/>
  <c r="J2172" i="16"/>
  <c r="J2173" i="16"/>
  <c r="J2174" i="16"/>
  <c r="J2175" i="16"/>
  <c r="J2176" i="16"/>
  <c r="J2177" i="16"/>
  <c r="J2178" i="16"/>
  <c r="J2179" i="16"/>
  <c r="J2180" i="16"/>
  <c r="J2181" i="16"/>
  <c r="J2182" i="16"/>
  <c r="J2183" i="16"/>
  <c r="J2184" i="16"/>
  <c r="J2185" i="16"/>
  <c r="J2186" i="16"/>
  <c r="J2187" i="16"/>
  <c r="J2188" i="16"/>
  <c r="J2189" i="16"/>
  <c r="J2190" i="16"/>
  <c r="J2191" i="16"/>
  <c r="J2192" i="16"/>
  <c r="J2193" i="16"/>
  <c r="J2194" i="16"/>
  <c r="J2195" i="16"/>
  <c r="J2196" i="16"/>
  <c r="J2197" i="16"/>
  <c r="J2198" i="16"/>
  <c r="J2199" i="16"/>
  <c r="J2200" i="16"/>
  <c r="J2201" i="16"/>
  <c r="J2202" i="16"/>
  <c r="J2203" i="16"/>
  <c r="J2204" i="16"/>
  <c r="J2205" i="16"/>
  <c r="J2206" i="16"/>
  <c r="J2207" i="16"/>
  <c r="J2208" i="16"/>
  <c r="J2209" i="16"/>
  <c r="J2210" i="16"/>
  <c r="J2211" i="16"/>
  <c r="J2212" i="16"/>
  <c r="J2213" i="16"/>
  <c r="J2214" i="16"/>
  <c r="J2215" i="16"/>
  <c r="J2216" i="16"/>
  <c r="J2217" i="16"/>
  <c r="J2218" i="16"/>
  <c r="J2219" i="16"/>
  <c r="J2220" i="16"/>
  <c r="J2221" i="16"/>
  <c r="J2222" i="16"/>
  <c r="J2223" i="16"/>
  <c r="J2224" i="16"/>
  <c r="J2225" i="16"/>
  <c r="J2226" i="16"/>
  <c r="J2227" i="16"/>
  <c r="J2228" i="16"/>
  <c r="J2229" i="16"/>
  <c r="J2230" i="16"/>
  <c r="J2231" i="16"/>
  <c r="J2232" i="16"/>
  <c r="J2233" i="16"/>
  <c r="J2234" i="16"/>
  <c r="J2235" i="16"/>
  <c r="J2236" i="16"/>
  <c r="J2237" i="16"/>
  <c r="J2238" i="16"/>
  <c r="J2239" i="16"/>
  <c r="J2240" i="16"/>
  <c r="J2241" i="16"/>
  <c r="J2242" i="16"/>
  <c r="J2243" i="16"/>
  <c r="J2244" i="16"/>
  <c r="J2245" i="16"/>
  <c r="J2246" i="16"/>
  <c r="J2247" i="16"/>
  <c r="J2248" i="16"/>
  <c r="J2249" i="16"/>
  <c r="J2250" i="16"/>
  <c r="J2251" i="16"/>
  <c r="J2252" i="16"/>
  <c r="J2253" i="16"/>
  <c r="J2254" i="16"/>
  <c r="J2255" i="16"/>
  <c r="J2256" i="16"/>
  <c r="J2257" i="16"/>
  <c r="J2258" i="16"/>
  <c r="J2259" i="16"/>
  <c r="J2260" i="16"/>
  <c r="J2261" i="16"/>
  <c r="J2262" i="16"/>
  <c r="J2263" i="16"/>
  <c r="J2264" i="16"/>
  <c r="J2265" i="16"/>
  <c r="J2266" i="16"/>
  <c r="J2267" i="16"/>
  <c r="J2268" i="16"/>
  <c r="J2269" i="16"/>
  <c r="J2270" i="16"/>
  <c r="J2271" i="16"/>
  <c r="J2272" i="16"/>
  <c r="J2273" i="16"/>
  <c r="J2274" i="16"/>
  <c r="J2275" i="16"/>
  <c r="J2276" i="16"/>
  <c r="J2277" i="16"/>
  <c r="J2278" i="16"/>
  <c r="J2279" i="16"/>
  <c r="J2280" i="16"/>
  <c r="J2281" i="16"/>
  <c r="J2282" i="16"/>
  <c r="J2283" i="16"/>
  <c r="J2284" i="16"/>
  <c r="J2285" i="16"/>
  <c r="J2286" i="16"/>
  <c r="J2287" i="16"/>
  <c r="J2288" i="16"/>
  <c r="J2289" i="16"/>
  <c r="J2290" i="16"/>
  <c r="J2291" i="16"/>
  <c r="J2292" i="16"/>
  <c r="J2293" i="16"/>
  <c r="J2294" i="16"/>
  <c r="J2295" i="16"/>
  <c r="J2296" i="16"/>
  <c r="J2297" i="16"/>
  <c r="J2298" i="16"/>
  <c r="J2299" i="16"/>
  <c r="J2300" i="16"/>
  <c r="J2301" i="16"/>
  <c r="J2302" i="16"/>
  <c r="J2303" i="16"/>
  <c r="J2304" i="16"/>
  <c r="J2305" i="16"/>
  <c r="J2306" i="16"/>
  <c r="J2307" i="16"/>
  <c r="J2308" i="16"/>
  <c r="J2309" i="16"/>
  <c r="J2310" i="16"/>
  <c r="J2311" i="16"/>
  <c r="J2312" i="16"/>
  <c r="J2313" i="16"/>
  <c r="J2314" i="16"/>
  <c r="J2315" i="16"/>
  <c r="J2316" i="16"/>
  <c r="J2317" i="16"/>
  <c r="J2318" i="16"/>
  <c r="J2319" i="16"/>
  <c r="J2320" i="16"/>
  <c r="J2321" i="16"/>
  <c r="J2322" i="16"/>
  <c r="J2323" i="16"/>
  <c r="J2324" i="16"/>
  <c r="J2325" i="16"/>
  <c r="J2326" i="16"/>
  <c r="J2327" i="16"/>
  <c r="J2328" i="16"/>
  <c r="J2329" i="16"/>
  <c r="J2330" i="16"/>
  <c r="J2331" i="16"/>
  <c r="J2332" i="16"/>
  <c r="J2333" i="16"/>
  <c r="J2334" i="16"/>
  <c r="J2335" i="16"/>
  <c r="J2336" i="16"/>
  <c r="J2337" i="16"/>
  <c r="J2338" i="16"/>
  <c r="J2339" i="16"/>
  <c r="J2340" i="16"/>
  <c r="J2341" i="16"/>
  <c r="J2342" i="16"/>
  <c r="J2343" i="16"/>
  <c r="J2344" i="16"/>
  <c r="J2345" i="16"/>
  <c r="J2346" i="16"/>
  <c r="J2347" i="16"/>
  <c r="J2348" i="16"/>
  <c r="J2349" i="16"/>
  <c r="J2350" i="16"/>
  <c r="J2351" i="16"/>
  <c r="J2352" i="16"/>
  <c r="J2353" i="16"/>
  <c r="J2354" i="16"/>
  <c r="J2355" i="16"/>
  <c r="J2356" i="16"/>
  <c r="J2357" i="16"/>
  <c r="J2358" i="16"/>
  <c r="J2359" i="16"/>
  <c r="J2360" i="16"/>
  <c r="J2361" i="16"/>
  <c r="J2362" i="16"/>
  <c r="J2363" i="16"/>
  <c r="J2364" i="16"/>
  <c r="J2365" i="16"/>
  <c r="J2366" i="16"/>
  <c r="J2367" i="16"/>
  <c r="J2368" i="16"/>
  <c r="J2369" i="16"/>
  <c r="J2370" i="16"/>
  <c r="J2371" i="16"/>
  <c r="J2372" i="16"/>
  <c r="J2373" i="16"/>
  <c r="J2374" i="16"/>
  <c r="J2375" i="16"/>
  <c r="J2376" i="16"/>
  <c r="J2377" i="16"/>
  <c r="J2378" i="16"/>
  <c r="J2379" i="16"/>
  <c r="J2380" i="16"/>
  <c r="J2381" i="16"/>
  <c r="J2382" i="16"/>
  <c r="J2383" i="16"/>
  <c r="J2384" i="16"/>
  <c r="J2385" i="16"/>
  <c r="J2386" i="16"/>
  <c r="J2387" i="16"/>
  <c r="J2388" i="16"/>
  <c r="J2389" i="16"/>
  <c r="J2390" i="16"/>
  <c r="J2391" i="16"/>
  <c r="J2392" i="16"/>
  <c r="J2393" i="16"/>
  <c r="J2394" i="16"/>
  <c r="J2395" i="16"/>
  <c r="J2396" i="16"/>
  <c r="J2397" i="16"/>
  <c r="J2398" i="16"/>
  <c r="J2399" i="16"/>
  <c r="J2400" i="16"/>
  <c r="J2401" i="16"/>
  <c r="J2402" i="16"/>
  <c r="J2403" i="16"/>
  <c r="J2404" i="16"/>
  <c r="J2405" i="16"/>
  <c r="J2406" i="16"/>
  <c r="J2407" i="16"/>
  <c r="J2408" i="16"/>
  <c r="J2409" i="16"/>
  <c r="J2410" i="16"/>
  <c r="J2411" i="16"/>
  <c r="J2412" i="16"/>
  <c r="J2413" i="16"/>
  <c r="J2414" i="16"/>
  <c r="J2415" i="16"/>
  <c r="J2416" i="16"/>
  <c r="J2417" i="16"/>
  <c r="J2418" i="16"/>
  <c r="J2419" i="16"/>
  <c r="J2420" i="16"/>
  <c r="J2421" i="16"/>
  <c r="J2422" i="16"/>
  <c r="J2423" i="16"/>
  <c r="J2424" i="16"/>
  <c r="J2425" i="16"/>
  <c r="J2426" i="16"/>
  <c r="J2427" i="16"/>
  <c r="J2428" i="16"/>
  <c r="J2429" i="16"/>
  <c r="J2430" i="16"/>
  <c r="J2431" i="16"/>
  <c r="J2432" i="16"/>
  <c r="J2433" i="16"/>
  <c r="J2434" i="16"/>
  <c r="J2435" i="16"/>
  <c r="J2436" i="16"/>
  <c r="J2437" i="16"/>
  <c r="J2438" i="16"/>
  <c r="J2439" i="16"/>
  <c r="J2440" i="16"/>
  <c r="J2441" i="16"/>
  <c r="J2442" i="16"/>
  <c r="J2443" i="16"/>
  <c r="J2444" i="16"/>
  <c r="J2445" i="16"/>
  <c r="J2446" i="16"/>
  <c r="J2447" i="16"/>
  <c r="J2448" i="16"/>
  <c r="J2449" i="16"/>
  <c r="J2450" i="16"/>
  <c r="J2451" i="16"/>
  <c r="J2452" i="16"/>
  <c r="J2453" i="16"/>
  <c r="J2454" i="16"/>
  <c r="J2455" i="16"/>
  <c r="J2456" i="16"/>
  <c r="J2457" i="16"/>
  <c r="J2458" i="16"/>
  <c r="J2459" i="16"/>
  <c r="J2460" i="16"/>
  <c r="J2461" i="16"/>
  <c r="J2462" i="16"/>
  <c r="J2463" i="16"/>
  <c r="J2464" i="16"/>
  <c r="J2465" i="16"/>
  <c r="J2466" i="16"/>
  <c r="J2467" i="16"/>
  <c r="J2468" i="16"/>
  <c r="J2469" i="16"/>
  <c r="J2470" i="16"/>
  <c r="J2471" i="16"/>
  <c r="J2472" i="16"/>
  <c r="J2473" i="16"/>
  <c r="J2474" i="16"/>
  <c r="J2475" i="16"/>
  <c r="J2476" i="16"/>
  <c r="J2477" i="16"/>
  <c r="J2478" i="16"/>
  <c r="J2479" i="16"/>
  <c r="J2480" i="16"/>
  <c r="J2481" i="16"/>
  <c r="J2482" i="16"/>
  <c r="J2483" i="16"/>
  <c r="J2484" i="16"/>
  <c r="J2485" i="16"/>
  <c r="J2486" i="16"/>
  <c r="J2487" i="16"/>
  <c r="J2488" i="16"/>
  <c r="J2489" i="16"/>
  <c r="J2490" i="16"/>
  <c r="J2491" i="16"/>
  <c r="J2492" i="16"/>
  <c r="J2493" i="16"/>
  <c r="J2494" i="16"/>
  <c r="J2495" i="16"/>
  <c r="J2496" i="16"/>
  <c r="J2497" i="16"/>
  <c r="J2498" i="16"/>
  <c r="J2499" i="16"/>
  <c r="J2500" i="16"/>
  <c r="J2501" i="16"/>
  <c r="J2502" i="16"/>
  <c r="J2503" i="16"/>
  <c r="J2504" i="16"/>
  <c r="J2505" i="16"/>
  <c r="J2506" i="16"/>
  <c r="J2507" i="16"/>
  <c r="J2508" i="16"/>
  <c r="J2509" i="16"/>
  <c r="J2510" i="16"/>
  <c r="J2511" i="16"/>
  <c r="J2512" i="16"/>
  <c r="J2513" i="16"/>
  <c r="J2514" i="16"/>
  <c r="J2515" i="16"/>
  <c r="J2516" i="16"/>
  <c r="J2517" i="16"/>
  <c r="J2518" i="16"/>
  <c r="J2519" i="16"/>
  <c r="J2520" i="16"/>
  <c r="J2521" i="16"/>
  <c r="J2522" i="16"/>
  <c r="J2523" i="16"/>
  <c r="J2524" i="16"/>
  <c r="J2525" i="16"/>
  <c r="J2526" i="16"/>
  <c r="J2527" i="16"/>
  <c r="J2528" i="16"/>
  <c r="J2529" i="16"/>
  <c r="J2530" i="16"/>
  <c r="J2531" i="16"/>
  <c r="J2532" i="16"/>
  <c r="J2533" i="16"/>
  <c r="J2534" i="16"/>
  <c r="J2535" i="16"/>
  <c r="J2536" i="16"/>
  <c r="J2537" i="16"/>
  <c r="J2538" i="16"/>
  <c r="J2539" i="16"/>
  <c r="J2540" i="16"/>
  <c r="J2541" i="16"/>
  <c r="J2542" i="16"/>
  <c r="J2543" i="16"/>
  <c r="J2544" i="16"/>
  <c r="J2545" i="16"/>
  <c r="J2546" i="16"/>
  <c r="J2547" i="16"/>
  <c r="J2548" i="16"/>
  <c r="J2549" i="16"/>
  <c r="J2550" i="16"/>
  <c r="J2551" i="16"/>
  <c r="J2552" i="16"/>
  <c r="J2553" i="16"/>
  <c r="J2554" i="16"/>
  <c r="J2555" i="16"/>
  <c r="J2556" i="16"/>
  <c r="J2557" i="16"/>
  <c r="J2558" i="16"/>
  <c r="J2559" i="16"/>
  <c r="J2560" i="16"/>
  <c r="J2561" i="16"/>
  <c r="J2562" i="16"/>
  <c r="J2563" i="16"/>
  <c r="J2564" i="16"/>
  <c r="J2565" i="16"/>
  <c r="J2566" i="16"/>
  <c r="J2567" i="16"/>
  <c r="J2568" i="16"/>
  <c r="J2569" i="16"/>
  <c r="J2570" i="16"/>
  <c r="J2571" i="16"/>
  <c r="J2572" i="16"/>
  <c r="J2573" i="16"/>
  <c r="J2574" i="16"/>
  <c r="J2575" i="16"/>
  <c r="J2576" i="16"/>
  <c r="J2577" i="16"/>
  <c r="J2578" i="16"/>
  <c r="J2579" i="16"/>
  <c r="J2580" i="16"/>
  <c r="J2581" i="16"/>
  <c r="J2582" i="16"/>
  <c r="J2583" i="16"/>
  <c r="J2584" i="16"/>
  <c r="J2585" i="16"/>
  <c r="J2586" i="16"/>
  <c r="J2587" i="16"/>
  <c r="J2588" i="16"/>
  <c r="J2589" i="16"/>
  <c r="J2590" i="16"/>
  <c r="J2591" i="16"/>
  <c r="J2592" i="16"/>
  <c r="J2593" i="16"/>
  <c r="J2594" i="16"/>
  <c r="J2595" i="16"/>
  <c r="J2596" i="16"/>
  <c r="J2597" i="16"/>
  <c r="J2598" i="16"/>
  <c r="J2599" i="16"/>
  <c r="J2600" i="16"/>
  <c r="J2601" i="16"/>
  <c r="J2602" i="16"/>
  <c r="J2603" i="16"/>
  <c r="J2604" i="16"/>
  <c r="J2605" i="16"/>
  <c r="J2606" i="16"/>
  <c r="J2607" i="16"/>
  <c r="J2608" i="16"/>
  <c r="J2609" i="16"/>
  <c r="J2610" i="16"/>
  <c r="J2611" i="16"/>
  <c r="J2612" i="16"/>
  <c r="J2613" i="16"/>
  <c r="J2614" i="16"/>
  <c r="J2615" i="16"/>
  <c r="J2616" i="16"/>
  <c r="P2616" i="16"/>
  <c r="P568" i="16"/>
  <c r="P569" i="16"/>
  <c r="P570" i="16"/>
  <c r="P571" i="16"/>
  <c r="P22" i="16"/>
  <c r="P23" i="16"/>
  <c r="P24" i="16"/>
  <c r="P25" i="16"/>
  <c r="P26" i="16"/>
  <c r="P27" i="16"/>
  <c r="P28" i="16"/>
  <c r="P29" i="16"/>
  <c r="P30" i="16"/>
  <c r="P31" i="16"/>
  <c r="P32" i="16"/>
  <c r="P33" i="16"/>
  <c r="P34" i="16"/>
  <c r="P35" i="16"/>
  <c r="P36" i="16"/>
  <c r="P37" i="16"/>
  <c r="P38" i="16"/>
  <c r="P39" i="16"/>
  <c r="P40" i="16"/>
  <c r="P41" i="16"/>
  <c r="P42" i="16"/>
  <c r="P43" i="16"/>
  <c r="P44" i="16"/>
  <c r="P45" i="16"/>
  <c r="P46" i="16"/>
  <c r="P47" i="16"/>
  <c r="P48" i="16"/>
  <c r="P49" i="16"/>
  <c r="P50" i="16"/>
  <c r="P51" i="16"/>
  <c r="P52" i="16"/>
  <c r="P53" i="16"/>
  <c r="P54" i="16"/>
  <c r="P55" i="16"/>
  <c r="P56" i="16"/>
  <c r="P57" i="16"/>
  <c r="P58" i="16"/>
  <c r="P59" i="16"/>
  <c r="P60" i="16"/>
  <c r="P61" i="16"/>
  <c r="P62" i="16"/>
  <c r="P63" i="16"/>
  <c r="P64" i="16"/>
  <c r="P65" i="16"/>
  <c r="P66" i="16"/>
  <c r="P67" i="16"/>
  <c r="P68" i="16"/>
  <c r="P69" i="16"/>
  <c r="P70" i="16"/>
  <c r="P71" i="16"/>
  <c r="P72" i="16"/>
  <c r="P73" i="16"/>
  <c r="P74" i="16"/>
  <c r="P75" i="16"/>
  <c r="P76" i="16"/>
  <c r="P77" i="16"/>
  <c r="P78" i="16"/>
  <c r="P79" i="16"/>
  <c r="P80" i="16"/>
  <c r="P81" i="16"/>
  <c r="P82" i="16"/>
  <c r="P83" i="16"/>
  <c r="P84" i="16"/>
  <c r="P85" i="16"/>
  <c r="P86" i="16"/>
  <c r="P87" i="16"/>
  <c r="P88" i="16"/>
  <c r="P89" i="16"/>
  <c r="P90" i="16"/>
  <c r="P91" i="16"/>
  <c r="P92" i="16"/>
  <c r="P93" i="16"/>
  <c r="P94" i="16"/>
  <c r="P95" i="16"/>
  <c r="P96" i="16"/>
  <c r="P97" i="16"/>
  <c r="P98" i="16"/>
  <c r="P99" i="16"/>
  <c r="P100" i="16"/>
  <c r="P101" i="16"/>
  <c r="P102" i="16"/>
  <c r="P103" i="16"/>
  <c r="P104" i="16"/>
  <c r="P105" i="16"/>
  <c r="P106" i="16"/>
  <c r="P107" i="16"/>
  <c r="P108" i="16"/>
  <c r="P109" i="16"/>
  <c r="P110" i="16"/>
  <c r="P111" i="16"/>
  <c r="P112" i="16"/>
  <c r="P113" i="16"/>
  <c r="P114" i="16"/>
  <c r="P115" i="16"/>
  <c r="P116" i="16"/>
  <c r="P117" i="16"/>
  <c r="P118" i="16"/>
  <c r="P119" i="16"/>
  <c r="P120" i="16"/>
  <c r="P121" i="16"/>
  <c r="P122" i="16"/>
  <c r="P123" i="16"/>
  <c r="P124" i="16"/>
  <c r="P125" i="16"/>
  <c r="P126" i="16"/>
  <c r="P127" i="16"/>
  <c r="P128" i="16"/>
  <c r="P129" i="16"/>
  <c r="P130" i="16"/>
  <c r="P131" i="16"/>
  <c r="P132" i="16"/>
  <c r="P133" i="16"/>
  <c r="P134" i="16"/>
  <c r="P135" i="16"/>
  <c r="P136" i="16"/>
  <c r="P137" i="16"/>
  <c r="P138" i="16"/>
  <c r="P139" i="16"/>
  <c r="P140" i="16"/>
  <c r="P141" i="16"/>
  <c r="P142" i="16"/>
  <c r="P143" i="16"/>
  <c r="P144" i="16"/>
  <c r="P145" i="16"/>
  <c r="P146" i="16"/>
  <c r="P147" i="16"/>
  <c r="P148" i="16"/>
  <c r="P149" i="16"/>
  <c r="P150" i="16"/>
  <c r="P151" i="16"/>
  <c r="P152" i="16"/>
  <c r="P153" i="16"/>
  <c r="P154" i="16"/>
  <c r="P155" i="16"/>
  <c r="P156" i="16"/>
  <c r="P157" i="16"/>
  <c r="P158" i="16"/>
  <c r="P159" i="16"/>
  <c r="P160" i="16"/>
  <c r="P161" i="16"/>
  <c r="P162" i="16"/>
  <c r="P163" i="16"/>
  <c r="P164" i="16"/>
  <c r="P165" i="16"/>
  <c r="P166" i="16"/>
  <c r="P167" i="16"/>
  <c r="P168" i="16"/>
  <c r="P169" i="16"/>
  <c r="P170" i="16"/>
  <c r="P171" i="16"/>
  <c r="P172" i="16"/>
  <c r="P173" i="16"/>
  <c r="P174" i="16"/>
  <c r="P175" i="16"/>
  <c r="P176" i="16"/>
  <c r="P177" i="16"/>
  <c r="P178" i="16"/>
  <c r="P179" i="16"/>
  <c r="P180" i="16"/>
  <c r="P181" i="16"/>
  <c r="P182" i="16"/>
  <c r="P183" i="16"/>
  <c r="P184" i="16"/>
  <c r="P185" i="16"/>
  <c r="P186" i="16"/>
  <c r="P187" i="16"/>
  <c r="P188" i="16"/>
  <c r="P189" i="16"/>
  <c r="P190" i="16"/>
  <c r="P191" i="16"/>
  <c r="P192" i="16"/>
  <c r="P193" i="16"/>
  <c r="P194" i="16"/>
  <c r="P195" i="16"/>
  <c r="P196" i="16"/>
  <c r="P197" i="16"/>
  <c r="P198" i="16"/>
  <c r="P199" i="16"/>
  <c r="P200" i="16"/>
  <c r="P201" i="16"/>
  <c r="P202" i="16"/>
  <c r="P203" i="16"/>
  <c r="P204" i="16"/>
  <c r="P205" i="16"/>
  <c r="P206" i="16"/>
  <c r="P207" i="16"/>
  <c r="P208" i="16"/>
  <c r="P209" i="16"/>
  <c r="P210" i="16"/>
  <c r="P211" i="16"/>
  <c r="P212" i="16"/>
  <c r="P213" i="16"/>
  <c r="P214" i="16"/>
  <c r="P215" i="16"/>
  <c r="P216" i="16"/>
  <c r="P217" i="16"/>
  <c r="P218" i="16"/>
  <c r="P219" i="16"/>
  <c r="P220" i="16"/>
  <c r="P221" i="16"/>
  <c r="P222" i="16"/>
  <c r="P223" i="16"/>
  <c r="P224" i="16"/>
  <c r="P225" i="16"/>
  <c r="P226" i="16"/>
  <c r="P227" i="16"/>
  <c r="P228" i="16"/>
  <c r="P229" i="16"/>
  <c r="P230" i="16"/>
  <c r="P231" i="16"/>
  <c r="P232" i="16"/>
  <c r="P233" i="16"/>
  <c r="P234" i="16"/>
  <c r="P235" i="16"/>
  <c r="P236" i="16"/>
  <c r="P237" i="16"/>
  <c r="P238" i="16"/>
  <c r="P239" i="16"/>
  <c r="P240" i="16"/>
  <c r="P241" i="16"/>
  <c r="P242" i="16"/>
  <c r="P243" i="16"/>
  <c r="P244" i="16"/>
  <c r="P245" i="16"/>
  <c r="P246" i="16"/>
  <c r="P247" i="16"/>
  <c r="P248" i="16"/>
  <c r="P249" i="16"/>
  <c r="P250" i="16"/>
  <c r="P251" i="16"/>
  <c r="P252" i="16"/>
  <c r="P253" i="16"/>
  <c r="P254" i="16"/>
  <c r="P255" i="16"/>
  <c r="P256" i="16"/>
  <c r="P257" i="16"/>
  <c r="P258" i="16"/>
  <c r="P259" i="16"/>
  <c r="P260" i="16"/>
  <c r="P261" i="16"/>
  <c r="P262" i="16"/>
  <c r="P263" i="16"/>
  <c r="P264" i="16"/>
  <c r="P265" i="16"/>
  <c r="P266" i="16"/>
  <c r="P267" i="16"/>
  <c r="P268" i="16"/>
  <c r="P269" i="16"/>
  <c r="P270" i="16"/>
  <c r="P271" i="16"/>
  <c r="P272" i="16"/>
  <c r="P273" i="16"/>
  <c r="P274" i="16"/>
  <c r="P275" i="16"/>
  <c r="P276" i="16"/>
  <c r="P277" i="16"/>
  <c r="P278" i="16"/>
  <c r="P279" i="16"/>
  <c r="P280" i="16"/>
  <c r="P281" i="16"/>
  <c r="P282" i="16"/>
  <c r="P283" i="16"/>
  <c r="P284" i="16"/>
  <c r="P285" i="16"/>
  <c r="P286" i="16"/>
  <c r="P287" i="16"/>
  <c r="P288" i="16"/>
  <c r="P289" i="16"/>
  <c r="P290" i="16"/>
  <c r="P291" i="16"/>
  <c r="P292" i="16"/>
  <c r="P293" i="16"/>
  <c r="P294" i="16"/>
  <c r="P295" i="16"/>
  <c r="P296" i="16"/>
  <c r="P297" i="16"/>
  <c r="P298" i="16"/>
  <c r="P299" i="16"/>
  <c r="P300" i="16"/>
  <c r="P301" i="16"/>
  <c r="P302" i="16"/>
  <c r="P303" i="16"/>
  <c r="P304" i="16"/>
  <c r="P305" i="16"/>
  <c r="P306" i="16"/>
  <c r="P307" i="16"/>
  <c r="P308" i="16"/>
  <c r="P309" i="16"/>
  <c r="P310" i="16"/>
  <c r="P311" i="16"/>
  <c r="P312" i="16"/>
  <c r="P313" i="16"/>
  <c r="P314" i="16"/>
  <c r="P315" i="16"/>
  <c r="P316" i="16"/>
  <c r="P317" i="16"/>
  <c r="P318" i="16"/>
  <c r="P319" i="16"/>
  <c r="P320" i="16"/>
  <c r="P321" i="16"/>
  <c r="P322" i="16"/>
  <c r="P323" i="16"/>
  <c r="P324" i="16"/>
  <c r="P325" i="16"/>
  <c r="P326" i="16"/>
  <c r="P327" i="16"/>
  <c r="P328" i="16"/>
  <c r="P329" i="16"/>
  <c r="P330" i="16"/>
  <c r="P331" i="16"/>
  <c r="P332" i="16"/>
  <c r="P333" i="16"/>
  <c r="P334" i="16"/>
  <c r="P335" i="16"/>
  <c r="P336" i="16"/>
  <c r="P337" i="16"/>
  <c r="P338" i="16"/>
  <c r="P339" i="16"/>
  <c r="P340" i="16"/>
  <c r="P341" i="16"/>
  <c r="P342" i="16"/>
  <c r="P343" i="16"/>
  <c r="P344" i="16"/>
  <c r="P345" i="16"/>
  <c r="P346" i="16"/>
  <c r="P347" i="16"/>
  <c r="P348" i="16"/>
  <c r="P349" i="16"/>
  <c r="P350" i="16"/>
  <c r="P351" i="16"/>
  <c r="P352" i="16"/>
  <c r="P353" i="16"/>
  <c r="P354" i="16"/>
  <c r="P355" i="16"/>
  <c r="P356" i="16"/>
  <c r="P357" i="16"/>
  <c r="P358" i="16"/>
  <c r="P359" i="16"/>
  <c r="P360" i="16"/>
  <c r="P361" i="16"/>
  <c r="P362" i="16"/>
  <c r="P363" i="16"/>
  <c r="P364" i="16"/>
  <c r="P365" i="16"/>
  <c r="P366" i="16"/>
  <c r="P367" i="16"/>
  <c r="P368" i="16"/>
  <c r="P369" i="16"/>
  <c r="P370" i="16"/>
  <c r="P371" i="16"/>
  <c r="P372" i="16"/>
  <c r="P373" i="16"/>
  <c r="P374" i="16"/>
  <c r="P375" i="16"/>
  <c r="P376" i="16"/>
  <c r="P377" i="16"/>
  <c r="P378" i="16"/>
  <c r="P379" i="16"/>
  <c r="P380" i="16"/>
  <c r="P381" i="16"/>
  <c r="P382" i="16"/>
  <c r="P383" i="16"/>
  <c r="P384" i="16"/>
  <c r="P385" i="16"/>
  <c r="P386" i="16"/>
  <c r="P387" i="16"/>
  <c r="P388" i="16"/>
  <c r="P389" i="16"/>
  <c r="P390" i="16"/>
  <c r="P391" i="16"/>
  <c r="P392" i="16"/>
  <c r="P393" i="16"/>
  <c r="P394" i="16"/>
  <c r="P395" i="16"/>
  <c r="P396" i="16"/>
  <c r="P397" i="16"/>
  <c r="P398" i="16"/>
  <c r="P399" i="16"/>
  <c r="P400" i="16"/>
  <c r="P401" i="16"/>
  <c r="P402" i="16"/>
  <c r="P403" i="16"/>
  <c r="P404" i="16"/>
  <c r="P405" i="16"/>
  <c r="P406" i="16"/>
  <c r="P407" i="16"/>
  <c r="P408" i="16"/>
  <c r="P409" i="16"/>
  <c r="P410" i="16"/>
  <c r="P411" i="16"/>
  <c r="P412" i="16"/>
  <c r="P413" i="16"/>
  <c r="P414" i="16"/>
  <c r="P415" i="16"/>
  <c r="P416" i="16"/>
  <c r="P417" i="16"/>
  <c r="P418" i="16"/>
  <c r="P419" i="16"/>
  <c r="P420" i="16"/>
  <c r="P421" i="16"/>
  <c r="P422" i="16"/>
  <c r="P423" i="16"/>
  <c r="P424" i="16"/>
  <c r="P425" i="16"/>
  <c r="P426" i="16"/>
  <c r="P427" i="16"/>
  <c r="P428" i="16"/>
  <c r="P429" i="16"/>
  <c r="P430" i="16"/>
  <c r="P431" i="16"/>
  <c r="P432" i="16"/>
  <c r="P433" i="16"/>
  <c r="P434" i="16"/>
  <c r="P435" i="16"/>
  <c r="P436" i="16"/>
  <c r="P437" i="16"/>
  <c r="P438" i="16"/>
  <c r="P439" i="16"/>
  <c r="P440" i="16"/>
  <c r="P441" i="16"/>
  <c r="P442" i="16"/>
  <c r="P443" i="16"/>
  <c r="P444" i="16"/>
  <c r="P445" i="16"/>
  <c r="P446" i="16"/>
  <c r="P447" i="16"/>
  <c r="P448" i="16"/>
  <c r="P449" i="16"/>
  <c r="P450" i="16"/>
  <c r="P451" i="16"/>
  <c r="P452" i="16"/>
  <c r="P453" i="16"/>
  <c r="P454" i="16"/>
  <c r="P455" i="16"/>
  <c r="P456" i="16"/>
  <c r="P457" i="16"/>
  <c r="P458" i="16"/>
  <c r="P459" i="16"/>
  <c r="P460" i="16"/>
  <c r="P461" i="16"/>
  <c r="P462" i="16"/>
  <c r="P463" i="16"/>
  <c r="P464" i="16"/>
  <c r="P465" i="16"/>
  <c r="P466" i="16"/>
  <c r="P467" i="16"/>
  <c r="P468" i="16"/>
  <c r="P469" i="16"/>
  <c r="P470" i="16"/>
  <c r="P471" i="16"/>
  <c r="P472" i="16"/>
  <c r="P473" i="16"/>
  <c r="P474" i="16"/>
  <c r="P475" i="16"/>
  <c r="P476" i="16"/>
  <c r="P477" i="16"/>
  <c r="P478" i="16"/>
  <c r="P479" i="16"/>
  <c r="P480" i="16"/>
  <c r="P481" i="16"/>
  <c r="P482" i="16"/>
  <c r="P483" i="16"/>
  <c r="P484" i="16"/>
  <c r="P485" i="16"/>
  <c r="P486" i="16"/>
  <c r="P487" i="16"/>
  <c r="P488" i="16"/>
  <c r="P489" i="16"/>
  <c r="P490" i="16"/>
  <c r="P491" i="16"/>
  <c r="P492" i="16"/>
  <c r="P493" i="16"/>
  <c r="P494" i="16"/>
  <c r="P495" i="16"/>
  <c r="P496" i="16"/>
  <c r="P497" i="16"/>
  <c r="P498" i="16"/>
  <c r="P499" i="16"/>
  <c r="P500" i="16"/>
  <c r="P501" i="16"/>
  <c r="P502" i="16"/>
  <c r="P503" i="16"/>
  <c r="P504" i="16"/>
  <c r="P505" i="16"/>
  <c r="P506" i="16"/>
  <c r="P507" i="16"/>
  <c r="P508" i="16"/>
  <c r="P509" i="16"/>
  <c r="P510" i="16"/>
  <c r="P511" i="16"/>
  <c r="P512" i="16"/>
  <c r="P513" i="16"/>
  <c r="P514" i="16"/>
  <c r="P515" i="16"/>
  <c r="P516" i="16"/>
  <c r="P517" i="16"/>
  <c r="P518" i="16"/>
  <c r="P519" i="16"/>
  <c r="P520" i="16"/>
  <c r="P521" i="16"/>
  <c r="P522" i="16"/>
  <c r="P523" i="16"/>
  <c r="P524" i="16"/>
  <c r="P525" i="16"/>
  <c r="P526" i="16"/>
  <c r="P527" i="16"/>
  <c r="P528" i="16"/>
  <c r="P529" i="16"/>
  <c r="P531" i="16"/>
  <c r="P532" i="16"/>
  <c r="P533" i="16"/>
  <c r="P534" i="16"/>
  <c r="P535" i="16"/>
  <c r="P536" i="16"/>
  <c r="P537" i="16"/>
  <c r="P538" i="16"/>
  <c r="P539" i="16"/>
  <c r="P540" i="16"/>
  <c r="P541" i="16"/>
  <c r="P542" i="16"/>
  <c r="P543" i="16"/>
  <c r="P544" i="16"/>
  <c r="P545" i="16"/>
  <c r="P546" i="16"/>
  <c r="P547" i="16"/>
  <c r="P548" i="16"/>
  <c r="P549" i="16"/>
  <c r="P550" i="16"/>
  <c r="P551" i="16"/>
  <c r="P552" i="16"/>
  <c r="P553" i="16"/>
  <c r="P554" i="16"/>
  <c r="P555" i="16"/>
  <c r="P556" i="16"/>
  <c r="P557" i="16"/>
  <c r="P558" i="16"/>
  <c r="P559" i="16"/>
  <c r="P560" i="16"/>
  <c r="P561" i="16"/>
  <c r="P563" i="16"/>
  <c r="P564" i="16"/>
  <c r="P565" i="16"/>
  <c r="P566" i="16"/>
  <c r="P572" i="16"/>
  <c r="P574" i="16"/>
  <c r="P575" i="16"/>
  <c r="P576" i="16"/>
  <c r="P577" i="16"/>
  <c r="P578" i="16"/>
  <c r="P579" i="16"/>
  <c r="P580" i="16"/>
  <c r="P581" i="16"/>
  <c r="P582" i="16"/>
  <c r="P583" i="16"/>
  <c r="P584" i="16"/>
  <c r="P585" i="16"/>
  <c r="P586" i="16"/>
  <c r="P587" i="16"/>
  <c r="P588" i="16"/>
  <c r="P589" i="16"/>
  <c r="P590" i="16"/>
  <c r="P591" i="16"/>
  <c r="P592" i="16"/>
  <c r="P593" i="16"/>
  <c r="P594" i="16"/>
  <c r="P595" i="16"/>
  <c r="P596" i="16"/>
  <c r="P597" i="16"/>
  <c r="P598" i="16"/>
  <c r="P599" i="16"/>
  <c r="P600" i="16"/>
  <c r="P601" i="16"/>
  <c r="P602" i="16"/>
  <c r="P603" i="16"/>
  <c r="P604" i="16"/>
  <c r="P605" i="16"/>
  <c r="P606" i="16"/>
  <c r="P607" i="16"/>
  <c r="P608" i="16"/>
  <c r="P609" i="16"/>
  <c r="P610" i="16"/>
  <c r="P611" i="16"/>
  <c r="P612" i="16"/>
  <c r="P613" i="16"/>
  <c r="P614" i="16"/>
  <c r="P615" i="16"/>
  <c r="P616" i="16"/>
  <c r="P617" i="16"/>
  <c r="P618" i="16"/>
  <c r="P619" i="16"/>
  <c r="P620" i="16"/>
  <c r="P621" i="16"/>
  <c r="P622" i="16"/>
  <c r="P623" i="16"/>
  <c r="P624" i="16"/>
  <c r="P625" i="16"/>
  <c r="P626" i="16"/>
  <c r="P627" i="16"/>
  <c r="P628" i="16"/>
  <c r="P629" i="16"/>
  <c r="P630" i="16"/>
  <c r="P631" i="16"/>
  <c r="P632" i="16"/>
  <c r="P633" i="16"/>
  <c r="P634" i="16"/>
  <c r="P635" i="16"/>
  <c r="P636" i="16"/>
  <c r="P637" i="16"/>
  <c r="P638" i="16"/>
  <c r="P639" i="16"/>
  <c r="P640" i="16"/>
  <c r="P641" i="16"/>
  <c r="P642" i="16"/>
  <c r="P643" i="16"/>
  <c r="P644" i="16"/>
  <c r="P645" i="16"/>
  <c r="P646" i="16"/>
  <c r="P647" i="16"/>
  <c r="P648" i="16"/>
  <c r="P649" i="16"/>
  <c r="P650" i="16"/>
  <c r="P651" i="16"/>
  <c r="P652" i="16"/>
  <c r="P653" i="16"/>
  <c r="P654" i="16"/>
  <c r="P655" i="16"/>
  <c r="P656" i="16"/>
  <c r="P657" i="16"/>
  <c r="P658" i="16"/>
  <c r="P659" i="16"/>
  <c r="P660" i="16"/>
  <c r="P661" i="16"/>
  <c r="P662" i="16"/>
  <c r="P663" i="16"/>
  <c r="P664" i="16"/>
  <c r="P665" i="16"/>
  <c r="P666" i="16"/>
  <c r="P667" i="16"/>
  <c r="P668" i="16"/>
  <c r="P669" i="16"/>
  <c r="P670" i="16"/>
  <c r="P671" i="16"/>
  <c r="P672" i="16"/>
  <c r="P673" i="16"/>
  <c r="P674" i="16"/>
  <c r="P675" i="16"/>
  <c r="P676" i="16"/>
  <c r="P677" i="16"/>
  <c r="P678" i="16"/>
  <c r="P679" i="16"/>
  <c r="P680" i="16"/>
  <c r="P681" i="16"/>
  <c r="P682" i="16"/>
  <c r="P683" i="16"/>
  <c r="P684" i="16"/>
  <c r="P685" i="16"/>
  <c r="P686" i="16"/>
  <c r="P687" i="16"/>
  <c r="P688" i="16"/>
  <c r="P689" i="16"/>
  <c r="P690" i="16"/>
  <c r="P691" i="16"/>
  <c r="P692" i="16"/>
  <c r="P693" i="16"/>
  <c r="P694" i="16"/>
  <c r="P695" i="16"/>
  <c r="P696" i="16"/>
  <c r="P697" i="16"/>
  <c r="P698" i="16"/>
  <c r="P699" i="16"/>
  <c r="P700" i="16"/>
  <c r="P701" i="16"/>
  <c r="P702" i="16"/>
  <c r="P703" i="16"/>
  <c r="P704" i="16"/>
  <c r="P705" i="16"/>
  <c r="P706" i="16"/>
  <c r="P707" i="16"/>
  <c r="P708" i="16"/>
  <c r="P709" i="16"/>
  <c r="P710" i="16"/>
  <c r="P711" i="16"/>
  <c r="P712" i="16"/>
  <c r="P713" i="16"/>
  <c r="P714" i="16"/>
  <c r="P715" i="16"/>
  <c r="P716" i="16"/>
  <c r="P717" i="16"/>
  <c r="P718" i="16"/>
  <c r="P719" i="16"/>
  <c r="P720" i="16"/>
  <c r="P721" i="16"/>
  <c r="P722" i="16"/>
  <c r="P723" i="16"/>
  <c r="P724" i="16"/>
  <c r="P725" i="16"/>
  <c r="P726" i="16"/>
  <c r="P727" i="16"/>
  <c r="P728" i="16"/>
  <c r="P729" i="16"/>
  <c r="P730" i="16"/>
  <c r="P731" i="16"/>
  <c r="P732" i="16"/>
  <c r="P733" i="16"/>
  <c r="P734" i="16"/>
  <c r="P735" i="16"/>
  <c r="P736" i="16"/>
  <c r="P737" i="16"/>
  <c r="P738" i="16"/>
  <c r="P739" i="16"/>
  <c r="P740" i="16"/>
  <c r="P741" i="16"/>
  <c r="P742" i="16"/>
  <c r="P743" i="16"/>
  <c r="P744" i="16"/>
  <c r="P745" i="16"/>
  <c r="P746" i="16"/>
  <c r="P747" i="16"/>
  <c r="P748" i="16"/>
  <c r="P749" i="16"/>
  <c r="P750" i="16"/>
  <c r="P751" i="16"/>
  <c r="P752" i="16"/>
  <c r="P753" i="16"/>
  <c r="P754" i="16"/>
  <c r="P755" i="16"/>
  <c r="P756" i="16"/>
  <c r="P757" i="16"/>
  <c r="P758" i="16"/>
  <c r="P759" i="16"/>
  <c r="P760" i="16"/>
  <c r="P761" i="16"/>
  <c r="P762" i="16"/>
  <c r="P763" i="16"/>
  <c r="P764" i="16"/>
  <c r="P765" i="16"/>
  <c r="P766" i="16"/>
  <c r="P767" i="16"/>
  <c r="P768" i="16"/>
  <c r="P769" i="16"/>
  <c r="P770" i="16"/>
  <c r="P771" i="16"/>
  <c r="P772" i="16"/>
  <c r="P773" i="16"/>
  <c r="P774" i="16"/>
  <c r="P775" i="16"/>
  <c r="P776" i="16"/>
  <c r="P777" i="16"/>
  <c r="P778" i="16"/>
  <c r="P779" i="16"/>
  <c r="P780" i="16"/>
  <c r="P781" i="16"/>
  <c r="P782" i="16"/>
  <c r="P783" i="16"/>
  <c r="P784" i="16"/>
  <c r="P785" i="16"/>
  <c r="P786" i="16"/>
  <c r="P787" i="16"/>
  <c r="P788" i="16"/>
  <c r="P789" i="16"/>
  <c r="P790" i="16"/>
  <c r="P791" i="16"/>
  <c r="P792" i="16"/>
  <c r="P793" i="16"/>
  <c r="P794" i="16"/>
  <c r="P795" i="16"/>
  <c r="P796" i="16"/>
  <c r="P797" i="16"/>
  <c r="P798" i="16"/>
  <c r="P799" i="16"/>
  <c r="P800" i="16"/>
  <c r="P801" i="16"/>
  <c r="P802" i="16"/>
  <c r="P803" i="16"/>
  <c r="P804" i="16"/>
  <c r="P805" i="16"/>
  <c r="P806" i="16"/>
  <c r="P807" i="16"/>
  <c r="P808" i="16"/>
  <c r="P809" i="16"/>
  <c r="P810" i="16"/>
  <c r="P811" i="16"/>
  <c r="P812" i="16"/>
  <c r="P813" i="16"/>
  <c r="P814" i="16"/>
  <c r="P815" i="16"/>
  <c r="P816" i="16"/>
  <c r="P817" i="16"/>
  <c r="P818" i="16"/>
  <c r="P819" i="16"/>
  <c r="P820" i="16"/>
  <c r="P821" i="16"/>
  <c r="P822" i="16"/>
  <c r="P823" i="16"/>
  <c r="P824" i="16"/>
  <c r="P825" i="16"/>
  <c r="P826" i="16"/>
  <c r="P827" i="16"/>
  <c r="P828" i="16"/>
  <c r="P829" i="16"/>
  <c r="P830" i="16"/>
  <c r="P831" i="16"/>
  <c r="P832" i="16"/>
  <c r="P833" i="16"/>
  <c r="P834" i="16"/>
  <c r="P835" i="16"/>
  <c r="P836" i="16"/>
  <c r="P837" i="16"/>
  <c r="P838" i="16"/>
  <c r="P839" i="16"/>
  <c r="P840" i="16"/>
  <c r="P841" i="16"/>
  <c r="P842" i="16"/>
  <c r="P843" i="16"/>
  <c r="P844" i="16"/>
  <c r="P845" i="16"/>
  <c r="P846" i="16"/>
  <c r="P847" i="16"/>
  <c r="P848" i="16"/>
  <c r="P849" i="16"/>
  <c r="P850" i="16"/>
  <c r="P851" i="16"/>
  <c r="P852" i="16"/>
  <c r="P853" i="16"/>
  <c r="P854" i="16"/>
  <c r="P855" i="16"/>
  <c r="P856" i="16"/>
  <c r="P857" i="16"/>
  <c r="P858" i="16"/>
  <c r="P859" i="16"/>
  <c r="P860" i="16"/>
  <c r="P861" i="16"/>
  <c r="P862" i="16"/>
  <c r="P863" i="16"/>
  <c r="P864" i="16"/>
  <c r="P865" i="16"/>
  <c r="P866" i="16"/>
  <c r="P867" i="16"/>
  <c r="P868" i="16"/>
  <c r="P869" i="16"/>
  <c r="P870" i="16"/>
  <c r="P871" i="16"/>
  <c r="P872" i="16"/>
  <c r="P873" i="16"/>
  <c r="P874" i="16"/>
  <c r="P875" i="16"/>
  <c r="P876" i="16"/>
  <c r="P877" i="16"/>
  <c r="P878" i="16"/>
  <c r="P879" i="16"/>
  <c r="P880" i="16"/>
  <c r="P881" i="16"/>
  <c r="P882" i="16"/>
  <c r="P883" i="16"/>
  <c r="P884" i="16"/>
  <c r="P885" i="16"/>
  <c r="P886" i="16"/>
  <c r="P887" i="16"/>
  <c r="P888" i="16"/>
  <c r="P889" i="16"/>
  <c r="P890" i="16"/>
  <c r="P891" i="16"/>
  <c r="P892" i="16"/>
  <c r="P893" i="16"/>
  <c r="P894" i="16"/>
  <c r="P895" i="16"/>
  <c r="P896" i="16"/>
  <c r="P897" i="16"/>
  <c r="P898" i="16"/>
  <c r="P899" i="16"/>
  <c r="P900" i="16"/>
  <c r="P901" i="16"/>
  <c r="P902" i="16"/>
  <c r="P903" i="16"/>
  <c r="P904" i="16"/>
  <c r="P905" i="16"/>
  <c r="P906" i="16"/>
  <c r="P907" i="16"/>
  <c r="P908" i="16"/>
  <c r="P909" i="16"/>
  <c r="P910" i="16"/>
  <c r="P911" i="16"/>
  <c r="P912" i="16"/>
  <c r="P913" i="16"/>
  <c r="P914" i="16"/>
  <c r="P915" i="16"/>
  <c r="P916" i="16"/>
  <c r="P917" i="16"/>
  <c r="P918" i="16"/>
  <c r="P919" i="16"/>
  <c r="P920" i="16"/>
  <c r="P921" i="16"/>
  <c r="P922" i="16"/>
  <c r="P923" i="16"/>
  <c r="P924" i="16"/>
  <c r="P925" i="16"/>
  <c r="P926" i="16"/>
  <c r="P927" i="16"/>
  <c r="P928" i="16"/>
  <c r="P929" i="16"/>
  <c r="P930" i="16"/>
  <c r="P931" i="16"/>
  <c r="P932" i="16"/>
  <c r="P933" i="16"/>
  <c r="P934" i="16"/>
  <c r="P935" i="16"/>
  <c r="P936" i="16"/>
  <c r="P937" i="16"/>
  <c r="P938" i="16"/>
  <c r="P939" i="16"/>
  <c r="P940" i="16"/>
  <c r="P941" i="16"/>
  <c r="P942" i="16"/>
  <c r="P943" i="16"/>
  <c r="P944" i="16"/>
  <c r="P945" i="16"/>
  <c r="P946" i="16"/>
  <c r="P947" i="16"/>
  <c r="P948" i="16"/>
  <c r="P949" i="16"/>
  <c r="P950" i="16"/>
  <c r="P951" i="16"/>
  <c r="P952" i="16"/>
  <c r="P953" i="16"/>
  <c r="P954" i="16"/>
  <c r="P955" i="16"/>
  <c r="P956" i="16"/>
  <c r="P957" i="16"/>
  <c r="P958" i="16"/>
  <c r="P959" i="16"/>
  <c r="P960" i="16"/>
  <c r="P961" i="16"/>
  <c r="P962" i="16"/>
  <c r="P963" i="16"/>
  <c r="P964" i="16"/>
  <c r="P965" i="16"/>
  <c r="P966" i="16"/>
  <c r="P967" i="16"/>
  <c r="P968" i="16"/>
  <c r="P969" i="16"/>
  <c r="P970" i="16"/>
  <c r="P971" i="16"/>
  <c r="P972" i="16"/>
  <c r="P973" i="16"/>
  <c r="P974" i="16"/>
  <c r="P975" i="16"/>
  <c r="P976" i="16"/>
  <c r="P977" i="16"/>
  <c r="P978" i="16"/>
  <c r="P979" i="16"/>
  <c r="P980" i="16"/>
  <c r="P981" i="16"/>
  <c r="P982" i="16"/>
  <c r="P983" i="16"/>
  <c r="P984" i="16"/>
  <c r="P986" i="16"/>
  <c r="P987" i="16"/>
  <c r="P988" i="16"/>
  <c r="P989" i="16"/>
  <c r="P990" i="16"/>
  <c r="P991" i="16"/>
  <c r="P992" i="16"/>
  <c r="P993" i="16"/>
  <c r="P994" i="16"/>
  <c r="P995" i="16"/>
  <c r="P996" i="16"/>
  <c r="P997" i="16"/>
  <c r="P998" i="16"/>
  <c r="P999" i="16"/>
  <c r="P1000" i="16"/>
  <c r="P1001" i="16"/>
  <c r="P1002" i="16"/>
  <c r="P1003" i="16"/>
  <c r="P1004" i="16"/>
  <c r="P1005" i="16"/>
  <c r="P1006" i="16"/>
  <c r="P1007" i="16"/>
  <c r="P1008" i="16"/>
  <c r="P1009" i="16"/>
  <c r="P1010" i="16"/>
  <c r="P1011" i="16"/>
  <c r="P1012" i="16"/>
  <c r="P1013" i="16"/>
  <c r="P1014" i="16"/>
  <c r="P1015" i="16"/>
  <c r="P1016" i="16"/>
  <c r="P1017" i="16"/>
  <c r="P1018" i="16"/>
  <c r="P1019" i="16"/>
  <c r="P1020" i="16"/>
  <c r="P1021" i="16"/>
  <c r="P1022" i="16"/>
  <c r="P1023" i="16"/>
  <c r="P1024" i="16"/>
  <c r="P1025" i="16"/>
  <c r="P1026" i="16"/>
  <c r="P1027" i="16"/>
  <c r="P1028" i="16"/>
  <c r="P1029" i="16"/>
  <c r="P1030" i="16"/>
  <c r="P1031" i="16"/>
  <c r="P1032" i="16"/>
  <c r="P1033" i="16"/>
  <c r="P1034" i="16"/>
  <c r="P1035" i="16"/>
  <c r="P1036" i="16"/>
  <c r="P1037" i="16"/>
  <c r="P1038" i="16"/>
  <c r="P1039" i="16"/>
  <c r="P1040" i="16"/>
  <c r="P1041" i="16"/>
  <c r="P1042" i="16"/>
  <c r="P1043" i="16"/>
  <c r="P1044" i="16"/>
  <c r="P1045" i="16"/>
  <c r="P1046" i="16"/>
  <c r="P1047" i="16"/>
  <c r="P1048" i="16"/>
  <c r="P1049" i="16"/>
  <c r="P1050" i="16"/>
  <c r="P1051" i="16"/>
  <c r="P1052" i="16"/>
  <c r="P1053" i="16"/>
  <c r="P1054" i="16"/>
  <c r="P1055" i="16"/>
  <c r="P1056" i="16"/>
  <c r="P1057" i="16"/>
  <c r="P1058" i="16"/>
  <c r="P1059" i="16"/>
  <c r="P1060" i="16"/>
  <c r="P1061" i="16"/>
  <c r="P1062" i="16"/>
  <c r="P1063" i="16"/>
  <c r="P1064" i="16"/>
  <c r="P1065" i="16"/>
  <c r="P1066" i="16"/>
  <c r="P1067" i="16"/>
  <c r="P1068" i="16"/>
  <c r="P1069" i="16"/>
  <c r="P1070" i="16"/>
  <c r="P1071" i="16"/>
  <c r="P1072" i="16"/>
  <c r="P1073" i="16"/>
  <c r="P1074" i="16"/>
  <c r="P1075" i="16"/>
  <c r="P1076" i="16"/>
  <c r="P1077" i="16"/>
  <c r="P1078" i="16"/>
  <c r="P1079" i="16"/>
  <c r="P1080" i="16"/>
  <c r="P1081" i="16"/>
  <c r="P1082" i="16"/>
  <c r="P1083" i="16"/>
  <c r="P1084" i="16"/>
  <c r="P1085" i="16"/>
  <c r="P1086" i="16"/>
  <c r="P1087" i="16"/>
  <c r="P1088" i="16"/>
  <c r="P1089" i="16"/>
  <c r="P1090" i="16"/>
  <c r="P1091" i="16"/>
  <c r="P1092" i="16"/>
  <c r="P1093" i="16"/>
  <c r="P1094" i="16"/>
  <c r="P1095" i="16"/>
  <c r="P1096" i="16"/>
  <c r="P1097" i="16"/>
  <c r="P1098" i="16"/>
  <c r="P1099" i="16"/>
  <c r="P1100" i="16"/>
  <c r="P1101" i="16"/>
  <c r="P1102" i="16"/>
  <c r="P1103" i="16"/>
  <c r="P1104" i="16"/>
  <c r="P1105" i="16"/>
  <c r="P1106" i="16"/>
  <c r="P1107" i="16"/>
  <c r="P1108" i="16"/>
  <c r="P1109" i="16"/>
  <c r="P1110" i="16"/>
  <c r="P1111" i="16"/>
  <c r="P1112" i="16"/>
  <c r="P1113" i="16"/>
  <c r="P1114" i="16"/>
  <c r="P1115" i="16"/>
  <c r="P1116" i="16"/>
  <c r="P1117" i="16"/>
  <c r="P1118" i="16"/>
  <c r="P1119" i="16"/>
  <c r="P1120" i="16"/>
  <c r="P1121" i="16"/>
  <c r="P1122" i="16"/>
  <c r="P1123" i="16"/>
  <c r="P1124" i="16"/>
  <c r="P1125" i="16"/>
  <c r="P1126" i="16"/>
  <c r="P1127" i="16"/>
  <c r="P1128" i="16"/>
  <c r="P1129" i="16"/>
  <c r="P1130" i="16"/>
  <c r="P1131" i="16"/>
  <c r="P1132" i="16"/>
  <c r="P1133" i="16"/>
  <c r="P1134" i="16"/>
  <c r="P1135" i="16"/>
  <c r="P1136" i="16"/>
  <c r="P1137" i="16"/>
  <c r="P1138" i="16"/>
  <c r="P1139" i="16"/>
  <c r="P1140" i="16"/>
  <c r="P1141" i="16"/>
  <c r="P1142" i="16"/>
  <c r="P1143" i="16"/>
  <c r="P1144" i="16"/>
  <c r="P1145" i="16"/>
  <c r="P1146" i="16"/>
  <c r="P1147" i="16"/>
  <c r="P1148" i="16"/>
  <c r="P1149" i="16"/>
  <c r="P1150" i="16"/>
  <c r="P1151" i="16"/>
  <c r="P1152" i="16"/>
  <c r="P1153" i="16"/>
  <c r="P1154" i="16"/>
  <c r="P1155" i="16"/>
  <c r="P1156" i="16"/>
  <c r="P1157" i="16"/>
  <c r="P1158" i="16"/>
  <c r="P1159" i="16"/>
  <c r="P1160" i="16"/>
  <c r="P1161" i="16"/>
  <c r="P1162" i="16"/>
  <c r="P1163" i="16"/>
  <c r="P1164" i="16"/>
  <c r="P1165" i="16"/>
  <c r="P1166" i="16"/>
  <c r="P1167" i="16"/>
  <c r="P1168" i="16"/>
  <c r="P1169" i="16"/>
  <c r="P1170" i="16"/>
  <c r="P1171" i="16"/>
  <c r="P1172" i="16"/>
  <c r="P1173" i="16"/>
  <c r="P1174" i="16"/>
  <c r="P1175" i="16"/>
  <c r="P1176" i="16"/>
  <c r="P1177" i="16"/>
  <c r="P1178" i="16"/>
  <c r="P1179" i="16"/>
  <c r="P1180" i="16"/>
  <c r="P1181" i="16"/>
  <c r="P1182" i="16"/>
  <c r="P1183" i="16"/>
  <c r="P1184" i="16"/>
  <c r="P1185" i="16"/>
  <c r="P1186" i="16"/>
  <c r="P1187" i="16"/>
  <c r="P1188" i="16"/>
  <c r="P1189" i="16"/>
  <c r="P1190" i="16"/>
  <c r="P1191" i="16"/>
  <c r="P1192" i="16"/>
  <c r="P1193" i="16"/>
  <c r="P1194" i="16"/>
  <c r="P1195" i="16"/>
  <c r="P1196" i="16"/>
  <c r="P1197" i="16"/>
  <c r="P1198" i="16"/>
  <c r="P1199" i="16"/>
  <c r="P1200" i="16"/>
  <c r="P1201" i="16"/>
  <c r="P1202" i="16"/>
  <c r="P1203" i="16"/>
  <c r="P1204" i="16"/>
  <c r="P1205" i="16"/>
  <c r="P1206" i="16"/>
  <c r="P1207" i="16"/>
  <c r="P1208" i="16"/>
  <c r="P1209" i="16"/>
  <c r="P1210" i="16"/>
  <c r="P1211" i="16"/>
  <c r="P1212" i="16"/>
  <c r="P1213" i="16"/>
  <c r="P1214" i="16"/>
  <c r="P1215" i="16"/>
  <c r="P1216" i="16"/>
  <c r="P1217" i="16"/>
  <c r="P1218" i="16"/>
  <c r="P1219" i="16"/>
  <c r="P1220" i="16"/>
  <c r="P1221" i="16"/>
  <c r="P1222" i="16"/>
  <c r="P1223" i="16"/>
  <c r="P1224" i="16"/>
  <c r="P1225" i="16"/>
  <c r="P1226" i="16"/>
  <c r="P1227" i="16"/>
  <c r="P1228" i="16"/>
  <c r="P1229" i="16"/>
  <c r="P1230" i="16"/>
  <c r="P1231" i="16"/>
  <c r="P1232" i="16"/>
  <c r="P1233" i="16"/>
  <c r="P1234" i="16"/>
  <c r="P1235" i="16"/>
  <c r="P1236" i="16"/>
  <c r="P1237" i="16"/>
  <c r="P1238" i="16"/>
  <c r="P1239" i="16"/>
  <c r="P1240" i="16"/>
  <c r="P1241" i="16"/>
  <c r="P1242" i="16"/>
  <c r="P1243" i="16"/>
  <c r="P1244" i="16"/>
  <c r="P1245" i="16"/>
  <c r="P1246" i="16"/>
  <c r="P1247" i="16"/>
  <c r="P1248" i="16"/>
  <c r="P1249" i="16"/>
  <c r="P1250" i="16"/>
  <c r="P1251" i="16"/>
  <c r="P1252" i="16"/>
  <c r="P1253" i="16"/>
  <c r="P1254" i="16"/>
  <c r="P1255" i="16"/>
  <c r="P1256" i="16"/>
  <c r="P1257" i="16"/>
  <c r="P1258" i="16"/>
  <c r="P1259" i="16"/>
  <c r="P1260" i="16"/>
  <c r="P1261" i="16"/>
  <c r="P1262" i="16"/>
  <c r="P1263" i="16"/>
  <c r="P1264" i="16"/>
  <c r="P1265" i="16"/>
  <c r="P1266" i="16"/>
  <c r="P1267" i="16"/>
  <c r="P1268" i="16"/>
  <c r="P1269" i="16"/>
  <c r="P1270" i="16"/>
  <c r="P1271" i="16"/>
  <c r="P1272" i="16"/>
  <c r="P1273" i="16"/>
  <c r="P1274" i="16"/>
  <c r="P1275" i="16"/>
  <c r="P1276" i="16"/>
  <c r="P1277" i="16"/>
  <c r="P1278" i="16"/>
  <c r="P1279" i="16"/>
  <c r="P1280" i="16"/>
  <c r="P1281" i="16"/>
  <c r="P1282" i="16"/>
  <c r="P1283" i="16"/>
  <c r="P1284" i="16"/>
  <c r="P1285" i="16"/>
  <c r="P1286" i="16"/>
  <c r="P1287" i="16"/>
  <c r="P1288" i="16"/>
  <c r="P1289" i="16"/>
  <c r="P1290" i="16"/>
  <c r="P1291" i="16"/>
  <c r="P1292" i="16"/>
  <c r="P1293" i="16"/>
  <c r="P1294" i="16"/>
  <c r="P1295" i="16"/>
  <c r="P1296" i="16"/>
  <c r="P1297" i="16"/>
  <c r="P1298" i="16"/>
  <c r="P1299" i="16"/>
  <c r="P1300" i="16"/>
  <c r="P1301" i="16"/>
  <c r="P1302" i="16"/>
  <c r="P1303" i="16"/>
  <c r="P1304" i="16"/>
  <c r="P1305" i="16"/>
  <c r="P1306" i="16"/>
  <c r="P1307" i="16"/>
  <c r="P1308" i="16"/>
  <c r="P1309" i="16"/>
  <c r="P1310" i="16"/>
  <c r="P1311" i="16"/>
  <c r="P1312" i="16"/>
  <c r="P1313" i="16"/>
  <c r="P1314" i="16"/>
  <c r="P1315" i="16"/>
  <c r="P1316" i="16"/>
  <c r="P1317" i="16"/>
  <c r="P1318" i="16"/>
  <c r="P1319" i="16"/>
  <c r="P1320" i="16"/>
  <c r="P1321" i="16"/>
  <c r="P1322" i="16"/>
  <c r="P1323" i="16"/>
  <c r="P1324" i="16"/>
  <c r="P1325" i="16"/>
  <c r="P1326" i="16"/>
  <c r="P1327" i="16"/>
  <c r="P1328" i="16"/>
  <c r="P1329" i="16"/>
  <c r="P1330" i="16"/>
  <c r="P1331" i="16"/>
  <c r="P1332" i="16"/>
  <c r="P1333" i="16"/>
  <c r="P1334" i="16"/>
  <c r="P1335" i="16"/>
  <c r="P1336" i="16"/>
  <c r="P1337" i="16"/>
  <c r="P1338" i="16"/>
  <c r="P1339" i="16"/>
  <c r="P1340" i="16"/>
  <c r="P1341" i="16"/>
  <c r="P1342" i="16"/>
  <c r="P1343" i="16"/>
  <c r="P1344" i="16"/>
  <c r="P1345" i="16"/>
  <c r="P1346" i="16"/>
  <c r="P1347" i="16"/>
  <c r="P1348" i="16"/>
  <c r="P1349" i="16"/>
  <c r="P1350" i="16"/>
  <c r="P1351" i="16"/>
  <c r="P1352" i="16"/>
  <c r="P1353" i="16"/>
  <c r="P1354" i="16"/>
  <c r="P1355" i="16"/>
  <c r="P1356" i="16"/>
  <c r="P1357" i="16"/>
  <c r="P1358" i="16"/>
  <c r="P1359" i="16"/>
  <c r="P1360" i="16"/>
  <c r="P1361" i="16"/>
  <c r="P1362" i="16"/>
  <c r="P1363" i="16"/>
  <c r="P1364" i="16"/>
  <c r="P1365" i="16"/>
  <c r="P1366" i="16"/>
  <c r="P1367" i="16"/>
  <c r="P1368" i="16"/>
  <c r="P1369" i="16"/>
  <c r="P1370" i="16"/>
  <c r="P1371" i="16"/>
  <c r="P1372" i="16"/>
  <c r="P1373" i="16"/>
  <c r="P1374" i="16"/>
  <c r="P1375" i="16"/>
  <c r="P1376" i="16"/>
  <c r="P1377" i="16"/>
  <c r="P1378" i="16"/>
  <c r="P1379" i="16"/>
  <c r="P1380" i="16"/>
  <c r="P1381" i="16"/>
  <c r="P1382" i="16"/>
  <c r="P1383" i="16"/>
  <c r="P1384" i="16"/>
  <c r="P1385" i="16"/>
  <c r="P1386" i="16"/>
  <c r="P1387" i="16"/>
  <c r="P1388" i="16"/>
  <c r="P1389" i="16"/>
  <c r="P1390" i="16"/>
  <c r="P1391" i="16"/>
  <c r="P1392" i="16"/>
  <c r="P1393" i="16"/>
  <c r="P1394" i="16"/>
  <c r="P1395" i="16"/>
  <c r="P1396" i="16"/>
  <c r="P1397" i="16"/>
  <c r="P1398" i="16"/>
  <c r="P1399" i="16"/>
  <c r="P1400" i="16"/>
  <c r="P1401" i="16"/>
  <c r="P1402" i="16"/>
  <c r="P1403" i="16"/>
  <c r="P1404" i="16"/>
  <c r="P1405" i="16"/>
  <c r="P1406" i="16"/>
  <c r="P1407" i="16"/>
  <c r="P1408" i="16"/>
  <c r="P1409" i="16"/>
  <c r="P1410" i="16"/>
  <c r="P1411" i="16"/>
  <c r="P1412" i="16"/>
  <c r="P1413" i="16"/>
  <c r="P1414" i="16"/>
  <c r="P1415" i="16"/>
  <c r="P1416" i="16"/>
  <c r="P1417" i="16"/>
  <c r="P1418" i="16"/>
  <c r="P1419" i="16"/>
  <c r="P1420" i="16"/>
  <c r="P1421" i="16"/>
  <c r="P1422" i="16"/>
  <c r="P1423" i="16"/>
  <c r="P1424" i="16"/>
  <c r="P1425" i="16"/>
  <c r="P1426" i="16"/>
  <c r="P1427" i="16"/>
  <c r="P1428" i="16"/>
  <c r="P1429" i="16"/>
  <c r="P1430" i="16"/>
  <c r="P1431" i="16"/>
  <c r="P1432" i="16"/>
  <c r="P1433" i="16"/>
  <c r="P1434" i="16"/>
  <c r="P1435" i="16"/>
  <c r="P1436" i="16"/>
  <c r="P1437" i="16"/>
  <c r="P1438" i="16"/>
  <c r="P1439" i="16"/>
  <c r="P1440" i="16"/>
  <c r="P1441" i="16"/>
  <c r="P1442" i="16"/>
  <c r="P1443" i="16"/>
  <c r="P1444" i="16"/>
  <c r="P1445" i="16"/>
  <c r="P1446" i="16"/>
  <c r="P1447" i="16"/>
  <c r="P1448" i="16"/>
  <c r="P1449" i="16"/>
  <c r="P1450" i="16"/>
  <c r="P1451" i="16"/>
  <c r="P1452" i="16"/>
  <c r="P1453" i="16"/>
  <c r="P1454" i="16"/>
  <c r="P1455" i="16"/>
  <c r="P1456" i="16"/>
  <c r="P1457" i="16"/>
  <c r="P1458" i="16"/>
  <c r="P1459" i="16"/>
  <c r="P1460" i="16"/>
  <c r="P1461" i="16"/>
  <c r="P1462" i="16"/>
  <c r="P1463" i="16"/>
  <c r="P1464" i="16"/>
  <c r="P1465" i="16"/>
  <c r="P1466" i="16"/>
  <c r="P1467" i="16"/>
  <c r="P1468" i="16"/>
  <c r="P1469" i="16"/>
  <c r="P1470" i="16"/>
  <c r="P1471" i="16"/>
  <c r="P1472" i="16"/>
  <c r="P1473" i="16"/>
  <c r="P1474" i="16"/>
  <c r="P1475" i="16"/>
  <c r="P1476" i="16"/>
  <c r="P1477" i="16"/>
  <c r="P1478" i="16"/>
  <c r="P1479" i="16"/>
  <c r="P1480" i="16"/>
  <c r="P1481" i="16"/>
  <c r="P1482" i="16"/>
  <c r="P1483" i="16"/>
  <c r="P1484" i="16"/>
  <c r="P1485" i="16"/>
  <c r="P1486" i="16"/>
  <c r="P1487" i="16"/>
  <c r="P1488" i="16"/>
  <c r="P1489" i="16"/>
  <c r="P1490" i="16"/>
  <c r="P1491" i="16"/>
  <c r="P1492" i="16"/>
  <c r="P1493" i="16"/>
  <c r="P1494" i="16"/>
  <c r="P1495" i="16"/>
  <c r="P1496" i="16"/>
  <c r="P1497" i="16"/>
  <c r="P1498" i="16"/>
  <c r="P1499" i="16"/>
  <c r="P1500" i="16"/>
  <c r="P1501" i="16"/>
  <c r="P1502" i="16"/>
  <c r="P1503" i="16"/>
  <c r="P1504" i="16"/>
  <c r="P1505" i="16"/>
  <c r="P1506" i="16"/>
  <c r="P1507" i="16"/>
  <c r="P1508" i="16"/>
  <c r="P1509" i="16"/>
  <c r="P1510" i="16"/>
  <c r="P1511" i="16"/>
  <c r="P1512" i="16"/>
  <c r="P1513" i="16"/>
  <c r="P1514" i="16"/>
  <c r="P1515" i="16"/>
  <c r="P1516" i="16"/>
  <c r="P1517" i="16"/>
  <c r="P1518" i="16"/>
  <c r="P1519" i="16"/>
  <c r="P1520" i="16"/>
  <c r="P1521" i="16"/>
  <c r="P1522" i="16"/>
  <c r="P1523" i="16"/>
  <c r="P1524" i="16"/>
  <c r="P1525" i="16"/>
  <c r="P1526" i="16"/>
  <c r="P1527" i="16"/>
  <c r="P1528" i="16"/>
  <c r="P1529" i="16"/>
  <c r="P1530" i="16"/>
  <c r="P1531" i="16"/>
  <c r="P1532" i="16"/>
  <c r="P1533" i="16"/>
  <c r="P1534" i="16"/>
  <c r="P1535" i="16"/>
  <c r="P1536" i="16"/>
  <c r="P1537" i="16"/>
  <c r="P1538" i="16"/>
  <c r="P1539" i="16"/>
  <c r="P1540" i="16"/>
  <c r="P1541" i="16"/>
  <c r="P1542" i="16"/>
  <c r="P1543" i="16"/>
  <c r="P1544" i="16"/>
  <c r="P1545" i="16"/>
  <c r="P1546" i="16"/>
  <c r="P1547" i="16"/>
  <c r="P1548" i="16"/>
  <c r="P1549" i="16"/>
  <c r="P1550" i="16"/>
  <c r="P1551" i="16"/>
  <c r="P1552" i="16"/>
  <c r="P1553" i="16"/>
  <c r="P1554" i="16"/>
  <c r="P1555" i="16"/>
  <c r="P1556" i="16"/>
  <c r="P1557" i="16"/>
  <c r="P1558" i="16"/>
  <c r="P1559" i="16"/>
  <c r="P1560" i="16"/>
  <c r="P1561" i="16"/>
  <c r="P1562" i="16"/>
  <c r="P1563" i="16"/>
  <c r="P1564" i="16"/>
  <c r="P1565" i="16"/>
  <c r="P1566" i="16"/>
  <c r="P1567" i="16"/>
  <c r="P1568" i="16"/>
  <c r="P1569" i="16"/>
  <c r="P1570" i="16"/>
  <c r="P1571" i="16"/>
  <c r="P1572" i="16"/>
  <c r="P1573" i="16"/>
  <c r="P1574" i="16"/>
  <c r="P1575" i="16"/>
  <c r="P1576" i="16"/>
  <c r="P1577" i="16"/>
  <c r="P1578" i="16"/>
  <c r="P1579" i="16"/>
  <c r="P1580" i="16"/>
  <c r="P1581" i="16"/>
  <c r="P1582" i="16"/>
  <c r="P1583" i="16"/>
  <c r="P1584" i="16"/>
  <c r="P1585" i="16"/>
  <c r="P1586" i="16"/>
  <c r="P1587" i="16"/>
  <c r="P1588" i="16"/>
  <c r="P1589" i="16"/>
  <c r="P1590" i="16"/>
  <c r="P1591" i="16"/>
  <c r="P1592" i="16"/>
  <c r="P1593" i="16"/>
  <c r="P1594" i="16"/>
  <c r="P1595" i="16"/>
  <c r="P1596" i="16"/>
  <c r="P1597" i="16"/>
  <c r="P1598" i="16"/>
  <c r="P1599" i="16"/>
  <c r="P1600" i="16"/>
  <c r="P1601" i="16"/>
  <c r="P1602" i="16"/>
  <c r="P1603" i="16"/>
  <c r="P1604" i="16"/>
  <c r="P1605" i="16"/>
  <c r="P1606" i="16"/>
  <c r="P1607" i="16"/>
  <c r="P1608" i="16"/>
  <c r="P1609" i="16"/>
  <c r="P1610" i="16"/>
  <c r="P1611" i="16"/>
  <c r="P1612" i="16"/>
  <c r="P1613" i="16"/>
  <c r="P1614" i="16"/>
  <c r="P1615" i="16"/>
  <c r="P1616" i="16"/>
  <c r="P1617" i="16"/>
  <c r="P1618" i="16"/>
  <c r="P1619" i="16"/>
  <c r="P1620" i="16"/>
  <c r="P1621" i="16"/>
  <c r="P1622" i="16"/>
  <c r="P1623" i="16"/>
  <c r="P1624" i="16"/>
  <c r="P1625" i="16"/>
  <c r="P1626" i="16"/>
  <c r="P1627" i="16"/>
  <c r="P1628" i="16"/>
  <c r="P1629" i="16"/>
  <c r="P1630" i="16"/>
  <c r="P1631" i="16"/>
  <c r="P1632" i="16"/>
  <c r="P1633" i="16"/>
  <c r="P1634" i="16"/>
  <c r="P1635" i="16"/>
  <c r="P1636" i="16"/>
  <c r="P1637" i="16"/>
  <c r="P1638" i="16"/>
  <c r="P1639" i="16"/>
  <c r="P1640" i="16"/>
  <c r="P1641" i="16"/>
  <c r="P1642" i="16"/>
  <c r="P1643" i="16"/>
  <c r="P1644" i="16"/>
  <c r="P1645" i="16"/>
  <c r="P1646" i="16"/>
  <c r="P1647" i="16"/>
  <c r="P1648" i="16"/>
  <c r="P1649" i="16"/>
  <c r="P1650" i="16"/>
  <c r="P1651" i="16"/>
  <c r="P1652" i="16"/>
  <c r="P1653" i="16"/>
  <c r="P1654" i="16"/>
  <c r="P1655" i="16"/>
  <c r="P1656" i="16"/>
  <c r="P1657" i="16"/>
  <c r="P1658" i="16"/>
  <c r="P1659" i="16"/>
  <c r="P1660" i="16"/>
  <c r="P1661" i="16"/>
  <c r="P1662" i="16"/>
  <c r="P1663" i="16"/>
  <c r="P1664" i="16"/>
  <c r="P1665" i="16"/>
  <c r="P1666" i="16"/>
  <c r="P1667" i="16"/>
  <c r="P1668" i="16"/>
  <c r="P1669" i="16"/>
  <c r="P1670" i="16"/>
  <c r="P1671" i="16"/>
  <c r="P1672" i="16"/>
  <c r="P1673" i="16"/>
  <c r="P1674" i="16"/>
  <c r="P1675" i="16"/>
  <c r="P1676" i="16"/>
  <c r="P1677" i="16"/>
  <c r="P1678" i="16"/>
  <c r="P1679" i="16"/>
  <c r="P1680" i="16"/>
  <c r="P1681" i="16"/>
  <c r="P1682" i="16"/>
  <c r="P1683" i="16"/>
  <c r="P1684" i="16"/>
  <c r="P1685" i="16"/>
  <c r="P1686" i="16"/>
  <c r="P1687" i="16"/>
  <c r="P1688" i="16"/>
  <c r="P1689" i="16"/>
  <c r="P1690" i="16"/>
  <c r="P1691" i="16"/>
  <c r="P1692" i="16"/>
  <c r="P1693" i="16"/>
  <c r="P1694" i="16"/>
  <c r="P1695" i="16"/>
  <c r="P1696" i="16"/>
  <c r="P1697" i="16"/>
  <c r="P1698" i="16"/>
  <c r="P1699" i="16"/>
  <c r="P1700" i="16"/>
  <c r="P1701" i="16"/>
  <c r="P1702" i="16"/>
  <c r="P1703" i="16"/>
  <c r="P1704" i="16"/>
  <c r="P1705" i="16"/>
  <c r="P1706" i="16"/>
  <c r="P1707" i="16"/>
  <c r="P1708" i="16"/>
  <c r="P1709" i="16"/>
  <c r="P1710" i="16"/>
  <c r="P1711" i="16"/>
  <c r="P1712" i="16"/>
  <c r="P1713" i="16"/>
  <c r="P1714" i="16"/>
  <c r="P1715" i="16"/>
  <c r="P1716" i="16"/>
  <c r="P1717" i="16"/>
  <c r="P1718" i="16"/>
  <c r="P1719" i="16"/>
  <c r="P1720" i="16"/>
  <c r="P1721" i="16"/>
  <c r="P1722" i="16"/>
  <c r="P1723" i="16"/>
  <c r="P1724" i="16"/>
  <c r="P1725" i="16"/>
  <c r="P1726" i="16"/>
  <c r="P1727" i="16"/>
  <c r="P1728" i="16"/>
  <c r="P1729" i="16"/>
  <c r="P1730" i="16"/>
  <c r="P1731" i="16"/>
  <c r="P1732" i="16"/>
  <c r="P1733" i="16"/>
  <c r="P1734" i="16"/>
  <c r="P1735" i="16"/>
  <c r="P1736" i="16"/>
  <c r="P1737" i="16"/>
  <c r="P1738" i="16"/>
  <c r="P1739" i="16"/>
  <c r="P1740" i="16"/>
  <c r="P1741" i="16"/>
  <c r="P1742" i="16"/>
  <c r="P1743" i="16"/>
  <c r="P1744" i="16"/>
  <c r="P1745" i="16"/>
  <c r="P1746" i="16"/>
  <c r="P1747" i="16"/>
  <c r="P1748" i="16"/>
  <c r="P1749" i="16"/>
  <c r="P1750" i="16"/>
  <c r="P1751" i="16"/>
  <c r="P1752" i="16"/>
  <c r="P1753" i="16"/>
  <c r="P1754" i="16"/>
  <c r="P1755" i="16"/>
  <c r="P1756" i="16"/>
  <c r="P1757" i="16"/>
  <c r="P1758" i="16"/>
  <c r="P1759" i="16"/>
  <c r="P1760" i="16"/>
  <c r="P1761" i="16"/>
  <c r="P1762" i="16"/>
  <c r="P1763" i="16"/>
  <c r="P1764" i="16"/>
  <c r="P1765" i="16"/>
  <c r="P1766" i="16"/>
  <c r="P1767" i="16"/>
  <c r="P1768" i="16"/>
  <c r="P1769" i="16"/>
  <c r="P1770" i="16"/>
  <c r="P1771" i="16"/>
  <c r="P1772" i="16"/>
  <c r="P1773" i="16"/>
  <c r="P1774" i="16"/>
  <c r="P1775" i="16"/>
  <c r="P1776" i="16"/>
  <c r="P1777" i="16"/>
  <c r="P1778" i="16"/>
  <c r="P1779" i="16"/>
  <c r="P1780" i="16"/>
  <c r="P1781" i="16"/>
  <c r="P1782" i="16"/>
  <c r="P1783" i="16"/>
  <c r="P1784" i="16"/>
  <c r="P1785" i="16"/>
  <c r="P1786" i="16"/>
  <c r="P1787" i="16"/>
  <c r="P1788" i="16"/>
  <c r="P1789" i="16"/>
  <c r="P1790" i="16"/>
  <c r="P1791" i="16"/>
  <c r="P1792" i="16"/>
  <c r="P1793" i="16"/>
  <c r="P1794" i="16"/>
  <c r="P1795" i="16"/>
  <c r="P1796" i="16"/>
  <c r="P1797" i="16"/>
  <c r="P1798" i="16"/>
  <c r="P1799" i="16"/>
  <c r="P1800" i="16"/>
  <c r="P1801" i="16"/>
  <c r="P1802" i="16"/>
  <c r="P1803" i="16"/>
  <c r="P1804" i="16"/>
  <c r="P1805" i="16"/>
  <c r="P1806" i="16"/>
  <c r="P1807" i="16"/>
  <c r="P1808" i="16"/>
  <c r="P1809" i="16"/>
  <c r="P1810" i="16"/>
  <c r="P1811" i="16"/>
  <c r="P1812" i="16"/>
  <c r="P1813" i="16"/>
  <c r="P1814" i="16"/>
  <c r="P1815" i="16"/>
  <c r="P1816" i="16"/>
  <c r="P1817" i="16"/>
  <c r="P1818" i="16"/>
  <c r="P1819" i="16"/>
  <c r="P1820" i="16"/>
  <c r="P1821" i="16"/>
  <c r="P1822" i="16"/>
  <c r="P1823" i="16"/>
  <c r="P1824" i="16"/>
  <c r="P1825" i="16"/>
  <c r="P1826" i="16"/>
  <c r="P1827" i="16"/>
  <c r="P1828" i="16"/>
  <c r="P1829" i="16"/>
  <c r="P1830" i="16"/>
  <c r="P1831" i="16"/>
  <c r="P1832" i="16"/>
  <c r="P1833" i="16"/>
  <c r="P1834" i="16"/>
  <c r="P1835" i="16"/>
  <c r="P1836" i="16"/>
  <c r="P1837" i="16"/>
  <c r="P1838" i="16"/>
  <c r="P1839" i="16"/>
  <c r="P1840" i="16"/>
  <c r="P1841" i="16"/>
  <c r="P1842" i="16"/>
  <c r="P1843" i="16"/>
  <c r="P1844" i="16"/>
  <c r="P1845" i="16"/>
  <c r="P1846" i="16"/>
  <c r="P1847" i="16"/>
  <c r="P1848" i="16"/>
  <c r="P1849" i="16"/>
  <c r="P1850" i="16"/>
  <c r="P1851" i="16"/>
  <c r="P1852" i="16"/>
  <c r="P1853" i="16"/>
  <c r="P1854" i="16"/>
  <c r="P1855" i="16"/>
  <c r="P1856" i="16"/>
  <c r="P1857" i="16"/>
  <c r="P1858" i="16"/>
  <c r="P1859" i="16"/>
  <c r="P1860" i="16"/>
  <c r="P1861" i="16"/>
  <c r="P1862" i="16"/>
  <c r="P1863" i="16"/>
  <c r="P1864" i="16"/>
  <c r="P1865" i="16"/>
  <c r="P1866" i="16"/>
  <c r="P1867" i="16"/>
  <c r="P1868" i="16"/>
  <c r="P1869" i="16"/>
  <c r="P1870" i="16"/>
  <c r="P1871" i="16"/>
  <c r="P1872" i="16"/>
  <c r="P1873" i="16"/>
  <c r="P1874" i="16"/>
  <c r="P1875" i="16"/>
  <c r="P1876" i="16"/>
  <c r="P1877" i="16"/>
  <c r="P1878" i="16"/>
  <c r="P1879" i="16"/>
  <c r="P1880" i="16"/>
  <c r="P1881" i="16"/>
  <c r="P1882" i="16"/>
  <c r="P1883" i="16"/>
  <c r="P1884" i="16"/>
  <c r="P1885" i="16"/>
  <c r="P1886" i="16"/>
  <c r="P1887" i="16"/>
  <c r="P1888" i="16"/>
  <c r="P1889" i="16"/>
  <c r="P1890" i="16"/>
  <c r="P1891" i="16"/>
  <c r="P1892" i="16"/>
  <c r="P1893" i="16"/>
  <c r="P1894" i="16"/>
  <c r="P1895" i="16"/>
  <c r="P1896" i="16"/>
  <c r="P1897" i="16"/>
  <c r="P1898" i="16"/>
  <c r="P1899" i="16"/>
  <c r="P1900" i="16"/>
  <c r="P1901" i="16"/>
  <c r="P1902" i="16"/>
  <c r="P1903" i="16"/>
  <c r="P1904" i="16"/>
  <c r="P1905" i="16"/>
  <c r="P1906" i="16"/>
  <c r="P1907" i="16"/>
  <c r="P1908" i="16"/>
  <c r="P1909" i="16"/>
  <c r="P1910" i="16"/>
  <c r="P1911" i="16"/>
  <c r="P1912" i="16"/>
  <c r="P1913" i="16"/>
  <c r="P1914" i="16"/>
  <c r="P1915" i="16"/>
  <c r="P1916" i="16"/>
  <c r="P1917" i="16"/>
  <c r="P1918" i="16"/>
  <c r="P1919" i="16"/>
  <c r="P1920" i="16"/>
  <c r="P1921" i="16"/>
  <c r="P1922" i="16"/>
  <c r="P1923" i="16"/>
  <c r="P1924" i="16"/>
  <c r="P1925" i="16"/>
  <c r="P1926" i="16"/>
  <c r="P1927" i="16"/>
  <c r="P1928" i="16"/>
  <c r="P1929" i="16"/>
  <c r="P1930" i="16"/>
  <c r="P1931" i="16"/>
  <c r="P1932" i="16"/>
  <c r="P1933" i="16"/>
  <c r="P1934" i="16"/>
  <c r="P1935" i="16"/>
  <c r="P1936" i="16"/>
  <c r="P1937" i="16"/>
  <c r="P1938" i="16"/>
  <c r="P1939" i="16"/>
  <c r="P1940" i="16"/>
  <c r="P1941" i="16"/>
  <c r="P1942" i="16"/>
  <c r="P1943" i="16"/>
  <c r="P1944" i="16"/>
  <c r="P1945" i="16"/>
  <c r="P1946" i="16"/>
  <c r="P1947" i="16"/>
  <c r="P1948" i="16"/>
  <c r="P1949" i="16"/>
  <c r="P1950" i="16"/>
  <c r="P1951" i="16"/>
  <c r="P1952" i="16"/>
  <c r="P1953" i="16"/>
  <c r="P1954" i="16"/>
  <c r="P1955" i="16"/>
  <c r="P1956" i="16"/>
  <c r="P1957" i="16"/>
  <c r="P1958" i="16"/>
  <c r="P1959" i="16"/>
  <c r="P1960" i="16"/>
  <c r="P1961" i="16"/>
  <c r="P1962" i="16"/>
  <c r="P1963" i="16"/>
  <c r="P1964" i="16"/>
  <c r="P1965" i="16"/>
  <c r="P1966" i="16"/>
  <c r="P1967" i="16"/>
  <c r="P1968" i="16"/>
  <c r="P1969" i="16"/>
  <c r="P1970" i="16"/>
  <c r="P1971" i="16"/>
  <c r="P1972" i="16"/>
  <c r="P1973" i="16"/>
  <c r="P1974" i="16"/>
  <c r="P1975" i="16"/>
  <c r="P1976" i="16"/>
  <c r="P1977" i="16"/>
  <c r="P1978" i="16"/>
  <c r="P1979" i="16"/>
  <c r="P1980" i="16"/>
  <c r="P1981" i="16"/>
  <c r="P1982" i="16"/>
  <c r="P1983" i="16"/>
  <c r="P1984" i="16"/>
  <c r="P1985" i="16"/>
  <c r="P1986" i="16"/>
  <c r="P1987" i="16"/>
  <c r="P1988" i="16"/>
  <c r="P1989" i="16"/>
  <c r="P1990" i="16"/>
  <c r="P1991" i="16"/>
  <c r="P1992" i="16"/>
  <c r="P1993" i="16"/>
  <c r="P1994" i="16"/>
  <c r="P1995" i="16"/>
  <c r="P1996" i="16"/>
  <c r="P1997" i="16"/>
  <c r="P1998" i="16"/>
  <c r="P1999" i="16"/>
  <c r="P2000" i="16"/>
  <c r="P2001" i="16"/>
  <c r="P2002" i="16"/>
  <c r="P2003" i="16"/>
  <c r="P2004" i="16"/>
  <c r="P2005" i="16"/>
  <c r="P2006" i="16"/>
  <c r="P2007" i="16"/>
  <c r="P2008" i="16"/>
  <c r="P2009" i="16"/>
  <c r="P2010" i="16"/>
  <c r="P2011" i="16"/>
  <c r="P2012" i="16"/>
  <c r="P2013" i="16"/>
  <c r="P2014" i="16"/>
  <c r="P2015" i="16"/>
  <c r="P2016" i="16"/>
  <c r="P2017" i="16"/>
  <c r="P2018" i="16"/>
  <c r="P2019" i="16"/>
  <c r="P2020" i="16"/>
  <c r="P2021" i="16"/>
  <c r="P2022" i="16"/>
  <c r="P2023" i="16"/>
  <c r="P2024" i="16"/>
  <c r="P2025" i="16"/>
  <c r="P2026" i="16"/>
  <c r="P2027" i="16"/>
  <c r="P2028" i="16"/>
  <c r="P2029" i="16"/>
  <c r="P2030" i="16"/>
  <c r="P2031" i="16"/>
  <c r="P2032" i="16"/>
  <c r="P2033" i="16"/>
  <c r="P2034" i="16"/>
  <c r="P2035" i="16"/>
  <c r="P2036" i="16"/>
  <c r="P2037" i="16"/>
  <c r="P2038" i="16"/>
  <c r="P2039" i="16"/>
  <c r="P2040" i="16"/>
  <c r="P2041" i="16"/>
  <c r="P2042" i="16"/>
  <c r="P2043" i="16"/>
  <c r="P2044" i="16"/>
  <c r="P2045" i="16"/>
  <c r="P2046" i="16"/>
  <c r="P2047" i="16"/>
  <c r="P2048" i="16"/>
  <c r="P2049" i="16"/>
  <c r="P2050" i="16"/>
  <c r="P2051" i="16"/>
  <c r="P2052" i="16"/>
  <c r="P2053" i="16"/>
  <c r="P2054" i="16"/>
  <c r="P2055" i="16"/>
  <c r="P2056" i="16"/>
  <c r="P2057" i="16"/>
  <c r="P2058" i="16"/>
  <c r="P2059" i="16"/>
  <c r="P2060" i="16"/>
  <c r="P2061" i="16"/>
  <c r="P2062" i="16"/>
  <c r="P2063" i="16"/>
  <c r="P2064" i="16"/>
  <c r="P2065" i="16"/>
  <c r="P2066" i="16"/>
  <c r="P2067" i="16"/>
  <c r="P2068" i="16"/>
  <c r="P2069" i="16"/>
  <c r="P2070" i="16"/>
  <c r="P2071" i="16"/>
  <c r="P2072" i="16"/>
  <c r="P2073" i="16"/>
  <c r="P2074" i="16"/>
  <c r="P2075" i="16"/>
  <c r="P2076" i="16"/>
  <c r="P2077" i="16"/>
  <c r="P2078" i="16"/>
  <c r="P2079" i="16"/>
  <c r="P2080" i="16"/>
  <c r="P2081" i="16"/>
  <c r="P2082" i="16"/>
  <c r="P2083" i="16"/>
  <c r="P2084" i="16"/>
  <c r="P2085" i="16"/>
  <c r="P2086" i="16"/>
  <c r="P2087" i="16"/>
  <c r="P2088" i="16"/>
  <c r="P2089" i="16"/>
  <c r="P2090" i="16"/>
  <c r="P2091" i="16"/>
  <c r="P2092" i="16"/>
  <c r="P2093" i="16"/>
  <c r="P2094" i="16"/>
  <c r="P2095" i="16"/>
  <c r="P2096" i="16"/>
  <c r="P2097" i="16"/>
  <c r="P2098" i="16"/>
  <c r="P2099" i="16"/>
  <c r="P2100" i="16"/>
  <c r="P2101" i="16"/>
  <c r="P2102" i="16"/>
  <c r="P2103" i="16"/>
  <c r="P2104" i="16"/>
  <c r="P2105" i="16"/>
  <c r="P2106" i="16"/>
  <c r="P2107" i="16"/>
  <c r="P2108" i="16"/>
  <c r="P2109" i="16"/>
  <c r="P2110" i="16"/>
  <c r="P2111" i="16"/>
  <c r="P2112" i="16"/>
  <c r="P2113" i="16"/>
  <c r="P2114" i="16"/>
  <c r="P2115" i="16"/>
  <c r="P2116" i="16"/>
  <c r="P2117" i="16"/>
  <c r="P2118" i="16"/>
  <c r="P2119" i="16"/>
  <c r="P2120" i="16"/>
  <c r="P2121" i="16"/>
  <c r="P2122" i="16"/>
  <c r="P2123" i="16"/>
  <c r="P2124" i="16"/>
  <c r="P2125" i="16"/>
  <c r="P2126" i="16"/>
  <c r="P2127" i="16"/>
  <c r="P2128" i="16"/>
  <c r="P2129" i="16"/>
  <c r="P2130" i="16"/>
  <c r="P2131" i="16"/>
  <c r="P2132" i="16"/>
  <c r="P2133" i="16"/>
  <c r="P2134" i="16"/>
  <c r="P2135" i="16"/>
  <c r="P2136" i="16"/>
  <c r="P2137" i="16"/>
  <c r="P2138" i="16"/>
  <c r="P2139" i="16"/>
  <c r="P2140" i="16"/>
  <c r="P2141" i="16"/>
  <c r="P2142" i="16"/>
  <c r="P2143" i="16"/>
  <c r="P2144" i="16"/>
  <c r="P2145" i="16"/>
  <c r="P2146" i="16"/>
  <c r="P2147" i="16"/>
  <c r="P2148" i="16"/>
  <c r="P2149" i="16"/>
  <c r="P2150" i="16"/>
  <c r="P2151" i="16"/>
  <c r="P2152" i="16"/>
  <c r="P2153" i="16"/>
  <c r="P2154" i="16"/>
  <c r="P2155" i="16"/>
  <c r="P2156" i="16"/>
  <c r="P2157" i="16"/>
  <c r="P2158" i="16"/>
  <c r="P2159" i="16"/>
  <c r="P2160" i="16"/>
  <c r="P2161" i="16"/>
  <c r="P2162" i="16"/>
  <c r="P2163" i="16"/>
  <c r="P2164" i="16"/>
  <c r="P2165" i="16"/>
  <c r="P2166" i="16"/>
  <c r="P2167" i="16"/>
  <c r="P2168" i="16"/>
  <c r="P2169" i="16"/>
  <c r="P2170" i="16"/>
  <c r="P2171" i="16"/>
  <c r="P2172" i="16"/>
  <c r="P2173" i="16"/>
  <c r="P2174" i="16"/>
  <c r="P2175" i="16"/>
  <c r="P2176" i="16"/>
  <c r="P2177" i="16"/>
  <c r="P2178" i="16"/>
  <c r="P2179" i="16"/>
  <c r="P2180" i="16"/>
  <c r="P2181" i="16"/>
  <c r="P2182" i="16"/>
  <c r="P2183" i="16"/>
  <c r="P2184" i="16"/>
  <c r="P2185" i="16"/>
  <c r="P2186" i="16"/>
  <c r="P2187" i="16"/>
  <c r="P2188" i="16"/>
  <c r="P2189" i="16"/>
  <c r="P2190" i="16"/>
  <c r="P2191" i="16"/>
  <c r="P2192" i="16"/>
  <c r="P2193" i="16"/>
  <c r="P2194" i="16"/>
  <c r="P2195" i="16"/>
  <c r="P2196" i="16"/>
  <c r="P2197" i="16"/>
  <c r="P2198" i="16"/>
  <c r="P2199" i="16"/>
  <c r="P2200" i="16"/>
  <c r="P2201" i="16"/>
  <c r="P2202" i="16"/>
  <c r="P2203" i="16"/>
  <c r="P2204" i="16"/>
  <c r="P2205" i="16"/>
  <c r="P2206" i="16"/>
  <c r="P2207" i="16"/>
  <c r="P2208" i="16"/>
  <c r="P2209" i="16"/>
  <c r="P2210" i="16"/>
  <c r="P2211" i="16"/>
  <c r="P2212" i="16"/>
  <c r="P2213" i="16"/>
  <c r="P2214" i="16"/>
  <c r="P2215" i="16"/>
  <c r="P2216" i="16"/>
  <c r="P2217" i="16"/>
  <c r="P2218" i="16"/>
  <c r="P2219" i="16"/>
  <c r="P2220" i="16"/>
  <c r="P2221" i="16"/>
  <c r="P2222" i="16"/>
  <c r="P2223" i="16"/>
  <c r="P2224" i="16"/>
  <c r="P2225" i="16"/>
  <c r="P2226" i="16"/>
  <c r="P2227" i="16"/>
  <c r="P2228" i="16"/>
  <c r="P2229" i="16"/>
  <c r="P2230" i="16"/>
  <c r="P2231" i="16"/>
  <c r="P2232" i="16"/>
  <c r="P2233" i="16"/>
  <c r="P2234" i="16"/>
  <c r="P2235" i="16"/>
  <c r="P2236" i="16"/>
  <c r="P2237" i="16"/>
  <c r="P2238" i="16"/>
  <c r="P2239" i="16"/>
  <c r="P2240" i="16"/>
  <c r="P2241" i="16"/>
  <c r="P2242" i="16"/>
  <c r="P2243" i="16"/>
  <c r="P2244" i="16"/>
  <c r="P2245" i="16"/>
  <c r="P2246" i="16"/>
  <c r="P2247" i="16"/>
  <c r="P2248" i="16"/>
  <c r="P2249" i="16"/>
  <c r="P2250" i="16"/>
  <c r="P2251" i="16"/>
  <c r="P2252" i="16"/>
  <c r="P2253" i="16"/>
  <c r="P2254" i="16"/>
  <c r="P2255" i="16"/>
  <c r="P2256" i="16"/>
  <c r="P2257" i="16"/>
  <c r="P2258" i="16"/>
  <c r="P2259" i="16"/>
  <c r="P2260" i="16"/>
  <c r="P2261" i="16"/>
  <c r="P2262" i="16"/>
  <c r="P2263" i="16"/>
  <c r="P2264" i="16"/>
  <c r="P2265" i="16"/>
  <c r="P2266" i="16"/>
  <c r="P2267" i="16"/>
  <c r="P2268" i="16"/>
  <c r="P2269" i="16"/>
  <c r="P2270" i="16"/>
  <c r="P2271" i="16"/>
  <c r="P2272" i="16"/>
  <c r="P2273" i="16"/>
  <c r="P2274" i="16"/>
  <c r="P2275" i="16"/>
  <c r="P2276" i="16"/>
  <c r="P2277" i="16"/>
  <c r="P2278" i="16"/>
  <c r="P2279" i="16"/>
  <c r="P2280" i="16"/>
  <c r="P2281" i="16"/>
  <c r="P2282" i="16"/>
  <c r="P2283" i="16"/>
  <c r="P2284" i="16"/>
  <c r="P2285" i="16"/>
  <c r="P2286" i="16"/>
  <c r="P2287" i="16"/>
  <c r="P2288" i="16"/>
  <c r="P2289" i="16"/>
  <c r="P2290" i="16"/>
  <c r="P2291" i="16"/>
  <c r="P2292" i="16"/>
  <c r="P2293" i="16"/>
  <c r="P2294" i="16"/>
  <c r="P2295" i="16"/>
  <c r="P2296" i="16"/>
  <c r="P2297" i="16"/>
  <c r="P2298" i="16"/>
  <c r="P2299" i="16"/>
  <c r="P2300" i="16"/>
  <c r="P2301" i="16"/>
  <c r="P2302" i="16"/>
  <c r="P2303" i="16"/>
  <c r="P2304" i="16"/>
  <c r="P2305" i="16"/>
  <c r="P2306" i="16"/>
  <c r="P2307" i="16"/>
  <c r="P2308" i="16"/>
  <c r="P2309" i="16"/>
  <c r="P2310" i="16"/>
  <c r="P2311" i="16"/>
  <c r="P2312" i="16"/>
  <c r="P2313" i="16"/>
  <c r="P2314" i="16"/>
  <c r="P2315" i="16"/>
  <c r="P2316" i="16"/>
  <c r="P2317" i="16"/>
  <c r="P2318" i="16"/>
  <c r="P2319" i="16"/>
  <c r="P2320" i="16"/>
  <c r="P2321" i="16"/>
  <c r="P2322" i="16"/>
  <c r="P2323" i="16"/>
  <c r="P2324" i="16"/>
  <c r="P2325" i="16"/>
  <c r="P2326" i="16"/>
  <c r="P2327" i="16"/>
  <c r="P2328" i="16"/>
  <c r="P2329" i="16"/>
  <c r="P2330" i="16"/>
  <c r="P2331" i="16"/>
  <c r="P2332" i="16"/>
  <c r="P2333" i="16"/>
  <c r="P2334" i="16"/>
  <c r="P2335" i="16"/>
  <c r="P2336" i="16"/>
  <c r="P2337" i="16"/>
  <c r="P2338" i="16"/>
  <c r="P2339" i="16"/>
  <c r="P2340" i="16"/>
  <c r="P2341" i="16"/>
  <c r="P2342" i="16"/>
  <c r="P2343" i="16"/>
  <c r="P2344" i="16"/>
  <c r="P2345" i="16"/>
  <c r="P2346" i="16"/>
  <c r="P2347" i="16"/>
  <c r="P2348" i="16"/>
  <c r="P2349" i="16"/>
  <c r="P2350" i="16"/>
  <c r="P2351" i="16"/>
  <c r="P2352" i="16"/>
  <c r="P2353" i="16"/>
  <c r="P2354" i="16"/>
  <c r="P2355" i="16"/>
  <c r="P2356" i="16"/>
  <c r="P2357" i="16"/>
  <c r="P2358" i="16"/>
  <c r="P2359" i="16"/>
  <c r="P2360" i="16"/>
  <c r="P2361" i="16"/>
  <c r="P2362" i="16"/>
  <c r="P2363" i="16"/>
  <c r="P2364" i="16"/>
  <c r="P2365" i="16"/>
  <c r="P2366" i="16"/>
  <c r="P2367" i="16"/>
  <c r="P2368" i="16"/>
  <c r="P2369" i="16"/>
  <c r="P2370" i="16"/>
  <c r="P2371" i="16"/>
  <c r="P2372" i="16"/>
  <c r="P2373" i="16"/>
  <c r="P2374" i="16"/>
  <c r="P2375" i="16"/>
  <c r="P2376" i="16"/>
  <c r="P2377" i="16"/>
  <c r="P2378" i="16"/>
  <c r="P2379" i="16"/>
  <c r="P2380" i="16"/>
  <c r="P2381" i="16"/>
  <c r="P2382" i="16"/>
  <c r="P2383" i="16"/>
  <c r="P2384" i="16"/>
  <c r="P2385" i="16"/>
  <c r="P2386" i="16"/>
  <c r="P2387" i="16"/>
  <c r="P2388" i="16"/>
  <c r="P2389" i="16"/>
  <c r="P2390" i="16"/>
  <c r="P2391" i="16"/>
  <c r="P2392" i="16"/>
  <c r="P2393" i="16"/>
  <c r="P2394" i="16"/>
  <c r="P2395" i="16"/>
  <c r="P2396" i="16"/>
  <c r="P2397" i="16"/>
  <c r="P2398" i="16"/>
  <c r="P2399" i="16"/>
  <c r="P2400" i="16"/>
  <c r="P2401" i="16"/>
  <c r="P2402" i="16"/>
  <c r="P2403" i="16"/>
  <c r="P2404" i="16"/>
  <c r="P2405" i="16"/>
  <c r="P2406" i="16"/>
  <c r="P2407" i="16"/>
  <c r="P2408" i="16"/>
  <c r="P2409" i="16"/>
  <c r="P2410" i="16"/>
  <c r="P2411" i="16"/>
  <c r="P2412" i="16"/>
  <c r="P2413" i="16"/>
  <c r="P2414" i="16"/>
  <c r="P2415" i="16"/>
  <c r="P2416" i="16"/>
  <c r="P2417" i="16"/>
  <c r="P2418" i="16"/>
  <c r="P2419" i="16"/>
  <c r="P2420" i="16"/>
  <c r="P2421" i="16"/>
  <c r="P2422" i="16"/>
  <c r="P2423" i="16"/>
  <c r="P2424" i="16"/>
  <c r="P2425" i="16"/>
  <c r="P2426" i="16"/>
  <c r="P2427" i="16"/>
  <c r="P2428" i="16"/>
  <c r="P2429" i="16"/>
  <c r="P2430" i="16"/>
  <c r="P2431" i="16"/>
  <c r="P2432" i="16"/>
  <c r="P2433" i="16"/>
  <c r="P2434" i="16"/>
  <c r="P2435" i="16"/>
  <c r="P2436" i="16"/>
  <c r="P2437" i="16"/>
  <c r="P2438" i="16"/>
  <c r="P2439" i="16"/>
  <c r="P2440" i="16"/>
  <c r="P2441" i="16"/>
  <c r="P2442" i="16"/>
  <c r="P2443" i="16"/>
  <c r="P2444" i="16"/>
  <c r="P2445" i="16"/>
  <c r="P2446" i="16"/>
  <c r="P2447" i="16"/>
  <c r="P2448" i="16"/>
  <c r="P2449" i="16"/>
  <c r="P2450" i="16"/>
  <c r="P2451" i="16"/>
  <c r="P2452" i="16"/>
  <c r="P2453" i="16"/>
  <c r="P2454" i="16"/>
  <c r="P2455" i="16"/>
  <c r="P2456" i="16"/>
  <c r="P2457" i="16"/>
  <c r="P2458" i="16"/>
  <c r="P2459" i="16"/>
  <c r="P2460" i="16"/>
  <c r="P2461" i="16"/>
  <c r="P2462" i="16"/>
  <c r="P2463" i="16"/>
  <c r="P2464" i="16"/>
  <c r="P2465" i="16"/>
  <c r="P2466" i="16"/>
  <c r="P2467" i="16"/>
  <c r="P2468" i="16"/>
  <c r="P2469" i="16"/>
  <c r="P2470" i="16"/>
  <c r="P2471" i="16"/>
  <c r="P2472" i="16"/>
  <c r="P2473" i="16"/>
  <c r="P2474" i="16"/>
  <c r="P2475" i="16"/>
  <c r="P2476" i="16"/>
  <c r="P2477" i="16"/>
  <c r="P2478" i="16"/>
  <c r="P2479" i="16"/>
  <c r="P2480" i="16"/>
  <c r="P2481" i="16"/>
  <c r="P2482" i="16"/>
  <c r="P2483" i="16"/>
  <c r="P2484" i="16"/>
  <c r="P2485" i="16"/>
  <c r="P2486" i="16"/>
  <c r="P2487" i="16"/>
  <c r="P2488" i="16"/>
  <c r="P2489" i="16"/>
  <c r="P2490" i="16"/>
  <c r="P2491" i="16"/>
  <c r="P2492" i="16"/>
  <c r="P2493" i="16"/>
  <c r="P2494" i="16"/>
  <c r="P2495" i="16"/>
  <c r="P2496" i="16"/>
  <c r="P2497" i="16"/>
  <c r="P2498" i="16"/>
  <c r="P2499" i="16"/>
  <c r="P2500" i="16"/>
  <c r="P2501" i="16"/>
  <c r="P2502" i="16"/>
  <c r="P2503" i="16"/>
  <c r="P2504" i="16"/>
  <c r="P2505" i="16"/>
  <c r="P2506" i="16"/>
  <c r="P2507" i="16"/>
  <c r="P2508" i="16"/>
  <c r="P2509" i="16"/>
  <c r="P2511" i="16"/>
  <c r="P2512" i="16"/>
  <c r="P2513" i="16"/>
  <c r="P2514" i="16"/>
  <c r="P2515" i="16"/>
  <c r="P2516" i="16"/>
  <c r="P2517" i="16"/>
  <c r="P2518" i="16"/>
  <c r="P2519" i="16"/>
  <c r="P2520" i="16"/>
  <c r="P2521" i="16"/>
  <c r="P2522" i="16"/>
  <c r="P2523" i="16"/>
  <c r="P2524" i="16"/>
  <c r="P2525" i="16"/>
  <c r="P2526" i="16"/>
  <c r="P2527" i="16"/>
  <c r="P2528" i="16"/>
  <c r="P2529" i="16"/>
  <c r="P2530" i="16"/>
  <c r="P2531" i="16"/>
  <c r="P2532" i="16"/>
  <c r="P2533" i="16"/>
  <c r="P2534" i="16"/>
  <c r="P2535" i="16"/>
  <c r="P2536" i="16"/>
  <c r="P2537" i="16"/>
  <c r="P2538" i="16"/>
  <c r="P2539" i="16"/>
  <c r="P2540" i="16"/>
  <c r="P2541" i="16"/>
  <c r="P2542" i="16"/>
  <c r="P2543" i="16"/>
  <c r="P2544" i="16"/>
  <c r="P2545" i="16"/>
  <c r="P2546" i="16"/>
  <c r="P2547" i="16"/>
  <c r="P2548" i="16"/>
  <c r="P2549" i="16"/>
  <c r="P2550" i="16"/>
  <c r="P2551" i="16"/>
  <c r="P2552" i="16"/>
  <c r="P2553" i="16"/>
  <c r="P2554" i="16"/>
  <c r="P2555" i="16"/>
  <c r="P2556" i="16"/>
  <c r="P2557" i="16"/>
  <c r="P2558" i="16"/>
  <c r="P2559" i="16"/>
  <c r="P2560" i="16"/>
  <c r="P2561" i="16"/>
  <c r="P2562" i="16"/>
  <c r="P2563" i="16"/>
  <c r="P2564" i="16"/>
  <c r="P2565" i="16"/>
  <c r="P2566" i="16"/>
  <c r="P2567" i="16"/>
  <c r="P2568" i="16"/>
  <c r="P2569" i="16"/>
  <c r="P2570" i="16"/>
  <c r="P2571" i="16"/>
  <c r="P2572" i="16"/>
  <c r="P2573" i="16"/>
  <c r="P2574" i="16"/>
  <c r="P2575" i="16"/>
  <c r="P2576" i="16"/>
  <c r="P2577" i="16"/>
  <c r="P2578" i="16"/>
  <c r="P2579" i="16"/>
  <c r="P2580" i="16"/>
  <c r="P2581" i="16"/>
  <c r="P2582" i="16"/>
  <c r="P2583" i="16"/>
  <c r="P2584" i="16"/>
  <c r="P2585" i="16"/>
  <c r="P2586" i="16"/>
  <c r="P2587" i="16"/>
  <c r="P2588" i="16"/>
  <c r="P2589" i="16"/>
  <c r="P2590" i="16"/>
  <c r="P2591" i="16"/>
  <c r="P2592" i="16"/>
  <c r="P2593" i="16"/>
  <c r="P2594" i="16"/>
  <c r="P2595" i="16"/>
  <c r="P2596" i="16"/>
  <c r="P2597" i="16"/>
  <c r="P2598" i="16"/>
  <c r="P2599" i="16"/>
  <c r="P2600" i="16"/>
  <c r="P2601" i="16"/>
  <c r="P2602" i="16"/>
  <c r="P2603" i="16"/>
  <c r="P2604" i="16"/>
  <c r="P2605" i="16"/>
  <c r="P2606" i="16"/>
  <c r="P2607" i="16"/>
  <c r="P2608" i="16"/>
  <c r="P2610" i="16"/>
  <c r="P2611" i="16"/>
  <c r="P2612" i="16"/>
  <c r="P2613" i="16"/>
  <c r="P2615" i="16"/>
  <c r="J2617" i="16"/>
  <c r="J2618" i="16"/>
  <c r="P2618" i="16"/>
  <c r="J2619" i="16"/>
  <c r="J2620" i="16"/>
  <c r="P2620" i="16"/>
  <c r="J2621" i="16"/>
  <c r="P2621" i="16"/>
  <c r="J2622" i="16"/>
  <c r="P2622" i="16"/>
  <c r="J2623" i="16"/>
  <c r="P2623" i="16"/>
  <c r="J2624" i="16"/>
  <c r="P2624" i="16"/>
  <c r="J2625" i="16"/>
  <c r="P2625" i="16"/>
  <c r="J2626" i="16"/>
  <c r="J2627" i="16"/>
  <c r="P2627" i="16"/>
  <c r="J2628" i="16"/>
  <c r="P2628" i="16"/>
  <c r="J2629" i="16"/>
  <c r="P2629" i="16"/>
  <c r="J2630" i="16"/>
  <c r="P2630" i="16"/>
  <c r="J2631" i="16"/>
  <c r="P2631" i="16"/>
  <c r="J2632" i="16"/>
  <c r="P2632" i="16"/>
  <c r="J2633" i="16"/>
  <c r="P2633" i="16"/>
  <c r="J2634" i="16"/>
  <c r="P2634" i="16"/>
  <c r="J2635" i="16"/>
  <c r="P2635" i="16"/>
  <c r="I19" i="16"/>
  <c r="L19" i="16"/>
  <c r="O2617" i="16"/>
  <c r="O2618" i="16"/>
  <c r="O2619" i="16"/>
  <c r="O2620" i="16"/>
  <c r="O2621" i="16"/>
  <c r="O2622" i="16"/>
  <c r="O2623" i="16"/>
  <c r="O2624" i="16"/>
  <c r="O2625" i="16"/>
  <c r="O2626" i="16"/>
  <c r="O2627" i="16"/>
  <c r="O2628" i="16"/>
  <c r="O2629" i="16"/>
  <c r="O2630" i="16"/>
  <c r="O2631" i="16"/>
  <c r="O2632" i="16"/>
  <c r="O2633" i="16"/>
  <c r="O2634" i="16"/>
  <c r="O2635" i="16"/>
  <c r="E2617" i="16"/>
  <c r="F2617" i="16"/>
  <c r="E2618" i="16"/>
  <c r="F2618" i="16"/>
  <c r="E2619" i="16"/>
  <c r="F2619" i="16"/>
  <c r="E2620" i="16"/>
  <c r="F2620" i="16"/>
  <c r="E2621" i="16"/>
  <c r="F2621" i="16"/>
  <c r="E2622" i="16"/>
  <c r="F2622" i="16"/>
  <c r="E2623" i="16"/>
  <c r="F2623" i="16"/>
  <c r="E2624" i="16"/>
  <c r="F2624" i="16"/>
  <c r="E2625" i="16"/>
  <c r="F2625" i="16"/>
  <c r="E2626" i="16"/>
  <c r="F2626" i="16"/>
  <c r="E2627" i="16"/>
  <c r="F2627" i="16"/>
  <c r="E2628" i="16"/>
  <c r="F2628" i="16"/>
  <c r="E2629" i="16"/>
  <c r="F2629" i="16"/>
  <c r="E2630" i="16"/>
  <c r="F2630" i="16"/>
  <c r="E2631" i="16"/>
  <c r="F2631" i="16"/>
  <c r="E2632" i="16"/>
  <c r="F2632" i="16"/>
  <c r="E2633" i="16"/>
  <c r="F2633" i="16"/>
  <c r="E2634" i="16"/>
  <c r="F2634" i="16"/>
  <c r="E2635" i="16"/>
  <c r="F2635" i="16"/>
  <c r="S65" i="22"/>
  <c r="S66" i="22"/>
  <c r="S67" i="22"/>
  <c r="Q65" i="22"/>
  <c r="Q66" i="22"/>
  <c r="Q67" i="22"/>
  <c r="V65" i="22"/>
  <c r="V66" i="22"/>
  <c r="V67" i="22"/>
  <c r="L129" i="20"/>
  <c r="M129" i="20"/>
  <c r="L128" i="20"/>
  <c r="M128" i="20"/>
  <c r="L127" i="20"/>
  <c r="M127" i="20"/>
  <c r="L126" i="20"/>
  <c r="M126" i="20"/>
  <c r="L125" i="20"/>
  <c r="M125" i="20"/>
  <c r="L124" i="20"/>
  <c r="M124" i="20"/>
  <c r="L123" i="20"/>
  <c r="M123" i="20"/>
  <c r="L122" i="20"/>
  <c r="M122" i="20"/>
  <c r="L121" i="20"/>
  <c r="M121" i="20"/>
  <c r="L120" i="20"/>
  <c r="M120" i="20"/>
  <c r="L119" i="20"/>
  <c r="M119" i="20"/>
  <c r="L118" i="20"/>
  <c r="M118" i="20"/>
  <c r="L117" i="20"/>
  <c r="M117" i="20"/>
  <c r="L116" i="20"/>
  <c r="M116" i="20"/>
  <c r="L115" i="20"/>
  <c r="M115" i="20"/>
  <c r="L114" i="20"/>
  <c r="M114" i="20"/>
  <c r="L113" i="20"/>
  <c r="L112" i="20"/>
  <c r="M112" i="20"/>
  <c r="L111" i="20"/>
  <c r="M111" i="20"/>
  <c r="L110" i="20"/>
  <c r="M110" i="20"/>
  <c r="L109" i="20"/>
  <c r="M109" i="20"/>
  <c r="L108" i="20"/>
  <c r="M108" i="20"/>
  <c r="L107" i="20"/>
  <c r="M107" i="20"/>
  <c r="L106" i="20"/>
  <c r="M106" i="20"/>
  <c r="L105" i="20"/>
  <c r="M105" i="20"/>
  <c r="L104" i="20"/>
  <c r="M104" i="20"/>
  <c r="L103" i="20"/>
  <c r="M103" i="20"/>
  <c r="L102" i="20"/>
  <c r="M102" i="20"/>
  <c r="L101" i="20"/>
  <c r="M101" i="20"/>
  <c r="L100" i="20"/>
  <c r="M100" i="20"/>
  <c r="L99" i="20"/>
  <c r="M99" i="20"/>
  <c r="L98" i="20"/>
  <c r="M98" i="20"/>
  <c r="L97" i="20"/>
  <c r="M97" i="20"/>
  <c r="L96" i="20"/>
  <c r="M96" i="20"/>
  <c r="L95" i="20"/>
  <c r="M95" i="20"/>
  <c r="L94" i="20"/>
  <c r="L93" i="20"/>
  <c r="M93" i="20"/>
  <c r="L92" i="20"/>
  <c r="M92" i="20"/>
  <c r="L91" i="20"/>
  <c r="M91" i="20"/>
  <c r="L90" i="20"/>
  <c r="M90" i="20"/>
  <c r="L89" i="20"/>
  <c r="M89" i="20"/>
  <c r="L88" i="20"/>
  <c r="M88" i="20"/>
  <c r="L87" i="20"/>
  <c r="M87" i="20"/>
  <c r="L86" i="20"/>
  <c r="L85" i="20"/>
  <c r="M85" i="20"/>
  <c r="L84" i="20"/>
  <c r="M84" i="20"/>
  <c r="L83" i="20"/>
  <c r="M83" i="20"/>
  <c r="L82" i="20"/>
  <c r="M82" i="20"/>
  <c r="L81" i="20"/>
  <c r="M81" i="20"/>
  <c r="L80" i="20"/>
  <c r="M80" i="20"/>
  <c r="L79" i="20"/>
  <c r="M79" i="20"/>
  <c r="L78" i="20"/>
  <c r="L77" i="20"/>
  <c r="M77" i="20"/>
  <c r="L76" i="20"/>
  <c r="M76" i="20"/>
  <c r="L75" i="20"/>
  <c r="L74" i="20"/>
  <c r="M74" i="20"/>
  <c r="L73" i="20"/>
  <c r="M73" i="20"/>
  <c r="L72" i="20"/>
  <c r="M72" i="20"/>
  <c r="L71" i="20"/>
  <c r="M71" i="20"/>
  <c r="L70" i="20"/>
  <c r="L69" i="20"/>
  <c r="M69" i="20"/>
  <c r="L68" i="20"/>
  <c r="M68" i="20"/>
  <c r="L67" i="20"/>
  <c r="M67" i="20"/>
  <c r="L66" i="20"/>
  <c r="M66" i="20"/>
  <c r="L65" i="20"/>
  <c r="M65" i="20"/>
  <c r="K65" i="22"/>
  <c r="K66" i="22"/>
  <c r="K67" i="22"/>
  <c r="J65" i="22"/>
  <c r="J66" i="22"/>
  <c r="J67" i="22"/>
  <c r="X65" i="22"/>
  <c r="X66" i="22"/>
  <c r="X67" i="22"/>
  <c r="F69" i="17"/>
  <c r="F68" i="17"/>
  <c r="F67" i="17"/>
  <c r="F66" i="17"/>
  <c r="F65" i="17"/>
  <c r="F64" i="17"/>
  <c r="F63" i="17"/>
  <c r="F62" i="17"/>
  <c r="F61" i="17"/>
  <c r="F60" i="17"/>
  <c r="F59" i="17"/>
  <c r="F58" i="17"/>
  <c r="O69" i="17"/>
  <c r="P69" i="17"/>
  <c r="O68" i="17"/>
  <c r="P68" i="17"/>
  <c r="O67" i="17"/>
  <c r="P67" i="17"/>
  <c r="O66" i="17"/>
  <c r="P66" i="17"/>
  <c r="O65" i="17"/>
  <c r="P65" i="17"/>
  <c r="O64" i="17"/>
  <c r="P64" i="17"/>
  <c r="O63" i="17"/>
  <c r="P63" i="17"/>
  <c r="O62" i="17"/>
  <c r="P62" i="17"/>
  <c r="O61" i="17"/>
  <c r="P61" i="17"/>
  <c r="O60" i="17"/>
  <c r="P60" i="17"/>
  <c r="O59" i="17"/>
  <c r="P59" i="17"/>
  <c r="O58" i="17"/>
  <c r="P58" i="17"/>
  <c r="E15" i="17"/>
  <c r="F118" i="17"/>
  <c r="F117" i="17"/>
  <c r="F116" i="17"/>
  <c r="F115" i="17"/>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O118" i="17"/>
  <c r="P118" i="17"/>
  <c r="O117" i="17"/>
  <c r="P117" i="17"/>
  <c r="O116" i="17"/>
  <c r="P116" i="17"/>
  <c r="O115" i="17"/>
  <c r="P115" i="17"/>
  <c r="O114" i="17"/>
  <c r="P114" i="17"/>
  <c r="O113" i="17"/>
  <c r="P113" i="17"/>
  <c r="O112" i="17"/>
  <c r="P112" i="17"/>
  <c r="O111" i="17"/>
  <c r="P111" i="17"/>
  <c r="O110" i="17"/>
  <c r="P110" i="17"/>
  <c r="O109" i="17"/>
  <c r="P109" i="17"/>
  <c r="O108" i="17"/>
  <c r="P108" i="17"/>
  <c r="O107" i="17"/>
  <c r="P107" i="17"/>
  <c r="O106" i="17"/>
  <c r="P106" i="17"/>
  <c r="O105" i="17"/>
  <c r="P105" i="17"/>
  <c r="O104" i="17"/>
  <c r="P104" i="17"/>
  <c r="O103" i="17"/>
  <c r="P103" i="17"/>
  <c r="O102" i="17"/>
  <c r="P102" i="17"/>
  <c r="O101" i="17"/>
  <c r="P101" i="17"/>
  <c r="O100" i="17"/>
  <c r="P100" i="17"/>
  <c r="O99" i="17"/>
  <c r="P99" i="17"/>
  <c r="O98" i="17"/>
  <c r="P98" i="17"/>
  <c r="O97" i="17"/>
  <c r="P97" i="17"/>
  <c r="O96" i="17"/>
  <c r="P96" i="17"/>
  <c r="O95" i="17"/>
  <c r="P95" i="17"/>
  <c r="O92" i="17"/>
  <c r="P92" i="17"/>
  <c r="O91" i="17"/>
  <c r="P91" i="17"/>
  <c r="O90" i="17"/>
  <c r="P90" i="17"/>
  <c r="O89" i="17"/>
  <c r="P89" i="17"/>
  <c r="O88" i="17"/>
  <c r="P88" i="17"/>
  <c r="O87" i="17"/>
  <c r="P87" i="17"/>
  <c r="O86" i="17"/>
  <c r="P86" i="17"/>
  <c r="O85" i="17"/>
  <c r="P85" i="17"/>
  <c r="O84" i="17"/>
  <c r="P84" i="17"/>
  <c r="O83" i="17"/>
  <c r="P83" i="17"/>
  <c r="O82" i="17"/>
  <c r="P82" i="17"/>
  <c r="O81" i="17"/>
  <c r="P81" i="17"/>
  <c r="O80" i="17"/>
  <c r="P80" i="17"/>
  <c r="O79" i="17"/>
  <c r="P79" i="17"/>
  <c r="O78" i="17"/>
  <c r="P78" i="17"/>
  <c r="O77" i="17"/>
  <c r="P77" i="17"/>
  <c r="O76" i="17"/>
  <c r="P76" i="17"/>
  <c r="O75" i="17"/>
  <c r="P75" i="17"/>
  <c r="O74" i="17"/>
  <c r="P74" i="17"/>
  <c r="O73" i="17"/>
  <c r="P73" i="17"/>
  <c r="O72" i="17"/>
  <c r="P72" i="17"/>
  <c r="O71" i="17"/>
  <c r="P71" i="17"/>
  <c r="O57" i="17"/>
  <c r="P57" i="17"/>
  <c r="O56" i="17"/>
  <c r="P56" i="17"/>
  <c r="F86" i="17"/>
  <c r="F85" i="17"/>
  <c r="F84" i="17"/>
  <c r="F83" i="17"/>
  <c r="F82" i="17"/>
  <c r="F81" i="17"/>
  <c r="F80" i="17"/>
  <c r="F79" i="17"/>
  <c r="F78" i="17"/>
  <c r="F77" i="17"/>
  <c r="F76" i="17"/>
  <c r="F75" i="17"/>
  <c r="F74" i="17"/>
  <c r="F73" i="17"/>
  <c r="F72" i="17"/>
  <c r="F71" i="17"/>
  <c r="F57" i="17"/>
  <c r="F56" i="17"/>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F2616" i="16"/>
  <c r="F2615" i="16"/>
  <c r="F2614" i="16"/>
  <c r="F2613" i="16"/>
  <c r="F2612" i="16"/>
  <c r="F2611" i="16"/>
  <c r="F2610" i="16"/>
  <c r="F2609" i="16"/>
  <c r="F2608" i="16"/>
  <c r="F2607" i="16"/>
  <c r="F2606" i="16"/>
  <c r="F2605" i="16"/>
  <c r="F2604" i="16"/>
  <c r="F2603" i="16"/>
  <c r="F2602" i="16"/>
  <c r="F2601" i="16"/>
  <c r="F2600" i="16"/>
  <c r="F2599" i="16"/>
  <c r="F2598" i="16"/>
  <c r="F2597" i="16"/>
  <c r="F2596" i="16"/>
  <c r="F2595" i="16"/>
  <c r="F2594" i="16"/>
  <c r="F2593" i="16"/>
  <c r="F2592" i="16"/>
  <c r="F2591" i="16"/>
  <c r="F2590" i="16"/>
  <c r="F2589" i="16"/>
  <c r="F2588" i="16"/>
  <c r="F2587" i="16"/>
  <c r="F2586" i="16"/>
  <c r="F2585" i="16"/>
  <c r="F2584" i="16"/>
  <c r="F2583" i="16"/>
  <c r="F2582" i="16"/>
  <c r="F2581" i="16"/>
  <c r="F2580" i="16"/>
  <c r="F2579" i="16"/>
  <c r="F2578" i="16"/>
  <c r="F2577" i="16"/>
  <c r="F2576" i="16"/>
  <c r="F2575" i="16"/>
  <c r="F2574" i="16"/>
  <c r="F2573" i="16"/>
  <c r="F2572" i="16"/>
  <c r="F2571" i="16"/>
  <c r="F2570" i="16"/>
  <c r="F2569" i="16"/>
  <c r="F2568" i="16"/>
  <c r="F2567" i="16"/>
  <c r="F2566" i="16"/>
  <c r="F2565" i="16"/>
  <c r="F2564" i="16"/>
  <c r="F2563" i="16"/>
  <c r="F2562" i="16"/>
  <c r="F2561" i="16"/>
  <c r="F2560" i="16"/>
  <c r="F2559" i="16"/>
  <c r="F2558" i="16"/>
  <c r="F2557" i="16"/>
  <c r="F2556" i="16"/>
  <c r="F2555" i="16"/>
  <c r="F2554" i="16"/>
  <c r="F2553" i="16"/>
  <c r="F2552" i="16"/>
  <c r="F2551" i="16"/>
  <c r="F2550" i="16"/>
  <c r="F2549" i="16"/>
  <c r="F2548" i="16"/>
  <c r="F2547" i="16"/>
  <c r="F2546" i="16"/>
  <c r="F2545" i="16"/>
  <c r="F2544" i="16"/>
  <c r="F2543" i="16"/>
  <c r="F2542" i="16"/>
  <c r="F2541" i="16"/>
  <c r="F2540" i="16"/>
  <c r="F2539" i="16"/>
  <c r="F2538" i="16"/>
  <c r="F2537" i="16"/>
  <c r="F2536" i="16"/>
  <c r="F2535" i="16"/>
  <c r="F2534" i="16"/>
  <c r="F2533" i="16"/>
  <c r="F2532" i="16"/>
  <c r="F2531" i="16"/>
  <c r="F2530" i="16"/>
  <c r="F2529" i="16"/>
  <c r="F2528" i="16"/>
  <c r="F2527" i="16"/>
  <c r="F2526" i="16"/>
  <c r="F2525" i="16"/>
  <c r="F2524" i="16"/>
  <c r="F2523" i="16"/>
  <c r="F2522" i="16"/>
  <c r="F2521" i="16"/>
  <c r="F2520" i="16"/>
  <c r="F2519" i="16"/>
  <c r="F2518" i="16"/>
  <c r="F2517" i="16"/>
  <c r="F2516" i="16"/>
  <c r="F2515" i="16"/>
  <c r="F2514" i="16"/>
  <c r="F2513" i="16"/>
  <c r="F2512" i="16"/>
  <c r="F2511" i="16"/>
  <c r="F2510" i="16"/>
  <c r="F2509" i="16"/>
  <c r="F2508" i="16"/>
  <c r="F2507" i="16"/>
  <c r="F2506" i="16"/>
  <c r="F2505" i="16"/>
  <c r="F2504" i="16"/>
  <c r="F2503" i="16"/>
  <c r="F2502" i="16"/>
  <c r="F2501" i="16"/>
  <c r="F2500" i="16"/>
  <c r="F2499" i="16"/>
  <c r="F2498" i="16"/>
  <c r="F2497" i="16"/>
  <c r="F2496" i="16"/>
  <c r="F2495" i="16"/>
  <c r="F2494" i="16"/>
  <c r="F2493" i="16"/>
  <c r="F2492" i="16"/>
  <c r="F2491" i="16"/>
  <c r="F2490" i="16"/>
  <c r="F2489" i="16"/>
  <c r="F2488" i="16"/>
  <c r="F2487" i="16"/>
  <c r="F2486" i="16"/>
  <c r="F2485" i="16"/>
  <c r="F2484" i="16"/>
  <c r="F2483" i="16"/>
  <c r="F2482" i="16"/>
  <c r="F2481" i="16"/>
  <c r="F2480" i="16"/>
  <c r="F2479" i="16"/>
  <c r="F2478" i="16"/>
  <c r="F2477" i="16"/>
  <c r="F2476" i="16"/>
  <c r="F2475" i="16"/>
  <c r="F2474" i="16"/>
  <c r="F2473" i="16"/>
  <c r="F2472" i="16"/>
  <c r="F2471" i="16"/>
  <c r="F2470" i="16"/>
  <c r="F2469" i="16"/>
  <c r="F2468" i="16"/>
  <c r="F2467" i="16"/>
  <c r="F2466" i="16"/>
  <c r="F2465" i="16"/>
  <c r="F2464" i="16"/>
  <c r="F2463" i="16"/>
  <c r="F2462" i="16"/>
  <c r="F2461" i="16"/>
  <c r="F2460" i="16"/>
  <c r="F2459" i="16"/>
  <c r="F2458" i="16"/>
  <c r="F2457" i="16"/>
  <c r="F2456" i="16"/>
  <c r="F2455" i="16"/>
  <c r="F2454" i="16"/>
  <c r="F2453" i="16"/>
  <c r="F2452" i="16"/>
  <c r="F2451" i="16"/>
  <c r="F2450" i="16"/>
  <c r="F2449" i="16"/>
  <c r="F2448" i="16"/>
  <c r="F2447" i="16"/>
  <c r="F2446" i="16"/>
  <c r="F2445" i="16"/>
  <c r="F2444" i="16"/>
  <c r="F2443" i="16"/>
  <c r="F2442" i="16"/>
  <c r="F2441" i="16"/>
  <c r="F2440" i="16"/>
  <c r="F2439" i="16"/>
  <c r="F2438" i="16"/>
  <c r="F2437" i="16"/>
  <c r="F2436" i="16"/>
  <c r="F2435" i="16"/>
  <c r="F2434" i="16"/>
  <c r="F2433" i="16"/>
  <c r="F2432" i="16"/>
  <c r="F2431" i="16"/>
  <c r="F2430" i="16"/>
  <c r="F2429" i="16"/>
  <c r="F2428" i="16"/>
  <c r="F2427" i="16"/>
  <c r="F2426" i="16"/>
  <c r="F2425" i="16"/>
  <c r="F2424" i="16"/>
  <c r="F2423" i="16"/>
  <c r="F2422" i="16"/>
  <c r="F2421" i="16"/>
  <c r="F2420" i="16"/>
  <c r="F2419" i="16"/>
  <c r="F2418" i="16"/>
  <c r="F2417" i="16"/>
  <c r="F2416" i="16"/>
  <c r="F2415" i="16"/>
  <c r="F2414" i="16"/>
  <c r="F2413" i="16"/>
  <c r="F2412" i="16"/>
  <c r="F2411" i="16"/>
  <c r="F2410" i="16"/>
  <c r="F2409" i="16"/>
  <c r="F2408" i="16"/>
  <c r="F2407" i="16"/>
  <c r="F2406" i="16"/>
  <c r="F2405" i="16"/>
  <c r="F2404" i="16"/>
  <c r="F2403" i="16"/>
  <c r="F2402" i="16"/>
  <c r="F2401" i="16"/>
  <c r="F2400" i="16"/>
  <c r="F2399" i="16"/>
  <c r="F2398" i="16"/>
  <c r="F2397" i="16"/>
  <c r="F2396" i="16"/>
  <c r="F2395" i="16"/>
  <c r="F2394" i="16"/>
  <c r="F2393" i="16"/>
  <c r="F2392" i="16"/>
  <c r="F2391" i="16"/>
  <c r="F2390" i="16"/>
  <c r="F2389" i="16"/>
  <c r="F2388" i="16"/>
  <c r="F2387" i="16"/>
  <c r="F2386" i="16"/>
  <c r="F2385" i="16"/>
  <c r="F2384" i="16"/>
  <c r="F2383" i="16"/>
  <c r="F2382" i="16"/>
  <c r="F2381" i="16"/>
  <c r="F2380" i="16"/>
  <c r="F2379" i="16"/>
  <c r="F2378" i="16"/>
  <c r="F2377" i="16"/>
  <c r="F2376" i="16"/>
  <c r="F2375" i="16"/>
  <c r="F2374" i="16"/>
  <c r="F2373" i="16"/>
  <c r="F2372" i="16"/>
  <c r="F2371" i="16"/>
  <c r="F2370" i="16"/>
  <c r="F2369" i="16"/>
  <c r="F2368" i="16"/>
  <c r="F2367" i="16"/>
  <c r="F2366" i="16"/>
  <c r="F2365" i="16"/>
  <c r="F2364" i="16"/>
  <c r="F2363" i="16"/>
  <c r="F2362" i="16"/>
  <c r="F2361" i="16"/>
  <c r="F2360" i="16"/>
  <c r="F2359" i="16"/>
  <c r="F2358" i="16"/>
  <c r="F2357" i="16"/>
  <c r="F2356" i="16"/>
  <c r="F2355" i="16"/>
  <c r="F2354" i="16"/>
  <c r="F2353" i="16"/>
  <c r="F2352" i="16"/>
  <c r="F2351" i="16"/>
  <c r="F2350" i="16"/>
  <c r="F2349" i="16"/>
  <c r="F2348" i="16"/>
  <c r="F2347" i="16"/>
  <c r="F2346" i="16"/>
  <c r="F2345" i="16"/>
  <c r="F2344" i="16"/>
  <c r="F2343" i="16"/>
  <c r="F2342" i="16"/>
  <c r="F2341" i="16"/>
  <c r="F2340" i="16"/>
  <c r="F2339" i="16"/>
  <c r="F2338" i="16"/>
  <c r="F2337" i="16"/>
  <c r="F2336" i="16"/>
  <c r="F2335" i="16"/>
  <c r="F2334" i="16"/>
  <c r="F2333" i="16"/>
  <c r="F2332" i="16"/>
  <c r="F2331" i="16"/>
  <c r="F2330" i="16"/>
  <c r="F2329" i="16"/>
  <c r="F2328" i="16"/>
  <c r="F2327" i="16"/>
  <c r="F2326" i="16"/>
  <c r="F2325" i="16"/>
  <c r="F2324" i="16"/>
  <c r="F2323" i="16"/>
  <c r="F2322" i="16"/>
  <c r="F2321" i="16"/>
  <c r="F2320" i="16"/>
  <c r="F2319" i="16"/>
  <c r="F2318" i="16"/>
  <c r="F2317" i="16"/>
  <c r="F2316" i="16"/>
  <c r="F2315" i="16"/>
  <c r="F2314" i="16"/>
  <c r="F2313" i="16"/>
  <c r="F2312" i="16"/>
  <c r="F2311" i="16"/>
  <c r="F2310" i="16"/>
  <c r="F2309" i="16"/>
  <c r="F2308" i="16"/>
  <c r="F2307" i="16"/>
  <c r="F2306" i="16"/>
  <c r="F2305" i="16"/>
  <c r="F2304" i="16"/>
  <c r="F2303" i="16"/>
  <c r="F2302" i="16"/>
  <c r="F2301" i="16"/>
  <c r="F2300" i="16"/>
  <c r="F2299" i="16"/>
  <c r="F2298" i="16"/>
  <c r="F2297" i="16"/>
  <c r="F2296" i="16"/>
  <c r="F2295" i="16"/>
  <c r="F2294" i="16"/>
  <c r="F2293" i="16"/>
  <c r="F2292" i="16"/>
  <c r="F2291" i="16"/>
  <c r="F2290" i="16"/>
  <c r="F2289" i="16"/>
  <c r="F2288" i="16"/>
  <c r="F2287" i="16"/>
  <c r="F2286" i="16"/>
  <c r="F2285" i="16"/>
  <c r="F2284" i="16"/>
  <c r="F2283" i="16"/>
  <c r="F2282" i="16"/>
  <c r="F2281" i="16"/>
  <c r="F2280" i="16"/>
  <c r="F2279" i="16"/>
  <c r="F2278" i="16"/>
  <c r="F2277" i="16"/>
  <c r="F2276" i="16"/>
  <c r="F2275" i="16"/>
  <c r="F2274" i="16"/>
  <c r="F2273" i="16"/>
  <c r="F2272" i="16"/>
  <c r="F2271" i="16"/>
  <c r="F2270" i="16"/>
  <c r="F2269" i="16"/>
  <c r="F2268" i="16"/>
  <c r="F2267" i="16"/>
  <c r="F2266" i="16"/>
  <c r="F2265" i="16"/>
  <c r="F2264" i="16"/>
  <c r="F2263" i="16"/>
  <c r="F2262" i="16"/>
  <c r="F2261" i="16"/>
  <c r="F2260" i="16"/>
  <c r="F2259" i="16"/>
  <c r="F2258" i="16"/>
  <c r="F2257" i="16"/>
  <c r="F2256" i="16"/>
  <c r="F2255" i="16"/>
  <c r="F2254" i="16"/>
  <c r="F2253" i="16"/>
  <c r="F2252" i="16"/>
  <c r="F2251" i="16"/>
  <c r="F2250" i="16"/>
  <c r="F2249" i="16"/>
  <c r="F2248" i="16"/>
  <c r="F2247" i="16"/>
  <c r="F2246" i="16"/>
  <c r="F2245" i="16"/>
  <c r="F2244" i="16"/>
  <c r="F2243" i="16"/>
  <c r="F2242" i="16"/>
  <c r="F2241" i="16"/>
  <c r="F2240" i="16"/>
  <c r="F2239" i="16"/>
  <c r="F2238" i="16"/>
  <c r="F2237" i="16"/>
  <c r="F2236" i="16"/>
  <c r="F2235" i="16"/>
  <c r="F2234" i="16"/>
  <c r="F2233" i="16"/>
  <c r="F2232" i="16"/>
  <c r="F2231" i="16"/>
  <c r="F2230" i="16"/>
  <c r="F2229" i="16"/>
  <c r="F2228" i="16"/>
  <c r="F2227" i="16"/>
  <c r="F2226" i="16"/>
  <c r="F2225" i="16"/>
  <c r="F2224" i="16"/>
  <c r="F2223" i="16"/>
  <c r="F2222" i="16"/>
  <c r="F2221" i="16"/>
  <c r="F2220" i="16"/>
  <c r="F2219" i="16"/>
  <c r="F2218" i="16"/>
  <c r="F2217" i="16"/>
  <c r="F2216" i="16"/>
  <c r="F2215" i="16"/>
  <c r="F2214" i="16"/>
  <c r="F2213" i="16"/>
  <c r="F2212" i="16"/>
  <c r="F2211" i="16"/>
  <c r="F2210" i="16"/>
  <c r="F2209" i="16"/>
  <c r="F2208" i="16"/>
  <c r="F2207" i="16"/>
  <c r="F2206" i="16"/>
  <c r="F2205" i="16"/>
  <c r="F2204" i="16"/>
  <c r="F2203" i="16"/>
  <c r="F2202" i="16"/>
  <c r="F2201" i="16"/>
  <c r="F2200" i="16"/>
  <c r="F2199" i="16"/>
  <c r="F2198" i="16"/>
  <c r="F2197" i="16"/>
  <c r="F2196" i="16"/>
  <c r="F2195" i="16"/>
  <c r="F2194" i="16"/>
  <c r="F2193" i="16"/>
  <c r="F2192" i="16"/>
  <c r="F2191" i="16"/>
  <c r="F2190" i="16"/>
  <c r="F2189" i="16"/>
  <c r="F2188" i="16"/>
  <c r="F2187" i="16"/>
  <c r="F2186" i="16"/>
  <c r="F2185" i="16"/>
  <c r="F2184" i="16"/>
  <c r="F2183" i="16"/>
  <c r="F2182" i="16"/>
  <c r="F2181" i="16"/>
  <c r="F2180" i="16"/>
  <c r="F2179" i="16"/>
  <c r="F2178" i="16"/>
  <c r="F2177" i="16"/>
  <c r="F2176" i="16"/>
  <c r="F2175" i="16"/>
  <c r="F2174" i="16"/>
  <c r="F2173" i="16"/>
  <c r="F2172" i="16"/>
  <c r="F2171" i="16"/>
  <c r="F2170" i="16"/>
  <c r="F2169" i="16"/>
  <c r="F2168" i="16"/>
  <c r="F2167" i="16"/>
  <c r="F2166" i="16"/>
  <c r="F2165" i="16"/>
  <c r="F2164" i="16"/>
  <c r="F2163" i="16"/>
  <c r="F2162" i="16"/>
  <c r="F2161" i="16"/>
  <c r="F2160" i="16"/>
  <c r="F2159" i="16"/>
  <c r="F2158" i="16"/>
  <c r="F2157" i="16"/>
  <c r="F2156" i="16"/>
  <c r="F2155" i="16"/>
  <c r="F2154" i="16"/>
  <c r="F2153" i="16"/>
  <c r="F2152" i="16"/>
  <c r="F2151" i="16"/>
  <c r="F2150" i="16"/>
  <c r="F2149" i="16"/>
  <c r="F2148" i="16"/>
  <c r="F2147" i="16"/>
  <c r="F2146" i="16"/>
  <c r="F2145" i="16"/>
  <c r="F2144" i="16"/>
  <c r="F2143" i="16"/>
  <c r="F2142" i="16"/>
  <c r="F2141" i="16"/>
  <c r="F2140" i="16"/>
  <c r="F2139" i="16"/>
  <c r="F2138" i="16"/>
  <c r="F2137" i="16"/>
  <c r="F2136" i="16"/>
  <c r="F2135" i="16"/>
  <c r="F2134" i="16"/>
  <c r="F2133" i="16"/>
  <c r="F2132" i="16"/>
  <c r="F2131" i="16"/>
  <c r="F2130" i="16"/>
  <c r="F2129" i="16"/>
  <c r="F2128" i="16"/>
  <c r="F2127" i="16"/>
  <c r="F2126" i="16"/>
  <c r="F2125" i="16"/>
  <c r="F2124" i="16"/>
  <c r="F2123" i="16"/>
  <c r="F2122" i="16"/>
  <c r="F2121" i="16"/>
  <c r="F2120" i="16"/>
  <c r="F2119" i="16"/>
  <c r="F2118" i="16"/>
  <c r="F2117" i="16"/>
  <c r="F2116" i="16"/>
  <c r="F2115" i="16"/>
  <c r="F2114" i="16"/>
  <c r="F2113" i="16"/>
  <c r="F2112" i="16"/>
  <c r="F2111" i="16"/>
  <c r="F2110" i="16"/>
  <c r="F2109" i="16"/>
  <c r="F2108" i="16"/>
  <c r="F2107" i="16"/>
  <c r="F2106" i="16"/>
  <c r="F2105" i="16"/>
  <c r="F2104" i="16"/>
  <c r="F2103" i="16"/>
  <c r="F2102" i="16"/>
  <c r="F2101" i="16"/>
  <c r="F2100" i="16"/>
  <c r="F2099" i="16"/>
  <c r="F2098" i="16"/>
  <c r="F2097" i="16"/>
  <c r="F2096" i="16"/>
  <c r="F2095" i="16"/>
  <c r="F2094" i="16"/>
  <c r="F2093" i="16"/>
  <c r="F2092" i="16"/>
  <c r="F2091" i="16"/>
  <c r="F2090" i="16"/>
  <c r="F2089" i="16"/>
  <c r="F2088" i="16"/>
  <c r="F2087" i="16"/>
  <c r="F2086" i="16"/>
  <c r="F2085" i="16"/>
  <c r="F2084" i="16"/>
  <c r="F2083" i="16"/>
  <c r="F2082" i="16"/>
  <c r="F2081" i="16"/>
  <c r="F2080" i="16"/>
  <c r="F2079" i="16"/>
  <c r="F2078" i="16"/>
  <c r="F2077" i="16"/>
  <c r="F2076" i="16"/>
  <c r="F2075" i="16"/>
  <c r="F2074" i="16"/>
  <c r="F2073" i="16"/>
  <c r="F2072" i="16"/>
  <c r="F2071" i="16"/>
  <c r="F2070" i="16"/>
  <c r="F2069" i="16"/>
  <c r="F2068" i="16"/>
  <c r="F2067" i="16"/>
  <c r="F2066" i="16"/>
  <c r="F2065" i="16"/>
  <c r="F2064" i="16"/>
  <c r="F2063" i="16"/>
  <c r="F2062" i="16"/>
  <c r="F2061" i="16"/>
  <c r="F2060" i="16"/>
  <c r="F2059" i="16"/>
  <c r="F2058" i="16"/>
  <c r="F2057" i="16"/>
  <c r="F2056" i="16"/>
  <c r="F2055" i="16"/>
  <c r="F2054" i="16"/>
  <c r="F2053" i="16"/>
  <c r="F2052" i="16"/>
  <c r="F2051" i="16"/>
  <c r="F2050" i="16"/>
  <c r="F2049" i="16"/>
  <c r="F2048" i="16"/>
  <c r="F2047" i="16"/>
  <c r="F2046" i="16"/>
  <c r="F2045" i="16"/>
  <c r="F2044" i="16"/>
  <c r="F2043" i="16"/>
  <c r="F2042" i="16"/>
  <c r="F2041" i="16"/>
  <c r="F2040" i="16"/>
  <c r="F2039" i="16"/>
  <c r="F2038" i="16"/>
  <c r="F2037" i="16"/>
  <c r="F2036" i="16"/>
  <c r="F2035" i="16"/>
  <c r="F2034" i="16"/>
  <c r="F2033" i="16"/>
  <c r="F2032" i="16"/>
  <c r="F2031" i="16"/>
  <c r="F2030" i="16"/>
  <c r="F2029" i="16"/>
  <c r="F2028" i="16"/>
  <c r="F2027" i="16"/>
  <c r="F2026" i="16"/>
  <c r="F2025" i="16"/>
  <c r="F2024" i="16"/>
  <c r="F2023" i="16"/>
  <c r="F2022" i="16"/>
  <c r="F2021" i="16"/>
  <c r="F2020" i="16"/>
  <c r="F2019" i="16"/>
  <c r="F2018" i="16"/>
  <c r="F2017" i="16"/>
  <c r="F2016" i="16"/>
  <c r="F2015" i="16"/>
  <c r="F2014" i="16"/>
  <c r="F2013" i="16"/>
  <c r="F2012" i="16"/>
  <c r="F2011" i="16"/>
  <c r="F2010" i="16"/>
  <c r="F2009" i="16"/>
  <c r="F2008" i="16"/>
  <c r="F2007" i="16"/>
  <c r="F2006" i="16"/>
  <c r="F2005" i="16"/>
  <c r="F2004" i="16"/>
  <c r="F2003" i="16"/>
  <c r="F2002" i="16"/>
  <c r="F2001" i="16"/>
  <c r="F2000" i="16"/>
  <c r="F1999" i="16"/>
  <c r="F1998" i="16"/>
  <c r="F1997" i="16"/>
  <c r="F1996" i="16"/>
  <c r="F1995" i="16"/>
  <c r="F1994" i="16"/>
  <c r="F1993" i="16"/>
  <c r="F1992" i="16"/>
  <c r="F1991" i="16"/>
  <c r="F1990" i="16"/>
  <c r="F1989" i="16"/>
  <c r="F1988" i="16"/>
  <c r="F1987" i="16"/>
  <c r="F1986" i="16"/>
  <c r="F1985" i="16"/>
  <c r="F1984" i="16"/>
  <c r="F1983" i="16"/>
  <c r="F1982" i="16"/>
  <c r="F1981" i="16"/>
  <c r="F1980" i="16"/>
  <c r="F1979" i="16"/>
  <c r="F1978" i="16"/>
  <c r="F1977" i="16"/>
  <c r="F1976" i="16"/>
  <c r="F1975" i="16"/>
  <c r="F1974" i="16"/>
  <c r="F1973" i="16"/>
  <c r="F1972" i="16"/>
  <c r="F1971" i="16"/>
  <c r="F1970" i="16"/>
  <c r="F1969" i="16"/>
  <c r="F1968" i="16"/>
  <c r="F1967" i="16"/>
  <c r="F1966" i="16"/>
  <c r="F1965" i="16"/>
  <c r="F1964" i="16"/>
  <c r="F1963" i="16"/>
  <c r="F1962" i="16"/>
  <c r="F1961" i="16"/>
  <c r="F1960" i="16"/>
  <c r="F1959" i="16"/>
  <c r="F1958" i="16"/>
  <c r="F1957" i="16"/>
  <c r="F1956" i="16"/>
  <c r="F1955" i="16"/>
  <c r="F1954" i="16"/>
  <c r="F1953" i="16"/>
  <c r="F1952" i="16"/>
  <c r="F1951" i="16"/>
  <c r="F1950" i="16"/>
  <c r="F1949" i="16"/>
  <c r="F1948" i="16"/>
  <c r="F1947" i="16"/>
  <c r="F1946" i="16"/>
  <c r="F1945" i="16"/>
  <c r="F1944" i="16"/>
  <c r="F1943" i="16"/>
  <c r="F1942" i="16"/>
  <c r="F1941" i="16"/>
  <c r="F1940" i="16"/>
  <c r="F1939" i="16"/>
  <c r="F1938" i="16"/>
  <c r="F1937" i="16"/>
  <c r="F1936" i="16"/>
  <c r="F1935" i="16"/>
  <c r="F1934" i="16"/>
  <c r="F1933" i="16"/>
  <c r="F1932" i="16"/>
  <c r="F1931" i="16"/>
  <c r="F1930" i="16"/>
  <c r="F1929" i="16"/>
  <c r="F1928" i="16"/>
  <c r="F1927" i="16"/>
  <c r="F1926" i="16"/>
  <c r="F1925" i="16"/>
  <c r="F1924" i="16"/>
  <c r="F1923" i="16"/>
  <c r="F1922" i="16"/>
  <c r="F1921" i="16"/>
  <c r="F1920" i="16"/>
  <c r="F1919" i="16"/>
  <c r="F1918" i="16"/>
  <c r="F1917" i="16"/>
  <c r="F1916" i="16"/>
  <c r="F1915" i="16"/>
  <c r="F1914" i="16"/>
  <c r="F1913" i="16"/>
  <c r="F1912" i="16"/>
  <c r="F1911" i="16"/>
  <c r="F1910" i="16"/>
  <c r="F1909" i="16"/>
  <c r="F1908" i="16"/>
  <c r="F1907" i="16"/>
  <c r="F1906" i="16"/>
  <c r="F1905" i="16"/>
  <c r="F1904" i="16"/>
  <c r="F1903" i="16"/>
  <c r="F1902" i="16"/>
  <c r="F1901" i="16"/>
  <c r="F1900" i="16"/>
  <c r="F1899" i="16"/>
  <c r="F1898" i="16"/>
  <c r="F1897" i="16"/>
  <c r="F1896" i="16"/>
  <c r="F1895" i="16"/>
  <c r="F1894" i="16"/>
  <c r="F1893" i="16"/>
  <c r="F1892" i="16"/>
  <c r="F1891" i="16"/>
  <c r="F1890" i="16"/>
  <c r="F1889" i="16"/>
  <c r="F1888" i="16"/>
  <c r="F1887" i="16"/>
  <c r="F1886" i="16"/>
  <c r="F1885" i="16"/>
  <c r="F1884" i="16"/>
  <c r="F1883" i="16"/>
  <c r="F1882" i="16"/>
  <c r="F1881" i="16"/>
  <c r="F1880" i="16"/>
  <c r="F1879" i="16"/>
  <c r="F1878" i="16"/>
  <c r="F1877" i="16"/>
  <c r="F1876" i="16"/>
  <c r="F1875" i="16"/>
  <c r="F1874" i="16"/>
  <c r="F1873" i="16"/>
  <c r="F1872" i="16"/>
  <c r="F1871" i="16"/>
  <c r="F1870" i="16"/>
  <c r="F1869" i="16"/>
  <c r="F1868" i="16"/>
  <c r="F1867" i="16"/>
  <c r="F1866" i="16"/>
  <c r="F1865" i="16"/>
  <c r="F1864" i="16"/>
  <c r="F1863" i="16"/>
  <c r="F1862" i="16"/>
  <c r="F1861" i="16"/>
  <c r="F1860" i="16"/>
  <c r="F1859" i="16"/>
  <c r="F1858" i="16"/>
  <c r="F1857" i="16"/>
  <c r="F1856" i="16"/>
  <c r="F1855" i="16"/>
  <c r="F1854" i="16"/>
  <c r="F1853" i="16"/>
  <c r="F1852" i="16"/>
  <c r="F1851" i="16"/>
  <c r="F1850" i="16"/>
  <c r="F1849" i="16"/>
  <c r="F1848" i="16"/>
  <c r="F1847" i="16"/>
  <c r="F1846" i="16"/>
  <c r="F1845" i="16"/>
  <c r="F1844" i="16"/>
  <c r="F1843" i="16"/>
  <c r="F1842" i="16"/>
  <c r="F1841" i="16"/>
  <c r="F1840" i="16"/>
  <c r="F1839" i="16"/>
  <c r="F1838" i="16"/>
  <c r="F1837" i="16"/>
  <c r="F1836" i="16"/>
  <c r="F1835" i="16"/>
  <c r="F1834" i="16"/>
  <c r="F1833" i="16"/>
  <c r="F1832" i="16"/>
  <c r="F1831" i="16"/>
  <c r="F1830" i="16"/>
  <c r="F1829" i="16"/>
  <c r="F1828" i="16"/>
  <c r="F1827" i="16"/>
  <c r="F1826" i="16"/>
  <c r="F1825" i="16"/>
  <c r="F1824" i="16"/>
  <c r="F1823" i="16"/>
  <c r="F1822" i="16"/>
  <c r="F1821" i="16"/>
  <c r="F1820" i="16"/>
  <c r="F1819" i="16"/>
  <c r="F1818" i="16"/>
  <c r="F1817" i="16"/>
  <c r="F1816" i="16"/>
  <c r="F1815" i="16"/>
  <c r="F1814" i="16"/>
  <c r="F1813" i="16"/>
  <c r="F1812" i="16"/>
  <c r="F1811" i="16"/>
  <c r="F1810" i="16"/>
  <c r="F1809" i="16"/>
  <c r="F1808" i="16"/>
  <c r="F1807" i="16"/>
  <c r="F1806" i="16"/>
  <c r="F1805" i="16"/>
  <c r="F1804" i="16"/>
  <c r="F1803" i="16"/>
  <c r="F1802" i="16"/>
  <c r="F1801" i="16"/>
  <c r="F1800" i="16"/>
  <c r="F1799" i="16"/>
  <c r="F1798" i="16"/>
  <c r="F1797" i="16"/>
  <c r="F1796" i="16"/>
  <c r="F1795" i="16"/>
  <c r="F1794" i="16"/>
  <c r="F1793" i="16"/>
  <c r="F1792" i="16"/>
  <c r="F1791" i="16"/>
  <c r="F1790" i="16"/>
  <c r="F1789" i="16"/>
  <c r="F1788" i="16"/>
  <c r="F1787" i="16"/>
  <c r="F1786" i="16"/>
  <c r="F1785" i="16"/>
  <c r="F1784" i="16"/>
  <c r="F1783" i="16"/>
  <c r="F1782" i="16"/>
  <c r="F1781" i="16"/>
  <c r="F1780" i="16"/>
  <c r="F1779" i="16"/>
  <c r="F1778" i="16"/>
  <c r="F1777" i="16"/>
  <c r="F1776" i="16"/>
  <c r="F1775" i="16"/>
  <c r="F1774" i="16"/>
  <c r="F1773" i="16"/>
  <c r="F1772" i="16"/>
  <c r="F1771" i="16"/>
  <c r="F1770" i="16"/>
  <c r="F1769" i="16"/>
  <c r="F1768" i="16"/>
  <c r="F1767" i="16"/>
  <c r="F1766" i="16"/>
  <c r="F1765" i="16"/>
  <c r="F1764" i="16"/>
  <c r="F1763" i="16"/>
  <c r="F1762" i="16"/>
  <c r="F1761" i="16"/>
  <c r="F1760" i="16"/>
  <c r="F1759" i="16"/>
  <c r="F1758" i="16"/>
  <c r="F1757" i="16"/>
  <c r="F1756" i="16"/>
  <c r="F1755" i="16"/>
  <c r="F1754" i="16"/>
  <c r="F1753" i="16"/>
  <c r="F1752" i="16"/>
  <c r="F1751" i="16"/>
  <c r="F1750" i="16"/>
  <c r="F1749" i="16"/>
  <c r="F1748" i="16"/>
  <c r="F1747" i="16"/>
  <c r="F1746" i="16"/>
  <c r="F1745" i="16"/>
  <c r="F1744" i="16"/>
  <c r="F1743" i="16"/>
  <c r="F1742" i="16"/>
  <c r="F1741" i="16"/>
  <c r="F1740" i="16"/>
  <c r="F1739" i="16"/>
  <c r="F1738" i="16"/>
  <c r="F1737" i="16"/>
  <c r="F1736" i="16"/>
  <c r="F1735" i="16"/>
  <c r="F1734" i="16"/>
  <c r="F1733" i="16"/>
  <c r="F1732" i="16"/>
  <c r="F1731" i="16"/>
  <c r="F1730" i="16"/>
  <c r="F1729" i="16"/>
  <c r="F1728" i="16"/>
  <c r="F1727" i="16"/>
  <c r="F1726" i="16"/>
  <c r="F1725" i="16"/>
  <c r="F1724" i="16"/>
  <c r="F1723" i="16"/>
  <c r="F1722" i="16"/>
  <c r="F1721" i="16"/>
  <c r="F1720" i="16"/>
  <c r="F1719" i="16"/>
  <c r="F1718" i="16"/>
  <c r="F1717" i="16"/>
  <c r="F1716" i="16"/>
  <c r="F1715" i="16"/>
  <c r="F1714" i="16"/>
  <c r="F1713" i="16"/>
  <c r="F1712" i="16"/>
  <c r="F1711" i="16"/>
  <c r="F1710" i="16"/>
  <c r="F1709" i="16"/>
  <c r="F1708" i="16"/>
  <c r="F1707" i="16"/>
  <c r="F1706" i="16"/>
  <c r="F1705" i="16"/>
  <c r="F1704" i="16"/>
  <c r="F1703" i="16"/>
  <c r="F1702" i="16"/>
  <c r="F1701" i="16"/>
  <c r="F1700" i="16"/>
  <c r="F1699" i="16"/>
  <c r="F1698" i="16"/>
  <c r="F1697" i="16"/>
  <c r="F1696" i="16"/>
  <c r="F1695" i="16"/>
  <c r="F1694" i="16"/>
  <c r="F1693" i="16"/>
  <c r="F1692" i="16"/>
  <c r="F1691" i="16"/>
  <c r="F1690" i="16"/>
  <c r="F1689" i="16"/>
  <c r="F1688" i="16"/>
  <c r="F1687" i="16"/>
  <c r="F1686" i="16"/>
  <c r="F1685" i="16"/>
  <c r="F1684" i="16"/>
  <c r="F1683" i="16"/>
  <c r="F1682" i="16"/>
  <c r="F1681" i="16"/>
  <c r="F1680" i="16"/>
  <c r="F1679" i="16"/>
  <c r="F1678" i="16"/>
  <c r="F1677" i="16"/>
  <c r="F1676" i="16"/>
  <c r="F1675" i="16"/>
  <c r="F1674" i="16"/>
  <c r="F1673" i="16"/>
  <c r="F1672" i="16"/>
  <c r="F1671" i="16"/>
  <c r="F1670" i="16"/>
  <c r="F1669" i="16"/>
  <c r="F1668" i="16"/>
  <c r="F1667" i="16"/>
  <c r="F1666" i="16"/>
  <c r="F1665" i="16"/>
  <c r="F1664" i="16"/>
  <c r="F1663" i="16"/>
  <c r="F1662" i="16"/>
  <c r="F1661" i="16"/>
  <c r="F1660" i="16"/>
  <c r="F1659" i="16"/>
  <c r="F1658" i="16"/>
  <c r="F1657" i="16"/>
  <c r="F1656" i="16"/>
  <c r="F1655" i="16"/>
  <c r="F1654" i="16"/>
  <c r="F1653" i="16"/>
  <c r="F1652" i="16"/>
  <c r="F1651" i="16"/>
  <c r="F1650" i="16"/>
  <c r="F1649" i="16"/>
  <c r="F1648" i="16"/>
  <c r="F1647" i="16"/>
  <c r="F1646" i="16"/>
  <c r="F1645" i="16"/>
  <c r="F1644" i="16"/>
  <c r="F1643" i="16"/>
  <c r="F1642" i="16"/>
  <c r="F1641" i="16"/>
  <c r="F1640" i="16"/>
  <c r="F1639" i="16"/>
  <c r="F1638" i="16"/>
  <c r="F1637" i="16"/>
  <c r="F1636" i="16"/>
  <c r="F1635" i="16"/>
  <c r="F1634" i="16"/>
  <c r="F1633" i="16"/>
  <c r="F1632" i="16"/>
  <c r="F1631" i="16"/>
  <c r="F1630" i="16"/>
  <c r="F1629" i="16"/>
  <c r="F1628" i="16"/>
  <c r="F1627" i="16"/>
  <c r="F1626" i="16"/>
  <c r="F1625" i="16"/>
  <c r="F1624" i="16"/>
  <c r="F1623" i="16"/>
  <c r="F1622" i="16"/>
  <c r="F1621" i="16"/>
  <c r="F1620" i="16"/>
  <c r="F1619" i="16"/>
  <c r="F1618" i="16"/>
  <c r="F1617" i="16"/>
  <c r="F1616" i="16"/>
  <c r="F1615" i="16"/>
  <c r="F1614" i="16"/>
  <c r="F1613" i="16"/>
  <c r="F1612" i="16"/>
  <c r="F1611" i="16"/>
  <c r="F1610" i="16"/>
  <c r="F1609" i="16"/>
  <c r="F1608" i="16"/>
  <c r="F1607" i="16"/>
  <c r="F1606" i="16"/>
  <c r="F1605" i="16"/>
  <c r="F1604" i="16"/>
  <c r="F1603" i="16"/>
  <c r="F1602" i="16"/>
  <c r="F1601" i="16"/>
  <c r="F1600" i="16"/>
  <c r="F1599" i="16"/>
  <c r="F1598" i="16"/>
  <c r="F1597" i="16"/>
  <c r="F1596" i="16"/>
  <c r="F1595" i="16"/>
  <c r="F1594" i="16"/>
  <c r="F1593" i="16"/>
  <c r="F1592" i="16"/>
  <c r="F1591" i="16"/>
  <c r="F1590" i="16"/>
  <c r="F1589" i="16"/>
  <c r="F1588" i="16"/>
  <c r="F1587" i="16"/>
  <c r="F1586" i="16"/>
  <c r="F1585" i="16"/>
  <c r="F1584" i="16"/>
  <c r="F1583" i="16"/>
  <c r="F1582" i="16"/>
  <c r="F1581" i="16"/>
  <c r="F1580" i="16"/>
  <c r="F1579" i="16"/>
  <c r="F1578" i="16"/>
  <c r="F1577" i="16"/>
  <c r="F1576" i="16"/>
  <c r="F1575" i="16"/>
  <c r="F1574" i="16"/>
  <c r="F1573" i="16"/>
  <c r="F1572" i="16"/>
  <c r="F1571" i="16"/>
  <c r="F1570" i="16"/>
  <c r="F1569" i="16"/>
  <c r="F1568" i="16"/>
  <c r="F1567" i="16"/>
  <c r="F1566" i="16"/>
  <c r="F1565" i="16"/>
  <c r="F1564" i="16"/>
  <c r="F1563" i="16"/>
  <c r="F1562" i="16"/>
  <c r="F1561" i="16"/>
  <c r="F1560" i="16"/>
  <c r="F1559" i="16"/>
  <c r="F1558" i="16"/>
  <c r="F1557" i="16"/>
  <c r="F1556" i="16"/>
  <c r="F1555" i="16"/>
  <c r="F1554" i="16"/>
  <c r="F1553" i="16"/>
  <c r="F1552" i="16"/>
  <c r="F1551" i="16"/>
  <c r="F1550" i="16"/>
  <c r="F1549" i="16"/>
  <c r="F1548" i="16"/>
  <c r="F1547" i="16"/>
  <c r="F1546" i="16"/>
  <c r="F1545" i="16"/>
  <c r="F1544" i="16"/>
  <c r="F1543" i="16"/>
  <c r="F1542" i="16"/>
  <c r="F1541" i="16"/>
  <c r="F1540" i="16"/>
  <c r="F1539" i="16"/>
  <c r="F1538" i="16"/>
  <c r="F1537" i="16"/>
  <c r="F1536" i="16"/>
  <c r="F1535" i="16"/>
  <c r="F1534" i="16"/>
  <c r="F1533" i="16"/>
  <c r="F1532" i="16"/>
  <c r="F1531" i="16"/>
  <c r="F1530" i="16"/>
  <c r="F1529" i="16"/>
  <c r="F1528" i="16"/>
  <c r="F1527" i="16"/>
  <c r="F1526" i="16"/>
  <c r="F1525" i="16"/>
  <c r="F1524" i="16"/>
  <c r="F1523" i="16"/>
  <c r="F1522" i="16"/>
  <c r="F1521" i="16"/>
  <c r="F1520" i="16"/>
  <c r="F1519" i="16"/>
  <c r="F1518" i="16"/>
  <c r="F1517" i="16"/>
  <c r="F1516" i="16"/>
  <c r="F1515" i="16"/>
  <c r="F1514" i="16"/>
  <c r="F1513" i="16"/>
  <c r="F1512" i="16"/>
  <c r="F1511" i="16"/>
  <c r="F1510" i="16"/>
  <c r="F1509" i="16"/>
  <c r="F1508" i="16"/>
  <c r="F1507" i="16"/>
  <c r="F1506" i="16"/>
  <c r="F1505" i="16"/>
  <c r="F1504" i="16"/>
  <c r="F1503" i="16"/>
  <c r="F1502" i="16"/>
  <c r="F1501" i="16"/>
  <c r="F1500" i="16"/>
  <c r="F1499" i="16"/>
  <c r="F1498" i="16"/>
  <c r="F1497" i="16"/>
  <c r="F1496" i="16"/>
  <c r="F1495" i="16"/>
  <c r="F1494" i="16"/>
  <c r="F1493" i="16"/>
  <c r="F1492" i="16"/>
  <c r="F1491" i="16"/>
  <c r="F1490" i="16"/>
  <c r="F1489" i="16"/>
  <c r="F1488" i="16"/>
  <c r="F1487" i="16"/>
  <c r="F1486" i="16"/>
  <c r="F1485" i="16"/>
  <c r="F1484" i="16"/>
  <c r="F1483" i="16"/>
  <c r="F1482" i="16"/>
  <c r="F1481" i="16"/>
  <c r="F1480" i="16"/>
  <c r="F1479" i="16"/>
  <c r="F1478" i="16"/>
  <c r="F1477" i="16"/>
  <c r="F1476" i="16"/>
  <c r="F1475" i="16"/>
  <c r="F1474" i="16"/>
  <c r="F1473" i="16"/>
  <c r="F1472" i="16"/>
  <c r="F1471" i="16"/>
  <c r="F1470" i="16"/>
  <c r="F1469" i="16"/>
  <c r="F1468" i="16"/>
  <c r="F1467" i="16"/>
  <c r="F1466" i="16"/>
  <c r="F1465" i="16"/>
  <c r="F1464" i="16"/>
  <c r="F1463" i="16"/>
  <c r="F1462" i="16"/>
  <c r="F1461" i="16"/>
  <c r="F1460" i="16"/>
  <c r="F1459" i="16"/>
  <c r="F1458" i="16"/>
  <c r="F1457" i="16"/>
  <c r="F1456" i="16"/>
  <c r="F1455" i="16"/>
  <c r="F1454" i="16"/>
  <c r="F1453" i="16"/>
  <c r="F1452" i="16"/>
  <c r="F1451" i="16"/>
  <c r="F1450" i="16"/>
  <c r="F1449" i="16"/>
  <c r="F1448" i="16"/>
  <c r="F1447" i="16"/>
  <c r="F1446" i="16"/>
  <c r="F1445" i="16"/>
  <c r="F1444" i="16"/>
  <c r="F1443" i="16"/>
  <c r="F1442" i="16"/>
  <c r="F1441" i="16"/>
  <c r="F1440" i="16"/>
  <c r="F1439" i="16"/>
  <c r="F1438" i="16"/>
  <c r="F1437" i="16"/>
  <c r="F1436" i="16"/>
  <c r="F1435" i="16"/>
  <c r="F1434" i="16"/>
  <c r="F1433" i="16"/>
  <c r="F1432" i="16"/>
  <c r="F1431" i="16"/>
  <c r="F1430" i="16"/>
  <c r="F1429" i="16"/>
  <c r="F1428" i="16"/>
  <c r="F1427" i="16"/>
  <c r="F1426" i="16"/>
  <c r="F1425" i="16"/>
  <c r="F1424" i="16"/>
  <c r="F1423" i="16"/>
  <c r="F1422" i="16"/>
  <c r="F1421" i="16"/>
  <c r="F1420" i="16"/>
  <c r="F1419" i="16"/>
  <c r="F1418" i="16"/>
  <c r="F1417" i="16"/>
  <c r="F1416" i="16"/>
  <c r="F1415" i="16"/>
  <c r="F1414" i="16"/>
  <c r="F1413" i="16"/>
  <c r="F1412" i="16"/>
  <c r="F1411" i="16"/>
  <c r="F1410" i="16"/>
  <c r="F1409" i="16"/>
  <c r="F1408" i="16"/>
  <c r="F1407" i="16"/>
  <c r="F1406" i="16"/>
  <c r="F1405" i="16"/>
  <c r="F1404" i="16"/>
  <c r="F1403" i="16"/>
  <c r="F1402" i="16"/>
  <c r="F1401" i="16"/>
  <c r="F1400" i="16"/>
  <c r="F1399" i="16"/>
  <c r="F1398" i="16"/>
  <c r="F1397" i="16"/>
  <c r="F1396" i="16"/>
  <c r="F1395" i="16"/>
  <c r="F1394" i="16"/>
  <c r="F1393" i="16"/>
  <c r="F1392" i="16"/>
  <c r="F1391" i="16"/>
  <c r="F1390" i="16"/>
  <c r="F1389" i="16"/>
  <c r="F1388" i="16"/>
  <c r="F1387" i="16"/>
  <c r="F1386" i="16"/>
  <c r="F1385" i="16"/>
  <c r="F1384" i="16"/>
  <c r="F1383" i="16"/>
  <c r="F1382" i="16"/>
  <c r="F1381" i="16"/>
  <c r="F1380" i="16"/>
  <c r="F1379" i="16"/>
  <c r="F1378" i="16"/>
  <c r="F1377" i="16"/>
  <c r="F1376" i="16"/>
  <c r="F1375" i="16"/>
  <c r="F1374" i="16"/>
  <c r="F1373" i="16"/>
  <c r="F1372" i="16"/>
  <c r="F1371" i="16"/>
  <c r="F1370" i="16"/>
  <c r="F1369" i="16"/>
  <c r="F1368" i="16"/>
  <c r="F1367" i="16"/>
  <c r="F1366" i="16"/>
  <c r="F1365" i="16"/>
  <c r="F1364" i="16"/>
  <c r="F1363" i="16"/>
  <c r="F1362" i="16"/>
  <c r="F1361" i="16"/>
  <c r="F1360" i="16"/>
  <c r="F1359" i="16"/>
  <c r="F1358" i="16"/>
  <c r="F1357" i="16"/>
  <c r="F1356" i="16"/>
  <c r="F1355" i="16"/>
  <c r="F1354" i="16"/>
  <c r="F1353" i="16"/>
  <c r="F1352" i="16"/>
  <c r="F1351" i="16"/>
  <c r="F1350" i="16"/>
  <c r="F1349" i="16"/>
  <c r="F1348" i="16"/>
  <c r="F1347" i="16"/>
  <c r="F1346" i="16"/>
  <c r="F1345" i="16"/>
  <c r="F1344" i="16"/>
  <c r="F1343" i="16"/>
  <c r="F1342" i="16"/>
  <c r="F1341" i="16"/>
  <c r="F1340" i="16"/>
  <c r="F1339" i="16"/>
  <c r="F1338" i="16"/>
  <c r="F1337" i="16"/>
  <c r="F1336" i="16"/>
  <c r="F1335" i="16"/>
  <c r="F1334" i="16"/>
  <c r="F1333" i="16"/>
  <c r="F1332" i="16"/>
  <c r="F1331" i="16"/>
  <c r="F1330" i="16"/>
  <c r="F1329" i="16"/>
  <c r="F1328" i="16"/>
  <c r="F1327" i="16"/>
  <c r="F1326" i="16"/>
  <c r="F1325" i="16"/>
  <c r="F1324" i="16"/>
  <c r="F1323" i="16"/>
  <c r="F1322" i="16"/>
  <c r="F1321" i="16"/>
  <c r="F1320" i="16"/>
  <c r="F1319" i="16"/>
  <c r="F1318" i="16"/>
  <c r="F1317" i="16"/>
  <c r="F1316" i="16"/>
  <c r="F1315" i="16"/>
  <c r="F1314" i="16"/>
  <c r="F1313" i="16"/>
  <c r="F1312" i="16"/>
  <c r="F1311" i="16"/>
  <c r="F1310" i="16"/>
  <c r="F1309" i="16"/>
  <c r="F1308" i="16"/>
  <c r="F1307" i="16"/>
  <c r="F1306" i="16"/>
  <c r="F1305" i="16"/>
  <c r="F1304" i="16"/>
  <c r="F1303" i="16"/>
  <c r="F1302" i="16"/>
  <c r="F1301" i="16"/>
  <c r="F1300" i="16"/>
  <c r="F1299" i="16"/>
  <c r="F1298" i="16"/>
  <c r="F1297" i="16"/>
  <c r="F1296" i="16"/>
  <c r="F1295" i="16"/>
  <c r="F1294" i="16"/>
  <c r="F1293" i="16"/>
  <c r="F1292" i="16"/>
  <c r="F1291" i="16"/>
  <c r="F1290" i="16"/>
  <c r="F1289" i="16"/>
  <c r="F1288" i="16"/>
  <c r="F1287" i="16"/>
  <c r="F1286" i="16"/>
  <c r="F1285" i="16"/>
  <c r="F1284" i="16"/>
  <c r="F1283" i="16"/>
  <c r="F1282" i="16"/>
  <c r="F1281" i="16"/>
  <c r="F1280" i="16"/>
  <c r="F1279" i="16"/>
  <c r="F1278" i="16"/>
  <c r="F1277" i="16"/>
  <c r="F1276" i="16"/>
  <c r="F1275" i="16"/>
  <c r="F1274" i="16"/>
  <c r="F1273" i="16"/>
  <c r="F1272" i="16"/>
  <c r="F1271" i="16"/>
  <c r="F1270" i="16"/>
  <c r="F1269" i="16"/>
  <c r="F1268" i="16"/>
  <c r="F1267" i="16"/>
  <c r="F1266" i="16"/>
  <c r="F1265" i="16"/>
  <c r="F1264" i="16"/>
  <c r="F1263" i="16"/>
  <c r="F1262" i="16"/>
  <c r="F1261" i="16"/>
  <c r="F1260" i="16"/>
  <c r="F1259" i="16"/>
  <c r="F1258" i="16"/>
  <c r="F1257" i="16"/>
  <c r="F1256" i="16"/>
  <c r="F1255" i="16"/>
  <c r="F1254" i="16"/>
  <c r="F1253" i="16"/>
  <c r="F1252" i="16"/>
  <c r="F1251" i="16"/>
  <c r="F1250" i="16"/>
  <c r="F1249" i="16"/>
  <c r="F1248" i="16"/>
  <c r="F1247" i="16"/>
  <c r="F1246" i="16"/>
  <c r="F1245" i="16"/>
  <c r="F1244" i="16"/>
  <c r="F1243" i="16"/>
  <c r="F1242" i="16"/>
  <c r="F1241" i="16"/>
  <c r="F1240" i="16"/>
  <c r="F1239" i="16"/>
  <c r="F1238" i="16"/>
  <c r="F1237" i="16"/>
  <c r="F1236" i="16"/>
  <c r="F1235" i="16"/>
  <c r="F1234" i="16"/>
  <c r="F1233" i="16"/>
  <c r="F1232" i="16"/>
  <c r="F1231" i="16"/>
  <c r="F1230" i="16"/>
  <c r="F1229" i="16"/>
  <c r="F1228" i="16"/>
  <c r="F1227" i="16"/>
  <c r="F1226" i="16"/>
  <c r="F1225" i="16"/>
  <c r="F1224" i="16"/>
  <c r="F1223" i="16"/>
  <c r="F1222" i="16"/>
  <c r="F1221" i="16"/>
  <c r="F1220" i="16"/>
  <c r="F1219" i="16"/>
  <c r="F1218" i="16"/>
  <c r="F1217" i="16"/>
  <c r="F1216" i="16"/>
  <c r="F1215" i="16"/>
  <c r="F1214" i="16"/>
  <c r="F1213" i="16"/>
  <c r="F1212" i="16"/>
  <c r="F1211" i="16"/>
  <c r="F1210" i="16"/>
  <c r="F1209" i="16"/>
  <c r="F1208" i="16"/>
  <c r="F1207" i="16"/>
  <c r="F1206" i="16"/>
  <c r="F1205" i="16"/>
  <c r="F1204" i="16"/>
  <c r="F1203" i="16"/>
  <c r="F1202" i="16"/>
  <c r="F1201" i="16"/>
  <c r="F1200" i="16"/>
  <c r="F1199" i="16"/>
  <c r="F1198" i="16"/>
  <c r="F1197" i="16"/>
  <c r="F1196" i="16"/>
  <c r="F1195" i="16"/>
  <c r="F1194" i="16"/>
  <c r="F1193" i="16"/>
  <c r="F1192" i="16"/>
  <c r="F1191" i="16"/>
  <c r="F1190" i="16"/>
  <c r="F1189" i="16"/>
  <c r="F1188" i="16"/>
  <c r="F1187" i="16"/>
  <c r="F1186" i="16"/>
  <c r="F1185" i="16"/>
  <c r="F1184" i="16"/>
  <c r="F1183" i="16"/>
  <c r="F1182" i="16"/>
  <c r="F1181" i="16"/>
  <c r="F1180" i="16"/>
  <c r="F1179" i="16"/>
  <c r="F1178" i="16"/>
  <c r="F1177" i="16"/>
  <c r="F1176" i="16"/>
  <c r="F1175" i="16"/>
  <c r="F1174" i="16"/>
  <c r="F1173" i="16"/>
  <c r="F1172" i="16"/>
  <c r="F1171" i="16"/>
  <c r="F1170" i="16"/>
  <c r="F1169" i="16"/>
  <c r="F1168" i="16"/>
  <c r="F1167" i="16"/>
  <c r="F1166" i="16"/>
  <c r="F1165" i="16"/>
  <c r="F1164" i="16"/>
  <c r="F1163" i="16"/>
  <c r="F1162" i="16"/>
  <c r="F1161" i="16"/>
  <c r="F1160" i="16"/>
  <c r="F1159" i="16"/>
  <c r="F1158" i="16"/>
  <c r="F1157" i="16"/>
  <c r="F1156" i="16"/>
  <c r="F1155" i="16"/>
  <c r="F1154" i="16"/>
  <c r="F1153" i="16"/>
  <c r="F1152" i="16"/>
  <c r="F1151" i="16"/>
  <c r="F1150" i="16"/>
  <c r="F1149" i="16"/>
  <c r="F1148" i="16"/>
  <c r="F1147" i="16"/>
  <c r="F1146" i="16"/>
  <c r="F1145" i="16"/>
  <c r="F1144" i="16"/>
  <c r="F1143" i="16"/>
  <c r="F1142" i="16"/>
  <c r="F1141" i="16"/>
  <c r="F1140" i="16"/>
  <c r="F1139" i="16"/>
  <c r="F1138" i="16"/>
  <c r="F1137" i="16"/>
  <c r="F1136" i="16"/>
  <c r="F1135" i="16"/>
  <c r="F1134" i="16"/>
  <c r="F1133" i="16"/>
  <c r="F1132" i="16"/>
  <c r="F1131" i="16"/>
  <c r="F1130" i="16"/>
  <c r="F1129" i="16"/>
  <c r="F1128" i="16"/>
  <c r="F1127" i="16"/>
  <c r="F1126" i="16"/>
  <c r="F1125" i="16"/>
  <c r="F1124" i="16"/>
  <c r="F1123" i="16"/>
  <c r="F1122" i="16"/>
  <c r="F1121" i="16"/>
  <c r="F1120" i="16"/>
  <c r="F1119" i="16"/>
  <c r="F1118" i="16"/>
  <c r="F1117" i="16"/>
  <c r="F1116" i="16"/>
  <c r="F1115" i="16"/>
  <c r="F1114" i="16"/>
  <c r="F1113" i="16"/>
  <c r="F1112" i="16"/>
  <c r="F1111" i="16"/>
  <c r="F1110" i="16"/>
  <c r="F1109" i="16"/>
  <c r="F1108" i="16"/>
  <c r="F1107" i="16"/>
  <c r="F1106" i="16"/>
  <c r="F1105" i="16"/>
  <c r="F1104" i="16"/>
  <c r="F1103" i="16"/>
  <c r="F1102" i="16"/>
  <c r="F1101" i="16"/>
  <c r="F1100" i="16"/>
  <c r="F1099" i="16"/>
  <c r="F1098" i="16"/>
  <c r="F1097" i="16"/>
  <c r="F1096" i="16"/>
  <c r="F1095" i="16"/>
  <c r="F1094" i="16"/>
  <c r="F1093" i="16"/>
  <c r="F1092" i="16"/>
  <c r="F1091" i="16"/>
  <c r="F1090" i="16"/>
  <c r="F1089" i="16"/>
  <c r="F1088" i="16"/>
  <c r="F1087" i="16"/>
  <c r="F1086" i="16"/>
  <c r="F1085" i="16"/>
  <c r="F1084" i="16"/>
  <c r="F1083" i="16"/>
  <c r="F1082" i="16"/>
  <c r="F1081" i="16"/>
  <c r="F1080" i="16"/>
  <c r="F1079" i="16"/>
  <c r="F1078" i="16"/>
  <c r="F1077" i="16"/>
  <c r="F1076" i="16"/>
  <c r="F1075" i="16"/>
  <c r="F1074" i="16"/>
  <c r="F1073" i="16"/>
  <c r="F1072" i="16"/>
  <c r="F1071" i="16"/>
  <c r="F1070" i="16"/>
  <c r="F1069" i="16"/>
  <c r="F1068" i="16"/>
  <c r="F1067" i="16"/>
  <c r="F1066" i="16"/>
  <c r="F1065" i="16"/>
  <c r="F1064" i="16"/>
  <c r="F1063" i="16"/>
  <c r="F1062" i="16"/>
  <c r="F1061" i="16"/>
  <c r="F1060" i="16"/>
  <c r="F1059" i="16"/>
  <c r="F1058" i="16"/>
  <c r="F1057" i="16"/>
  <c r="F1056" i="16"/>
  <c r="F1055" i="16"/>
  <c r="F1054" i="16"/>
  <c r="F1053" i="16"/>
  <c r="F1052" i="16"/>
  <c r="F1051" i="16"/>
  <c r="F1050" i="16"/>
  <c r="F1049" i="16"/>
  <c r="F1048" i="16"/>
  <c r="F1047" i="16"/>
  <c r="F1046" i="16"/>
  <c r="F1045" i="16"/>
  <c r="F1044" i="16"/>
  <c r="F1043" i="16"/>
  <c r="F1042" i="16"/>
  <c r="F1041" i="16"/>
  <c r="F1040" i="16"/>
  <c r="F1039" i="16"/>
  <c r="F1038" i="16"/>
  <c r="F1037" i="16"/>
  <c r="F1036" i="16"/>
  <c r="F1035" i="16"/>
  <c r="F1034" i="16"/>
  <c r="F1033" i="16"/>
  <c r="F1032" i="16"/>
  <c r="F1031" i="16"/>
  <c r="F1030" i="16"/>
  <c r="F1029" i="16"/>
  <c r="F1028" i="16"/>
  <c r="F1027" i="16"/>
  <c r="F1026" i="16"/>
  <c r="F1025" i="16"/>
  <c r="F1024" i="16"/>
  <c r="F1023" i="16"/>
  <c r="F1022" i="16"/>
  <c r="F1021" i="16"/>
  <c r="F1020" i="16"/>
  <c r="F1019" i="16"/>
  <c r="F1018" i="16"/>
  <c r="F1017" i="16"/>
  <c r="F1016" i="16"/>
  <c r="F1015" i="16"/>
  <c r="F1014" i="16"/>
  <c r="F1013" i="16"/>
  <c r="F1012" i="16"/>
  <c r="F1011" i="16"/>
  <c r="F1010" i="16"/>
  <c r="F1009" i="16"/>
  <c r="F1008" i="16"/>
  <c r="F1007" i="16"/>
  <c r="F1006" i="16"/>
  <c r="F1005" i="16"/>
  <c r="F1004" i="16"/>
  <c r="F1003" i="16"/>
  <c r="F1002" i="16"/>
  <c r="F1001" i="16"/>
  <c r="F1000" i="16"/>
  <c r="F999" i="16"/>
  <c r="F998" i="16"/>
  <c r="F997" i="16"/>
  <c r="F996" i="16"/>
  <c r="F995" i="16"/>
  <c r="F994" i="16"/>
  <c r="F993" i="16"/>
  <c r="F992" i="16"/>
  <c r="F991" i="16"/>
  <c r="F990" i="16"/>
  <c r="F989" i="16"/>
  <c r="F988" i="16"/>
  <c r="F987" i="16"/>
  <c r="F986" i="16"/>
  <c r="F985" i="16"/>
  <c r="F984" i="16"/>
  <c r="F983" i="16"/>
  <c r="F982" i="16"/>
  <c r="F981" i="16"/>
  <c r="F980" i="16"/>
  <c r="F979" i="16"/>
  <c r="F978" i="16"/>
  <c r="F977" i="16"/>
  <c r="F976" i="16"/>
  <c r="F975" i="16"/>
  <c r="F974" i="16"/>
  <c r="F973" i="16"/>
  <c r="F972" i="16"/>
  <c r="F971" i="16"/>
  <c r="F970" i="16"/>
  <c r="F969" i="16"/>
  <c r="F968" i="16"/>
  <c r="F967" i="16"/>
  <c r="F966" i="16"/>
  <c r="F965" i="16"/>
  <c r="F964" i="16"/>
  <c r="F963" i="16"/>
  <c r="F962" i="16"/>
  <c r="F961" i="16"/>
  <c r="F960" i="16"/>
  <c r="F959" i="16"/>
  <c r="F958" i="16"/>
  <c r="F957" i="16"/>
  <c r="F956" i="16"/>
  <c r="F955" i="16"/>
  <c r="F954" i="16"/>
  <c r="F953" i="16"/>
  <c r="F952" i="16"/>
  <c r="F951" i="16"/>
  <c r="F950" i="16"/>
  <c r="F949" i="16"/>
  <c r="F948" i="16"/>
  <c r="F947" i="16"/>
  <c r="F946" i="16"/>
  <c r="F945" i="16"/>
  <c r="F944" i="16"/>
  <c r="F943" i="16"/>
  <c r="F942" i="16"/>
  <c r="F941" i="16"/>
  <c r="F940" i="16"/>
  <c r="F939" i="16"/>
  <c r="F938" i="16"/>
  <c r="F937" i="16"/>
  <c r="F936" i="16"/>
  <c r="F935" i="16"/>
  <c r="F934" i="16"/>
  <c r="F933" i="16"/>
  <c r="F932" i="16"/>
  <c r="F931" i="16"/>
  <c r="F930" i="16"/>
  <c r="F929" i="16"/>
  <c r="F928" i="16"/>
  <c r="F927" i="16"/>
  <c r="F926" i="16"/>
  <c r="F925" i="16"/>
  <c r="F924" i="16"/>
  <c r="F923" i="16"/>
  <c r="F922" i="16"/>
  <c r="F921" i="16"/>
  <c r="F920" i="16"/>
  <c r="F919" i="16"/>
  <c r="F918" i="16"/>
  <c r="F917" i="16"/>
  <c r="F916" i="16"/>
  <c r="F915" i="16"/>
  <c r="F914" i="16"/>
  <c r="F913" i="16"/>
  <c r="F912" i="16"/>
  <c r="F911" i="16"/>
  <c r="F910" i="16"/>
  <c r="F909" i="16"/>
  <c r="F908" i="16"/>
  <c r="F907" i="16"/>
  <c r="F906" i="16"/>
  <c r="F905" i="16"/>
  <c r="F904" i="16"/>
  <c r="F903" i="16"/>
  <c r="F902" i="16"/>
  <c r="F901" i="16"/>
  <c r="F900" i="16"/>
  <c r="F899" i="16"/>
  <c r="F898" i="16"/>
  <c r="F897" i="16"/>
  <c r="F896" i="16"/>
  <c r="F895" i="16"/>
  <c r="F894" i="16"/>
  <c r="F893" i="16"/>
  <c r="F892" i="16"/>
  <c r="F891" i="16"/>
  <c r="F890" i="16"/>
  <c r="F889" i="16"/>
  <c r="F888" i="16"/>
  <c r="F887" i="16"/>
  <c r="F886" i="16"/>
  <c r="F885" i="16"/>
  <c r="F884" i="16"/>
  <c r="F883" i="16"/>
  <c r="F882" i="16"/>
  <c r="F881" i="16"/>
  <c r="F880" i="16"/>
  <c r="F879" i="16"/>
  <c r="F878" i="16"/>
  <c r="F877" i="16"/>
  <c r="F876" i="16"/>
  <c r="F875" i="16"/>
  <c r="F874" i="16"/>
  <c r="F873" i="16"/>
  <c r="F872" i="16"/>
  <c r="F871" i="16"/>
  <c r="F870" i="16"/>
  <c r="F869" i="16"/>
  <c r="F868" i="16"/>
  <c r="F867" i="16"/>
  <c r="F866" i="16"/>
  <c r="F865" i="16"/>
  <c r="F864" i="16"/>
  <c r="F863" i="16"/>
  <c r="F862" i="16"/>
  <c r="F861" i="16"/>
  <c r="F860" i="16"/>
  <c r="F859" i="16"/>
  <c r="F858" i="16"/>
  <c r="F857" i="16"/>
  <c r="F856" i="16"/>
  <c r="F855" i="16"/>
  <c r="F854" i="16"/>
  <c r="F853" i="16"/>
  <c r="F852" i="16"/>
  <c r="F851" i="16"/>
  <c r="F850" i="16"/>
  <c r="F849" i="16"/>
  <c r="F848" i="16"/>
  <c r="F847" i="16"/>
  <c r="F846" i="16"/>
  <c r="F845" i="16"/>
  <c r="F844" i="16"/>
  <c r="F843" i="16"/>
  <c r="F842" i="16"/>
  <c r="F841" i="16"/>
  <c r="F840" i="16"/>
  <c r="F839" i="16"/>
  <c r="F838" i="16"/>
  <c r="F837" i="16"/>
  <c r="F836" i="16"/>
  <c r="F835" i="16"/>
  <c r="F834" i="16"/>
  <c r="F833" i="16"/>
  <c r="F832" i="16"/>
  <c r="F831" i="16"/>
  <c r="F830" i="16"/>
  <c r="F829" i="16"/>
  <c r="F828" i="16"/>
  <c r="F827" i="16"/>
  <c r="F826" i="16"/>
  <c r="F825" i="16"/>
  <c r="F824" i="16"/>
  <c r="F823" i="16"/>
  <c r="F822" i="16"/>
  <c r="F821" i="16"/>
  <c r="F820" i="16"/>
  <c r="F819" i="16"/>
  <c r="F818" i="16"/>
  <c r="F817" i="16"/>
  <c r="F816" i="16"/>
  <c r="F815" i="16"/>
  <c r="F814" i="16"/>
  <c r="F813" i="16"/>
  <c r="F812" i="16"/>
  <c r="F811" i="16"/>
  <c r="F810" i="16"/>
  <c r="F809" i="16"/>
  <c r="F808" i="16"/>
  <c r="F807" i="16"/>
  <c r="F806" i="16"/>
  <c r="F805" i="16"/>
  <c r="F804" i="16"/>
  <c r="F803" i="16"/>
  <c r="F802" i="16"/>
  <c r="F801" i="16"/>
  <c r="F800" i="16"/>
  <c r="F799" i="16"/>
  <c r="F798" i="16"/>
  <c r="F797" i="16"/>
  <c r="F796" i="16"/>
  <c r="F795" i="16"/>
  <c r="F794" i="16"/>
  <c r="F793" i="16"/>
  <c r="F792" i="16"/>
  <c r="F791" i="16"/>
  <c r="F790" i="16"/>
  <c r="F789" i="16"/>
  <c r="F788" i="16"/>
  <c r="F787" i="16"/>
  <c r="F786" i="16"/>
  <c r="F785" i="16"/>
  <c r="F784" i="16"/>
  <c r="F783" i="16"/>
  <c r="F782" i="16"/>
  <c r="F781" i="16"/>
  <c r="F780" i="16"/>
  <c r="F779" i="16"/>
  <c r="F778" i="16"/>
  <c r="F777" i="16"/>
  <c r="F776" i="16"/>
  <c r="F775" i="16"/>
  <c r="F774" i="16"/>
  <c r="F773" i="16"/>
  <c r="F772" i="16"/>
  <c r="F771" i="16"/>
  <c r="F770" i="16"/>
  <c r="F769" i="16"/>
  <c r="F768" i="16"/>
  <c r="F767" i="16"/>
  <c r="F766" i="16"/>
  <c r="F765" i="16"/>
  <c r="F764" i="16"/>
  <c r="F763" i="16"/>
  <c r="F762" i="16"/>
  <c r="F761" i="16"/>
  <c r="F760" i="16"/>
  <c r="F759" i="16"/>
  <c r="F758" i="16"/>
  <c r="F757" i="16"/>
  <c r="F756" i="16"/>
  <c r="F755" i="16"/>
  <c r="F754" i="16"/>
  <c r="F753" i="16"/>
  <c r="F752" i="16"/>
  <c r="F751" i="16"/>
  <c r="F750" i="16"/>
  <c r="F749" i="16"/>
  <c r="F748" i="16"/>
  <c r="F747" i="16"/>
  <c r="F746" i="16"/>
  <c r="F745" i="16"/>
  <c r="F744" i="16"/>
  <c r="F743" i="16"/>
  <c r="F742" i="16"/>
  <c r="F741" i="16"/>
  <c r="F740" i="16"/>
  <c r="F739" i="16"/>
  <c r="F738" i="16"/>
  <c r="F737" i="16"/>
  <c r="F736" i="16"/>
  <c r="F735" i="16"/>
  <c r="F734" i="16"/>
  <c r="F733" i="16"/>
  <c r="F732" i="16"/>
  <c r="F731" i="16"/>
  <c r="F730" i="16"/>
  <c r="F729" i="16"/>
  <c r="F728" i="16"/>
  <c r="F727" i="16"/>
  <c r="F726" i="16"/>
  <c r="F725" i="16"/>
  <c r="F724" i="16"/>
  <c r="F723" i="16"/>
  <c r="F722" i="16"/>
  <c r="F721" i="16"/>
  <c r="F720" i="16"/>
  <c r="F719" i="16"/>
  <c r="F718" i="16"/>
  <c r="F717" i="16"/>
  <c r="F716" i="16"/>
  <c r="F715" i="16"/>
  <c r="F714" i="16"/>
  <c r="F713" i="16"/>
  <c r="F712" i="16"/>
  <c r="F711" i="16"/>
  <c r="F710" i="16"/>
  <c r="F709" i="16"/>
  <c r="F708" i="16"/>
  <c r="F707" i="16"/>
  <c r="F706" i="16"/>
  <c r="F705" i="16"/>
  <c r="F704" i="16"/>
  <c r="F703" i="16"/>
  <c r="F702" i="16"/>
  <c r="F701" i="16"/>
  <c r="F700" i="16"/>
  <c r="F699" i="16"/>
  <c r="F698" i="16"/>
  <c r="F697" i="16"/>
  <c r="F696" i="16"/>
  <c r="F695" i="16"/>
  <c r="F694" i="16"/>
  <c r="F693" i="16"/>
  <c r="F692" i="16"/>
  <c r="F691" i="16"/>
  <c r="F690" i="16"/>
  <c r="F689" i="16"/>
  <c r="F688" i="16"/>
  <c r="F687" i="16"/>
  <c r="F686" i="16"/>
  <c r="F685" i="16"/>
  <c r="F684" i="16"/>
  <c r="F683" i="16"/>
  <c r="F682" i="16"/>
  <c r="F681" i="16"/>
  <c r="F680" i="16"/>
  <c r="F679" i="16"/>
  <c r="F678" i="16"/>
  <c r="F677" i="16"/>
  <c r="F676" i="16"/>
  <c r="F675" i="16"/>
  <c r="F674" i="16"/>
  <c r="F673" i="16"/>
  <c r="F672" i="16"/>
  <c r="F671" i="16"/>
  <c r="F670" i="16"/>
  <c r="F669" i="16"/>
  <c r="F668" i="16"/>
  <c r="F667" i="16"/>
  <c r="F666" i="16"/>
  <c r="F665" i="16"/>
  <c r="F664" i="16"/>
  <c r="F663" i="16"/>
  <c r="F662" i="16"/>
  <c r="F661" i="16"/>
  <c r="F660" i="16"/>
  <c r="F659" i="16"/>
  <c r="F658" i="16"/>
  <c r="F657" i="16"/>
  <c r="F656" i="16"/>
  <c r="F655" i="16"/>
  <c r="F654" i="16"/>
  <c r="F653" i="16"/>
  <c r="F652" i="16"/>
  <c r="F651" i="16"/>
  <c r="F650" i="16"/>
  <c r="F649" i="16"/>
  <c r="F648" i="16"/>
  <c r="F647" i="16"/>
  <c r="F646" i="16"/>
  <c r="F645" i="16"/>
  <c r="F644" i="16"/>
  <c r="F643" i="16"/>
  <c r="F642" i="16"/>
  <c r="F641" i="16"/>
  <c r="F640" i="16"/>
  <c r="F639" i="16"/>
  <c r="F638" i="16"/>
  <c r="F637" i="16"/>
  <c r="F636" i="16"/>
  <c r="F635" i="16"/>
  <c r="F634" i="16"/>
  <c r="F633" i="16"/>
  <c r="F632" i="16"/>
  <c r="F631" i="16"/>
  <c r="F630" i="16"/>
  <c r="F629" i="16"/>
  <c r="F628" i="16"/>
  <c r="F627" i="16"/>
  <c r="F626" i="16"/>
  <c r="F625" i="16"/>
  <c r="F624" i="16"/>
  <c r="F623" i="16"/>
  <c r="F622" i="16"/>
  <c r="F621" i="16"/>
  <c r="F620" i="16"/>
  <c r="F619" i="16"/>
  <c r="F618" i="16"/>
  <c r="F617" i="16"/>
  <c r="F616" i="16"/>
  <c r="F615" i="16"/>
  <c r="F614" i="16"/>
  <c r="F613" i="16"/>
  <c r="F612" i="16"/>
  <c r="F611" i="16"/>
  <c r="F610" i="16"/>
  <c r="F609" i="16"/>
  <c r="F608" i="16"/>
  <c r="F607" i="16"/>
  <c r="F606" i="16"/>
  <c r="F605" i="16"/>
  <c r="F604" i="16"/>
  <c r="F603" i="16"/>
  <c r="F602" i="16"/>
  <c r="F601" i="16"/>
  <c r="F600" i="16"/>
  <c r="F599" i="16"/>
  <c r="F598" i="16"/>
  <c r="F597" i="16"/>
  <c r="F596" i="16"/>
  <c r="F595" i="16"/>
  <c r="F594" i="16"/>
  <c r="F593" i="16"/>
  <c r="F592" i="16"/>
  <c r="F591" i="16"/>
  <c r="F590" i="16"/>
  <c r="F589" i="16"/>
  <c r="F588" i="16"/>
  <c r="F587" i="16"/>
  <c r="F586" i="16"/>
  <c r="F585" i="16"/>
  <c r="F584" i="16"/>
  <c r="F583" i="16"/>
  <c r="F582" i="16"/>
  <c r="F581" i="16"/>
  <c r="F580" i="16"/>
  <c r="F579" i="16"/>
  <c r="F578" i="16"/>
  <c r="F577" i="16"/>
  <c r="F576" i="16"/>
  <c r="F575" i="16"/>
  <c r="F574" i="16"/>
  <c r="F573" i="16"/>
  <c r="O2615" i="16"/>
  <c r="O2613" i="16"/>
  <c r="O2612" i="16"/>
  <c r="O2611" i="16"/>
  <c r="O2610" i="16"/>
  <c r="O2608" i="16"/>
  <c r="O2607" i="16"/>
  <c r="O2606" i="16"/>
  <c r="O2605" i="16"/>
  <c r="O2604" i="16"/>
  <c r="O2603" i="16"/>
  <c r="O2602" i="16"/>
  <c r="O2601" i="16"/>
  <c r="O2600" i="16"/>
  <c r="O2599" i="16"/>
  <c r="O2598" i="16"/>
  <c r="O2597" i="16"/>
  <c r="O2596" i="16"/>
  <c r="O2595" i="16"/>
  <c r="O2594" i="16"/>
  <c r="O2593" i="16"/>
  <c r="O2592" i="16"/>
  <c r="O2591" i="16"/>
  <c r="O2590" i="16"/>
  <c r="O2589" i="16"/>
  <c r="O2588" i="16"/>
  <c r="O2587" i="16"/>
  <c r="O2586" i="16"/>
  <c r="O2585" i="16"/>
  <c r="O2584" i="16"/>
  <c r="O2583" i="16"/>
  <c r="O2582" i="16"/>
  <c r="O2581" i="16"/>
  <c r="O2580" i="16"/>
  <c r="O2579" i="16"/>
  <c r="O2578" i="16"/>
  <c r="O2577" i="16"/>
  <c r="O2576" i="16"/>
  <c r="O2575" i="16"/>
  <c r="O2574" i="16"/>
  <c r="O2573" i="16"/>
  <c r="O2572" i="16"/>
  <c r="O2571" i="16"/>
  <c r="O2570" i="16"/>
  <c r="O2569" i="16"/>
  <c r="O2568" i="16"/>
  <c r="O2567" i="16"/>
  <c r="O2566" i="16"/>
  <c r="O2565" i="16"/>
  <c r="O2564" i="16"/>
  <c r="O2563" i="16"/>
  <c r="O2562" i="16"/>
  <c r="O2561" i="16"/>
  <c r="O2560" i="16"/>
  <c r="O2559" i="16"/>
  <c r="O2558" i="16"/>
  <c r="O2557" i="16"/>
  <c r="O2556" i="16"/>
  <c r="O2555" i="16"/>
  <c r="O2554" i="16"/>
  <c r="O2553" i="16"/>
  <c r="O2552" i="16"/>
  <c r="O2551" i="16"/>
  <c r="O2550" i="16"/>
  <c r="O2549" i="16"/>
  <c r="O2548" i="16"/>
  <c r="O2547" i="16"/>
  <c r="O2546" i="16"/>
  <c r="O2545" i="16"/>
  <c r="O2544" i="16"/>
  <c r="O2543" i="16"/>
  <c r="O2542" i="16"/>
  <c r="O2541" i="16"/>
  <c r="O2540" i="16"/>
  <c r="O2539" i="16"/>
  <c r="O2538" i="16"/>
  <c r="O2537" i="16"/>
  <c r="O2536" i="16"/>
  <c r="O2535" i="16"/>
  <c r="O2534" i="16"/>
  <c r="O2533" i="16"/>
  <c r="O2532" i="16"/>
  <c r="O2531" i="16"/>
  <c r="O2530" i="16"/>
  <c r="O2529" i="16"/>
  <c r="O2528" i="16"/>
  <c r="O2527" i="16"/>
  <c r="O2526" i="16"/>
  <c r="O2525" i="16"/>
  <c r="O2524" i="16"/>
  <c r="O2523" i="16"/>
  <c r="O2522" i="16"/>
  <c r="O2521" i="16"/>
  <c r="O2520" i="16"/>
  <c r="O2519" i="16"/>
  <c r="O2518" i="16"/>
  <c r="O2517" i="16"/>
  <c r="O2516" i="16"/>
  <c r="O2515" i="16"/>
  <c r="O2514" i="16"/>
  <c r="O2513" i="16"/>
  <c r="O2512" i="16"/>
  <c r="O2511" i="16"/>
  <c r="O2509" i="16"/>
  <c r="O2508" i="16"/>
  <c r="O2507" i="16"/>
  <c r="O2506" i="16"/>
  <c r="O2505" i="16"/>
  <c r="O2504" i="16"/>
  <c r="O2503" i="16"/>
  <c r="O2502" i="16"/>
  <c r="O2501" i="16"/>
  <c r="O2500" i="16"/>
  <c r="O2499" i="16"/>
  <c r="O2498" i="16"/>
  <c r="O2497" i="16"/>
  <c r="O2496" i="16"/>
  <c r="O2495" i="16"/>
  <c r="O2494" i="16"/>
  <c r="O2493" i="16"/>
  <c r="O2492" i="16"/>
  <c r="O2491" i="16"/>
  <c r="O2490" i="16"/>
  <c r="O2489" i="16"/>
  <c r="O2488" i="16"/>
  <c r="O2487" i="16"/>
  <c r="O2486" i="16"/>
  <c r="O2485" i="16"/>
  <c r="O2484" i="16"/>
  <c r="O2483" i="16"/>
  <c r="O2482" i="16"/>
  <c r="O2481" i="16"/>
  <c r="O2480" i="16"/>
  <c r="O2479" i="16"/>
  <c r="O2478" i="16"/>
  <c r="O2477" i="16"/>
  <c r="O2476" i="16"/>
  <c r="O2475" i="16"/>
  <c r="O2474" i="16"/>
  <c r="O2473" i="16"/>
  <c r="O2472" i="16"/>
  <c r="O2471" i="16"/>
  <c r="O2470" i="16"/>
  <c r="O2469" i="16"/>
  <c r="O2468" i="16"/>
  <c r="O2467" i="16"/>
  <c r="O2466" i="16"/>
  <c r="O2465" i="16"/>
  <c r="O2464" i="16"/>
  <c r="O2463" i="16"/>
  <c r="O2462" i="16"/>
  <c r="O2461" i="16"/>
  <c r="O2460" i="16"/>
  <c r="O2459" i="16"/>
  <c r="O2458" i="16"/>
  <c r="O2457" i="16"/>
  <c r="O2456" i="16"/>
  <c r="O2455" i="16"/>
  <c r="O2454" i="16"/>
  <c r="O2453" i="16"/>
  <c r="O2452" i="16"/>
  <c r="O2451" i="16"/>
  <c r="O2450" i="16"/>
  <c r="O2449" i="16"/>
  <c r="O2448" i="16"/>
  <c r="O2447" i="16"/>
  <c r="O2446" i="16"/>
  <c r="O2445" i="16"/>
  <c r="O2444" i="16"/>
  <c r="O2443" i="16"/>
  <c r="O2442" i="16"/>
  <c r="O2441" i="16"/>
  <c r="O2440" i="16"/>
  <c r="O2439" i="16"/>
  <c r="O2438" i="16"/>
  <c r="O2437" i="16"/>
  <c r="O2436" i="16"/>
  <c r="O2435" i="16"/>
  <c r="O2434" i="16"/>
  <c r="O2433" i="16"/>
  <c r="O2432" i="16"/>
  <c r="O2431" i="16"/>
  <c r="O2430" i="16"/>
  <c r="O2429" i="16"/>
  <c r="O2428" i="16"/>
  <c r="O2427" i="16"/>
  <c r="O2426" i="16"/>
  <c r="O2425" i="16"/>
  <c r="O2424" i="16"/>
  <c r="O2423" i="16"/>
  <c r="O2422" i="16"/>
  <c r="O2421" i="16"/>
  <c r="O2420" i="16"/>
  <c r="O2419" i="16"/>
  <c r="O2418" i="16"/>
  <c r="O2417" i="16"/>
  <c r="O2416" i="16"/>
  <c r="O2415" i="16"/>
  <c r="O2414" i="16"/>
  <c r="O2413" i="16"/>
  <c r="O2412" i="16"/>
  <c r="O2411" i="16"/>
  <c r="O2410" i="16"/>
  <c r="O2409" i="16"/>
  <c r="O2408" i="16"/>
  <c r="O2407" i="16"/>
  <c r="O2406" i="16"/>
  <c r="O2405" i="16"/>
  <c r="O2404" i="16"/>
  <c r="O2403" i="16"/>
  <c r="O2402" i="16"/>
  <c r="O2401" i="16"/>
  <c r="O2400" i="16"/>
  <c r="O2399" i="16"/>
  <c r="O2398" i="16"/>
  <c r="O2397" i="16"/>
  <c r="O2396" i="16"/>
  <c r="O2395" i="16"/>
  <c r="O2394" i="16"/>
  <c r="O2393" i="16"/>
  <c r="O2392" i="16"/>
  <c r="O2391" i="16"/>
  <c r="O2390" i="16"/>
  <c r="O2389" i="16"/>
  <c r="O2388" i="16"/>
  <c r="O2387" i="16"/>
  <c r="O2386" i="16"/>
  <c r="O2385" i="16"/>
  <c r="O2384" i="16"/>
  <c r="O2383" i="16"/>
  <c r="O2382" i="16"/>
  <c r="O2381" i="16"/>
  <c r="O2380" i="16"/>
  <c r="O2379" i="16"/>
  <c r="O2378" i="16"/>
  <c r="O2377" i="16"/>
  <c r="O2376" i="16"/>
  <c r="O2375" i="16"/>
  <c r="O2374" i="16"/>
  <c r="O2373" i="16"/>
  <c r="O2372" i="16"/>
  <c r="O2371" i="16"/>
  <c r="O2370" i="16"/>
  <c r="O2369" i="16"/>
  <c r="O2368" i="16"/>
  <c r="O2367" i="16"/>
  <c r="O2366" i="16"/>
  <c r="O2365" i="16"/>
  <c r="O2364" i="16"/>
  <c r="O2363" i="16"/>
  <c r="O2362" i="16"/>
  <c r="O2361" i="16"/>
  <c r="O2360" i="16"/>
  <c r="O2359" i="16"/>
  <c r="O2358" i="16"/>
  <c r="O2357" i="16"/>
  <c r="O2356" i="16"/>
  <c r="O2355" i="16"/>
  <c r="O2354" i="16"/>
  <c r="O2353" i="16"/>
  <c r="O2352" i="16"/>
  <c r="O2351" i="16"/>
  <c r="O2350" i="16"/>
  <c r="O2349" i="16"/>
  <c r="O2348" i="16"/>
  <c r="O2347" i="16"/>
  <c r="O2346" i="16"/>
  <c r="O2345" i="16"/>
  <c r="O2344" i="16"/>
  <c r="O2343" i="16"/>
  <c r="O2342" i="16"/>
  <c r="O2341" i="16"/>
  <c r="O2340" i="16"/>
  <c r="O2339" i="16"/>
  <c r="O2338" i="16"/>
  <c r="O2337" i="16"/>
  <c r="O2336" i="16"/>
  <c r="O2335" i="16"/>
  <c r="O2334" i="16"/>
  <c r="O2333" i="16"/>
  <c r="O2332" i="16"/>
  <c r="O2331" i="16"/>
  <c r="O2330" i="16"/>
  <c r="O2329" i="16"/>
  <c r="O2328" i="16"/>
  <c r="O2327" i="16"/>
  <c r="O2326" i="16"/>
  <c r="O2325" i="16"/>
  <c r="O2324" i="16"/>
  <c r="O2323" i="16"/>
  <c r="O2322" i="16"/>
  <c r="O2321" i="16"/>
  <c r="O2320" i="16"/>
  <c r="O2319" i="16"/>
  <c r="O2318" i="16"/>
  <c r="O2317" i="16"/>
  <c r="O2316" i="16"/>
  <c r="O2315" i="16"/>
  <c r="O2314" i="16"/>
  <c r="O2313" i="16"/>
  <c r="O2312" i="16"/>
  <c r="O2311" i="16"/>
  <c r="O2310" i="16"/>
  <c r="O2309" i="16"/>
  <c r="O2308" i="16"/>
  <c r="O2307" i="16"/>
  <c r="O2306" i="16"/>
  <c r="O2305" i="16"/>
  <c r="O2304" i="16"/>
  <c r="O2303" i="16"/>
  <c r="O2302" i="16"/>
  <c r="O2301" i="16"/>
  <c r="O2300" i="16"/>
  <c r="O2299" i="16"/>
  <c r="O2298" i="16"/>
  <c r="O2297" i="16"/>
  <c r="O2296" i="16"/>
  <c r="O2295" i="16"/>
  <c r="O2294" i="16"/>
  <c r="O2293" i="16"/>
  <c r="O2292" i="16"/>
  <c r="O2291" i="16"/>
  <c r="O2290" i="16"/>
  <c r="O2289" i="16"/>
  <c r="O2288" i="16"/>
  <c r="O2287" i="16"/>
  <c r="O2286" i="16"/>
  <c r="O2285" i="16"/>
  <c r="O2284" i="16"/>
  <c r="O2283" i="16"/>
  <c r="O2282" i="16"/>
  <c r="O2281" i="16"/>
  <c r="O2280" i="16"/>
  <c r="O2279" i="16"/>
  <c r="O2278" i="16"/>
  <c r="O2277" i="16"/>
  <c r="O2276" i="16"/>
  <c r="O2275" i="16"/>
  <c r="O2274" i="16"/>
  <c r="O2273" i="16"/>
  <c r="O2272" i="16"/>
  <c r="O2271" i="16"/>
  <c r="O2270" i="16"/>
  <c r="O2269" i="16"/>
  <c r="O2268" i="16"/>
  <c r="O2267" i="16"/>
  <c r="O2266" i="16"/>
  <c r="O2265" i="16"/>
  <c r="O2264" i="16"/>
  <c r="O2263" i="16"/>
  <c r="O2262" i="16"/>
  <c r="O2261" i="16"/>
  <c r="O2260" i="16"/>
  <c r="O2259" i="16"/>
  <c r="O2258" i="16"/>
  <c r="O2257" i="16"/>
  <c r="O2256" i="16"/>
  <c r="O2255" i="16"/>
  <c r="O2254" i="16"/>
  <c r="O2253" i="16"/>
  <c r="O2252" i="16"/>
  <c r="O2251" i="16"/>
  <c r="O2250" i="16"/>
  <c r="O2249" i="16"/>
  <c r="O2248" i="16"/>
  <c r="O2247" i="16"/>
  <c r="O2246" i="16"/>
  <c r="O2245" i="16"/>
  <c r="O2244" i="16"/>
  <c r="O2243" i="16"/>
  <c r="O2242" i="16"/>
  <c r="O2241" i="16"/>
  <c r="O2240" i="16"/>
  <c r="O2239" i="16"/>
  <c r="O2238" i="16"/>
  <c r="O2237" i="16"/>
  <c r="O2236" i="16"/>
  <c r="O2235" i="16"/>
  <c r="O2234" i="16"/>
  <c r="O2233" i="16"/>
  <c r="O2232" i="16"/>
  <c r="O2231" i="16"/>
  <c r="O2230" i="16"/>
  <c r="O2229" i="16"/>
  <c r="O2228" i="16"/>
  <c r="O2227" i="16"/>
  <c r="O2226" i="16"/>
  <c r="O2225" i="16"/>
  <c r="O2224" i="16"/>
  <c r="O2223" i="16"/>
  <c r="O2222" i="16"/>
  <c r="O2221" i="16"/>
  <c r="O2220" i="16"/>
  <c r="O2219" i="16"/>
  <c r="O2218" i="16"/>
  <c r="O2217" i="16"/>
  <c r="O2216" i="16"/>
  <c r="O2215" i="16"/>
  <c r="O2214" i="16"/>
  <c r="O2213" i="16"/>
  <c r="O2212" i="16"/>
  <c r="O2211" i="16"/>
  <c r="O2210" i="16"/>
  <c r="O2209" i="16"/>
  <c r="O2208" i="16"/>
  <c r="O2207" i="16"/>
  <c r="O2206" i="16"/>
  <c r="O2205" i="16"/>
  <c r="O2204" i="16"/>
  <c r="O2203" i="16"/>
  <c r="O2202" i="16"/>
  <c r="O2201" i="16"/>
  <c r="O2200" i="16"/>
  <c r="O2199" i="16"/>
  <c r="O2198" i="16"/>
  <c r="O2197" i="16"/>
  <c r="O2196" i="16"/>
  <c r="O2195" i="16"/>
  <c r="O2194" i="16"/>
  <c r="O2193" i="16"/>
  <c r="O2192" i="16"/>
  <c r="O2191" i="16"/>
  <c r="O2190" i="16"/>
  <c r="O2189" i="16"/>
  <c r="O2188" i="16"/>
  <c r="O2187" i="16"/>
  <c r="O2186" i="16"/>
  <c r="O2185" i="16"/>
  <c r="O2184" i="16"/>
  <c r="O2183" i="16"/>
  <c r="O2182" i="16"/>
  <c r="O2181" i="16"/>
  <c r="O2180" i="16"/>
  <c r="O2179" i="16"/>
  <c r="O2178" i="16"/>
  <c r="O2177" i="16"/>
  <c r="O2176" i="16"/>
  <c r="O2175" i="16"/>
  <c r="O2174" i="16"/>
  <c r="O2173" i="16"/>
  <c r="O2172" i="16"/>
  <c r="O2171" i="16"/>
  <c r="O2170" i="16"/>
  <c r="O2169" i="16"/>
  <c r="O2168" i="16"/>
  <c r="O2167" i="16"/>
  <c r="O2166" i="16"/>
  <c r="O2165" i="16"/>
  <c r="O2164" i="16"/>
  <c r="O2163" i="16"/>
  <c r="O2162" i="16"/>
  <c r="O2161" i="16"/>
  <c r="O2160" i="16"/>
  <c r="O2159" i="16"/>
  <c r="O2158" i="16"/>
  <c r="O2157" i="16"/>
  <c r="O2156" i="16"/>
  <c r="O2155" i="16"/>
  <c r="O2154" i="16"/>
  <c r="O2153" i="16"/>
  <c r="O2152" i="16"/>
  <c r="O2151" i="16"/>
  <c r="O2150" i="16"/>
  <c r="O2149" i="16"/>
  <c r="O2148" i="16"/>
  <c r="O2147" i="16"/>
  <c r="O2146" i="16"/>
  <c r="O2145" i="16"/>
  <c r="O2144" i="16"/>
  <c r="O2143" i="16"/>
  <c r="O2142" i="16"/>
  <c r="O2141" i="16"/>
  <c r="O2140" i="16"/>
  <c r="O2139" i="16"/>
  <c r="O2138" i="16"/>
  <c r="O2137" i="16"/>
  <c r="O2136" i="16"/>
  <c r="O2135" i="16"/>
  <c r="O2134" i="16"/>
  <c r="O2133" i="16"/>
  <c r="O2132" i="16"/>
  <c r="O2131" i="16"/>
  <c r="O2130" i="16"/>
  <c r="O2129" i="16"/>
  <c r="O2128" i="16"/>
  <c r="O2127" i="16"/>
  <c r="O2126" i="16"/>
  <c r="O2125" i="16"/>
  <c r="O2124" i="16"/>
  <c r="O2123" i="16"/>
  <c r="O2122" i="16"/>
  <c r="O2121" i="16"/>
  <c r="O2120" i="16"/>
  <c r="O2119" i="16"/>
  <c r="O2118" i="16"/>
  <c r="O2117" i="16"/>
  <c r="O2116" i="16"/>
  <c r="O2115" i="16"/>
  <c r="O2114" i="16"/>
  <c r="O2113" i="16"/>
  <c r="O2112" i="16"/>
  <c r="O2111" i="16"/>
  <c r="O2110" i="16"/>
  <c r="O2109" i="16"/>
  <c r="O2108" i="16"/>
  <c r="O2107" i="16"/>
  <c r="O2106" i="16"/>
  <c r="O2105" i="16"/>
  <c r="O2104" i="16"/>
  <c r="O2103" i="16"/>
  <c r="O2102" i="16"/>
  <c r="O2101" i="16"/>
  <c r="O2100" i="16"/>
  <c r="O2099" i="16"/>
  <c r="O2098" i="16"/>
  <c r="O2097" i="16"/>
  <c r="O2096" i="16"/>
  <c r="O2095" i="16"/>
  <c r="O2094" i="16"/>
  <c r="O2093" i="16"/>
  <c r="O2092" i="16"/>
  <c r="O2091" i="16"/>
  <c r="O2090" i="16"/>
  <c r="O2089" i="16"/>
  <c r="O2088" i="16"/>
  <c r="O2087" i="16"/>
  <c r="O2086" i="16"/>
  <c r="O2085" i="16"/>
  <c r="O2084" i="16"/>
  <c r="O2083" i="16"/>
  <c r="O2082" i="16"/>
  <c r="O2081" i="16"/>
  <c r="O2080" i="16"/>
  <c r="O2079" i="16"/>
  <c r="O2078" i="16"/>
  <c r="O2077" i="16"/>
  <c r="O2076" i="16"/>
  <c r="O2075" i="16"/>
  <c r="O2074" i="16"/>
  <c r="O2073" i="16"/>
  <c r="O2072" i="16"/>
  <c r="O2071" i="16"/>
  <c r="O2070" i="16"/>
  <c r="O2069" i="16"/>
  <c r="O2068" i="16"/>
  <c r="O2067" i="16"/>
  <c r="O2066" i="16"/>
  <c r="O2065" i="16"/>
  <c r="O2064" i="16"/>
  <c r="O2063" i="16"/>
  <c r="O2062" i="16"/>
  <c r="O2061" i="16"/>
  <c r="O2060" i="16"/>
  <c r="O2059" i="16"/>
  <c r="O2058" i="16"/>
  <c r="O2057" i="16"/>
  <c r="O2056" i="16"/>
  <c r="O2055" i="16"/>
  <c r="O2054" i="16"/>
  <c r="O2053" i="16"/>
  <c r="O2052" i="16"/>
  <c r="O2051" i="16"/>
  <c r="O2050" i="16"/>
  <c r="O2049" i="16"/>
  <c r="O2048" i="16"/>
  <c r="O2047" i="16"/>
  <c r="O2046" i="16"/>
  <c r="O2045" i="16"/>
  <c r="O2044" i="16"/>
  <c r="O2043" i="16"/>
  <c r="O2042" i="16"/>
  <c r="O2041" i="16"/>
  <c r="O2040" i="16"/>
  <c r="O2039" i="16"/>
  <c r="O2038" i="16"/>
  <c r="O2037" i="16"/>
  <c r="O2036" i="16"/>
  <c r="O2035" i="16"/>
  <c r="O2034" i="16"/>
  <c r="O2033" i="16"/>
  <c r="O2032" i="16"/>
  <c r="O2031" i="16"/>
  <c r="O2030" i="16"/>
  <c r="O2029" i="16"/>
  <c r="O2028" i="16"/>
  <c r="O2027" i="16"/>
  <c r="O2026" i="16"/>
  <c r="O2025" i="16"/>
  <c r="O2024" i="16"/>
  <c r="O2023" i="16"/>
  <c r="O2022" i="16"/>
  <c r="O2021" i="16"/>
  <c r="O2020" i="16"/>
  <c r="O2019" i="16"/>
  <c r="O2018" i="16"/>
  <c r="O2017" i="16"/>
  <c r="O2016" i="16"/>
  <c r="O2015" i="16"/>
  <c r="O2014" i="16"/>
  <c r="O2013" i="16"/>
  <c r="O2012" i="16"/>
  <c r="O2011" i="16"/>
  <c r="O2010" i="16"/>
  <c r="O2009" i="16"/>
  <c r="O2008" i="16"/>
  <c r="O2007" i="16"/>
  <c r="O2006" i="16"/>
  <c r="O2005" i="16"/>
  <c r="O2004" i="16"/>
  <c r="O2003" i="16"/>
  <c r="O2002" i="16"/>
  <c r="O2001" i="16"/>
  <c r="O2000" i="16"/>
  <c r="O1999" i="16"/>
  <c r="O1998" i="16"/>
  <c r="O1997" i="16"/>
  <c r="O1996" i="16"/>
  <c r="O1995" i="16"/>
  <c r="O1994" i="16"/>
  <c r="O1993" i="16"/>
  <c r="O1992" i="16"/>
  <c r="O1991" i="16"/>
  <c r="O1990" i="16"/>
  <c r="O1989" i="16"/>
  <c r="O1988" i="16"/>
  <c r="O1987" i="16"/>
  <c r="O1986" i="16"/>
  <c r="O1985" i="16"/>
  <c r="O1984" i="16"/>
  <c r="O1983" i="16"/>
  <c r="O1982" i="16"/>
  <c r="O1981" i="16"/>
  <c r="O1980" i="16"/>
  <c r="O1979" i="16"/>
  <c r="O1978" i="16"/>
  <c r="O1977" i="16"/>
  <c r="O1976" i="16"/>
  <c r="O1975" i="16"/>
  <c r="O1974" i="16"/>
  <c r="O1973" i="16"/>
  <c r="O1972" i="16"/>
  <c r="O1971" i="16"/>
  <c r="O1970" i="16"/>
  <c r="O1969" i="16"/>
  <c r="O1968" i="16"/>
  <c r="O1967" i="16"/>
  <c r="O1966" i="16"/>
  <c r="O1965" i="16"/>
  <c r="O1964" i="16"/>
  <c r="O1963" i="16"/>
  <c r="O1962" i="16"/>
  <c r="O1961" i="16"/>
  <c r="O1960" i="16"/>
  <c r="O1959" i="16"/>
  <c r="O1958" i="16"/>
  <c r="O1957" i="16"/>
  <c r="O1956" i="16"/>
  <c r="O1955" i="16"/>
  <c r="O1954" i="16"/>
  <c r="O1953" i="16"/>
  <c r="O1952" i="16"/>
  <c r="O1951" i="16"/>
  <c r="O1950" i="16"/>
  <c r="O1949" i="16"/>
  <c r="O1948" i="16"/>
  <c r="O1947" i="16"/>
  <c r="O1946" i="16"/>
  <c r="O1945" i="16"/>
  <c r="O1944" i="16"/>
  <c r="O1943" i="16"/>
  <c r="O1942" i="16"/>
  <c r="O1941" i="16"/>
  <c r="O1940" i="16"/>
  <c r="O1939" i="16"/>
  <c r="O1938" i="16"/>
  <c r="O1937" i="16"/>
  <c r="O1936" i="16"/>
  <c r="O1935" i="16"/>
  <c r="O1934" i="16"/>
  <c r="O1933" i="16"/>
  <c r="O1932" i="16"/>
  <c r="O1931" i="16"/>
  <c r="O1930" i="16"/>
  <c r="O1929" i="16"/>
  <c r="O1928" i="16"/>
  <c r="O1927" i="16"/>
  <c r="O1926" i="16"/>
  <c r="O1925" i="16"/>
  <c r="O1924" i="16"/>
  <c r="O1923" i="16"/>
  <c r="O1922" i="16"/>
  <c r="O1921" i="16"/>
  <c r="O1920" i="16"/>
  <c r="O1919" i="16"/>
  <c r="O1918" i="16"/>
  <c r="O1917" i="16"/>
  <c r="O1916" i="16"/>
  <c r="O1915" i="16"/>
  <c r="O1914" i="16"/>
  <c r="O1913" i="16"/>
  <c r="O1912" i="16"/>
  <c r="O1911" i="16"/>
  <c r="O1910" i="16"/>
  <c r="O1909" i="16"/>
  <c r="O1908" i="16"/>
  <c r="O1907" i="16"/>
  <c r="O1906" i="16"/>
  <c r="O1905" i="16"/>
  <c r="O1904" i="16"/>
  <c r="O1903" i="16"/>
  <c r="O1902" i="16"/>
  <c r="O1901" i="16"/>
  <c r="O1900" i="16"/>
  <c r="O1899" i="16"/>
  <c r="O1898" i="16"/>
  <c r="O1897" i="16"/>
  <c r="O1896" i="16"/>
  <c r="O1895" i="16"/>
  <c r="O1894" i="16"/>
  <c r="O1893" i="16"/>
  <c r="O1892" i="16"/>
  <c r="O1891" i="16"/>
  <c r="O1890" i="16"/>
  <c r="O1889" i="16"/>
  <c r="O1888" i="16"/>
  <c r="O1887" i="16"/>
  <c r="O1886" i="16"/>
  <c r="O1885" i="16"/>
  <c r="O1884" i="16"/>
  <c r="O1883" i="16"/>
  <c r="O1882" i="16"/>
  <c r="O1881" i="16"/>
  <c r="O1880" i="16"/>
  <c r="O1879" i="16"/>
  <c r="O1878" i="16"/>
  <c r="O1877" i="16"/>
  <c r="O1876" i="16"/>
  <c r="O1875" i="16"/>
  <c r="O1874" i="16"/>
  <c r="O1873" i="16"/>
  <c r="O1872" i="16"/>
  <c r="O1871" i="16"/>
  <c r="O1870" i="16"/>
  <c r="O1869" i="16"/>
  <c r="O1868" i="16"/>
  <c r="O1867" i="16"/>
  <c r="O1866" i="16"/>
  <c r="O1865" i="16"/>
  <c r="O1864" i="16"/>
  <c r="O1863" i="16"/>
  <c r="O1862" i="16"/>
  <c r="O1861" i="16"/>
  <c r="O1860" i="16"/>
  <c r="O1859" i="16"/>
  <c r="O1858" i="16"/>
  <c r="O1857" i="16"/>
  <c r="O1856" i="16"/>
  <c r="O1855" i="16"/>
  <c r="O1854" i="16"/>
  <c r="O1853" i="16"/>
  <c r="O1852" i="16"/>
  <c r="O1851" i="16"/>
  <c r="O1850" i="16"/>
  <c r="O1849" i="16"/>
  <c r="O1848" i="16"/>
  <c r="O1847" i="16"/>
  <c r="O1846" i="16"/>
  <c r="O1845" i="16"/>
  <c r="O1844" i="16"/>
  <c r="O1843" i="16"/>
  <c r="O1842" i="16"/>
  <c r="O1841" i="16"/>
  <c r="O1840" i="16"/>
  <c r="O1839" i="16"/>
  <c r="O1838" i="16"/>
  <c r="O1837" i="16"/>
  <c r="O1836" i="16"/>
  <c r="O1835" i="16"/>
  <c r="O1834" i="16"/>
  <c r="O1833" i="16"/>
  <c r="O1832" i="16"/>
  <c r="O1831" i="16"/>
  <c r="O1830" i="16"/>
  <c r="O1829" i="16"/>
  <c r="O1828" i="16"/>
  <c r="O1827" i="16"/>
  <c r="O1826" i="16"/>
  <c r="O1825" i="16"/>
  <c r="O1824" i="16"/>
  <c r="O1823" i="16"/>
  <c r="O1822" i="16"/>
  <c r="O1821" i="16"/>
  <c r="O1820" i="16"/>
  <c r="O1819" i="16"/>
  <c r="O1818" i="16"/>
  <c r="O1817" i="16"/>
  <c r="O1816" i="16"/>
  <c r="O1815" i="16"/>
  <c r="O1814" i="16"/>
  <c r="O1813" i="16"/>
  <c r="O1812" i="16"/>
  <c r="O1811" i="16"/>
  <c r="O1810" i="16"/>
  <c r="O1809" i="16"/>
  <c r="O1808" i="16"/>
  <c r="O1807" i="16"/>
  <c r="O1806" i="16"/>
  <c r="O1805" i="16"/>
  <c r="O1804" i="16"/>
  <c r="O1803" i="16"/>
  <c r="O1802" i="16"/>
  <c r="O1801" i="16"/>
  <c r="O1800" i="16"/>
  <c r="O1799" i="16"/>
  <c r="O1798" i="16"/>
  <c r="O1797" i="16"/>
  <c r="O1796" i="16"/>
  <c r="O1795" i="16"/>
  <c r="O1794" i="16"/>
  <c r="O1793" i="16"/>
  <c r="O1792" i="16"/>
  <c r="O1791" i="16"/>
  <c r="O1790" i="16"/>
  <c r="O1789" i="16"/>
  <c r="O1788" i="16"/>
  <c r="O1787" i="16"/>
  <c r="O1786" i="16"/>
  <c r="O1785" i="16"/>
  <c r="O1784" i="16"/>
  <c r="O1783" i="16"/>
  <c r="O1782" i="16"/>
  <c r="O1781" i="16"/>
  <c r="O1780" i="16"/>
  <c r="O1779" i="16"/>
  <c r="O1778" i="16"/>
  <c r="O1777" i="16"/>
  <c r="O1776" i="16"/>
  <c r="O1775" i="16"/>
  <c r="O1774" i="16"/>
  <c r="O1773" i="16"/>
  <c r="O1772" i="16"/>
  <c r="O1771" i="16"/>
  <c r="O1770" i="16"/>
  <c r="O1769" i="16"/>
  <c r="O1768" i="16"/>
  <c r="O1767" i="16"/>
  <c r="O1766" i="16"/>
  <c r="O1765" i="16"/>
  <c r="O1764" i="16"/>
  <c r="O1763" i="16"/>
  <c r="O1762" i="16"/>
  <c r="O1761" i="16"/>
  <c r="O1760" i="16"/>
  <c r="O1759" i="16"/>
  <c r="O1758" i="16"/>
  <c r="O1757" i="16"/>
  <c r="O1756" i="16"/>
  <c r="O1755" i="16"/>
  <c r="O1754" i="16"/>
  <c r="O1753" i="16"/>
  <c r="O1752" i="16"/>
  <c r="O1751" i="16"/>
  <c r="O1750" i="16"/>
  <c r="O1749" i="16"/>
  <c r="O1748" i="16"/>
  <c r="O1747" i="16"/>
  <c r="O1746" i="16"/>
  <c r="O1745" i="16"/>
  <c r="O1744" i="16"/>
  <c r="O1743" i="16"/>
  <c r="O1742" i="16"/>
  <c r="O1741" i="16"/>
  <c r="O1740" i="16"/>
  <c r="O1739" i="16"/>
  <c r="O1738" i="16"/>
  <c r="O1737" i="16"/>
  <c r="O1736" i="16"/>
  <c r="O1735" i="16"/>
  <c r="O1734" i="16"/>
  <c r="O1733" i="16"/>
  <c r="O1732" i="16"/>
  <c r="O1731" i="16"/>
  <c r="O1730" i="16"/>
  <c r="O1729" i="16"/>
  <c r="O1728" i="16"/>
  <c r="O1727" i="16"/>
  <c r="O1726" i="16"/>
  <c r="O1725" i="16"/>
  <c r="O1724" i="16"/>
  <c r="O1723" i="16"/>
  <c r="O1722" i="16"/>
  <c r="O1721" i="16"/>
  <c r="O1720" i="16"/>
  <c r="O1719" i="16"/>
  <c r="O1718" i="16"/>
  <c r="O1717" i="16"/>
  <c r="O1716" i="16"/>
  <c r="O1715" i="16"/>
  <c r="O1714" i="16"/>
  <c r="O1713" i="16"/>
  <c r="O1712" i="16"/>
  <c r="O1711" i="16"/>
  <c r="O1710" i="16"/>
  <c r="O1709" i="16"/>
  <c r="O1708" i="16"/>
  <c r="O1707" i="16"/>
  <c r="O1706" i="16"/>
  <c r="O1705" i="16"/>
  <c r="O1704" i="16"/>
  <c r="O1703" i="16"/>
  <c r="O1702" i="16"/>
  <c r="O1701" i="16"/>
  <c r="O1700" i="16"/>
  <c r="O1699" i="16"/>
  <c r="O1698" i="16"/>
  <c r="O1697" i="16"/>
  <c r="O1696" i="16"/>
  <c r="O1695" i="16"/>
  <c r="O1694" i="16"/>
  <c r="O1693" i="16"/>
  <c r="O1692" i="16"/>
  <c r="O1691" i="16"/>
  <c r="O1690" i="16"/>
  <c r="O1689" i="16"/>
  <c r="O1688" i="16"/>
  <c r="O1687" i="16"/>
  <c r="O1686" i="16"/>
  <c r="O1685" i="16"/>
  <c r="O1684" i="16"/>
  <c r="O1683" i="16"/>
  <c r="O1682" i="16"/>
  <c r="O1681" i="16"/>
  <c r="O1680" i="16"/>
  <c r="O1679" i="16"/>
  <c r="O1678" i="16"/>
  <c r="O1677" i="16"/>
  <c r="O1676" i="16"/>
  <c r="O1675" i="16"/>
  <c r="O1674" i="16"/>
  <c r="O1673" i="16"/>
  <c r="O1672" i="16"/>
  <c r="O1671" i="16"/>
  <c r="O1670" i="16"/>
  <c r="O1669" i="16"/>
  <c r="O1668" i="16"/>
  <c r="O1667" i="16"/>
  <c r="O1666" i="16"/>
  <c r="O1665" i="16"/>
  <c r="O1664" i="16"/>
  <c r="O1663" i="16"/>
  <c r="O1662" i="16"/>
  <c r="O1661" i="16"/>
  <c r="O1660" i="16"/>
  <c r="O1659" i="16"/>
  <c r="O1658" i="16"/>
  <c r="O1657" i="16"/>
  <c r="O1656" i="16"/>
  <c r="O1655" i="16"/>
  <c r="O1654" i="16"/>
  <c r="O1653" i="16"/>
  <c r="O1652" i="16"/>
  <c r="O1651" i="16"/>
  <c r="O1650" i="16"/>
  <c r="O1649" i="16"/>
  <c r="O1648" i="16"/>
  <c r="O1647" i="16"/>
  <c r="O1646" i="16"/>
  <c r="O1645" i="16"/>
  <c r="O1644" i="16"/>
  <c r="O1643" i="16"/>
  <c r="O1642" i="16"/>
  <c r="O1641" i="16"/>
  <c r="O1640" i="16"/>
  <c r="O1639" i="16"/>
  <c r="O1638" i="16"/>
  <c r="O1637" i="16"/>
  <c r="O1636" i="16"/>
  <c r="O1635" i="16"/>
  <c r="O1634" i="16"/>
  <c r="O1633" i="16"/>
  <c r="O1632" i="16"/>
  <c r="O1631" i="16"/>
  <c r="O1630" i="16"/>
  <c r="O1629" i="16"/>
  <c r="O1628" i="16"/>
  <c r="O1627" i="16"/>
  <c r="O1626" i="16"/>
  <c r="O1625" i="16"/>
  <c r="O1624" i="16"/>
  <c r="O1623" i="16"/>
  <c r="O1622" i="16"/>
  <c r="O1621" i="16"/>
  <c r="O1620" i="16"/>
  <c r="O1619" i="16"/>
  <c r="O1618" i="16"/>
  <c r="O1617" i="16"/>
  <c r="O1616" i="16"/>
  <c r="O1615" i="16"/>
  <c r="O1614" i="16"/>
  <c r="O1613" i="16"/>
  <c r="O1612" i="16"/>
  <c r="O1611" i="16"/>
  <c r="O1610" i="16"/>
  <c r="O1609" i="16"/>
  <c r="O1608" i="16"/>
  <c r="O1607" i="16"/>
  <c r="O1606" i="16"/>
  <c r="O1605" i="16"/>
  <c r="O1604" i="16"/>
  <c r="O1603" i="16"/>
  <c r="O1602" i="16"/>
  <c r="O1601" i="16"/>
  <c r="O1600" i="16"/>
  <c r="O1599" i="16"/>
  <c r="O1598" i="16"/>
  <c r="O1597" i="16"/>
  <c r="O1596" i="16"/>
  <c r="O1595" i="16"/>
  <c r="O1594" i="16"/>
  <c r="O1593" i="16"/>
  <c r="O1592" i="16"/>
  <c r="O1591" i="16"/>
  <c r="O1590" i="16"/>
  <c r="O1589" i="16"/>
  <c r="O1588" i="16"/>
  <c r="O1587" i="16"/>
  <c r="O1586" i="16"/>
  <c r="O1585" i="16"/>
  <c r="O1584" i="16"/>
  <c r="O1583" i="16"/>
  <c r="O1582" i="16"/>
  <c r="O1581" i="16"/>
  <c r="O1580" i="16"/>
  <c r="O1579" i="16"/>
  <c r="O1578" i="16"/>
  <c r="O1577" i="16"/>
  <c r="O1576" i="16"/>
  <c r="O1575" i="16"/>
  <c r="O1574" i="16"/>
  <c r="O1573" i="16"/>
  <c r="O1572" i="16"/>
  <c r="O1571" i="16"/>
  <c r="O1570" i="16"/>
  <c r="O1569" i="16"/>
  <c r="O1568" i="16"/>
  <c r="O1567" i="16"/>
  <c r="O1566" i="16"/>
  <c r="O1565" i="16"/>
  <c r="O1564" i="16"/>
  <c r="O1563" i="16"/>
  <c r="O1562" i="16"/>
  <c r="O1561" i="16"/>
  <c r="O1560" i="16"/>
  <c r="O1559" i="16"/>
  <c r="O1558" i="16"/>
  <c r="O1557" i="16"/>
  <c r="O1556" i="16"/>
  <c r="O1555" i="16"/>
  <c r="O1554" i="16"/>
  <c r="O1553" i="16"/>
  <c r="O1552" i="16"/>
  <c r="O1551" i="16"/>
  <c r="O1550" i="16"/>
  <c r="O1549" i="16"/>
  <c r="O1548" i="16"/>
  <c r="O1547" i="16"/>
  <c r="O1546" i="16"/>
  <c r="O1545" i="16"/>
  <c r="O1544" i="16"/>
  <c r="O1543" i="16"/>
  <c r="O1542" i="16"/>
  <c r="O1541" i="16"/>
  <c r="O1540" i="16"/>
  <c r="O1539" i="16"/>
  <c r="O1538" i="16"/>
  <c r="O1537" i="16"/>
  <c r="O1536" i="16"/>
  <c r="O1535" i="16"/>
  <c r="O1534" i="16"/>
  <c r="O1533" i="16"/>
  <c r="O1532" i="16"/>
  <c r="O1531" i="16"/>
  <c r="O1530" i="16"/>
  <c r="O1529" i="16"/>
  <c r="O1528" i="16"/>
  <c r="O1527" i="16"/>
  <c r="O1526" i="16"/>
  <c r="O1525" i="16"/>
  <c r="O1524" i="16"/>
  <c r="O1523" i="16"/>
  <c r="O1522" i="16"/>
  <c r="O1521" i="16"/>
  <c r="O1520" i="16"/>
  <c r="O1519" i="16"/>
  <c r="O1518" i="16"/>
  <c r="O1517" i="16"/>
  <c r="O1516" i="16"/>
  <c r="O1515" i="16"/>
  <c r="O1514" i="16"/>
  <c r="O1513" i="16"/>
  <c r="O1512" i="16"/>
  <c r="O1511" i="16"/>
  <c r="O1510" i="16"/>
  <c r="O1509" i="16"/>
  <c r="O1508" i="16"/>
  <c r="O1507" i="16"/>
  <c r="O1506" i="16"/>
  <c r="O1505" i="16"/>
  <c r="O1504" i="16"/>
  <c r="O1503" i="16"/>
  <c r="O1502" i="16"/>
  <c r="O1501" i="16"/>
  <c r="O1500" i="16"/>
  <c r="O1499" i="16"/>
  <c r="O1498" i="16"/>
  <c r="O1497" i="16"/>
  <c r="O1496" i="16"/>
  <c r="O1495" i="16"/>
  <c r="O1494" i="16"/>
  <c r="O1493" i="16"/>
  <c r="O1492" i="16"/>
  <c r="O1491" i="16"/>
  <c r="O1490" i="16"/>
  <c r="O1489" i="16"/>
  <c r="O1488" i="16"/>
  <c r="O1487" i="16"/>
  <c r="O1486" i="16"/>
  <c r="O1485" i="16"/>
  <c r="O1484" i="16"/>
  <c r="O1483" i="16"/>
  <c r="O1482" i="16"/>
  <c r="O1481" i="16"/>
  <c r="O1480" i="16"/>
  <c r="O1479" i="16"/>
  <c r="O1478" i="16"/>
  <c r="O1477" i="16"/>
  <c r="O1476" i="16"/>
  <c r="O1475" i="16"/>
  <c r="O1474" i="16"/>
  <c r="O1473" i="16"/>
  <c r="O1472" i="16"/>
  <c r="O1471" i="16"/>
  <c r="O1470" i="16"/>
  <c r="O1469" i="16"/>
  <c r="O1468" i="16"/>
  <c r="O1467" i="16"/>
  <c r="O1466" i="16"/>
  <c r="O1465" i="16"/>
  <c r="O1464" i="16"/>
  <c r="O1463" i="16"/>
  <c r="O1462" i="16"/>
  <c r="O1461" i="16"/>
  <c r="O1460" i="16"/>
  <c r="O1459" i="16"/>
  <c r="O1458" i="16"/>
  <c r="O1457" i="16"/>
  <c r="O1456" i="16"/>
  <c r="O1455" i="16"/>
  <c r="O1454" i="16"/>
  <c r="O1453" i="16"/>
  <c r="O1452" i="16"/>
  <c r="O1451" i="16"/>
  <c r="O1450" i="16"/>
  <c r="O1449" i="16"/>
  <c r="O1448" i="16"/>
  <c r="O1447" i="16"/>
  <c r="O1446" i="16"/>
  <c r="O1445" i="16"/>
  <c r="O1444" i="16"/>
  <c r="O1443" i="16"/>
  <c r="O1442" i="16"/>
  <c r="O1441" i="16"/>
  <c r="O1440" i="16"/>
  <c r="O1439" i="16"/>
  <c r="O1438" i="16"/>
  <c r="O1437" i="16"/>
  <c r="O1436" i="16"/>
  <c r="O1435" i="16"/>
  <c r="O1434" i="16"/>
  <c r="O1433" i="16"/>
  <c r="O1432" i="16"/>
  <c r="O1431" i="16"/>
  <c r="O1430" i="16"/>
  <c r="O1429" i="16"/>
  <c r="O1428" i="16"/>
  <c r="O1427" i="16"/>
  <c r="O1426" i="16"/>
  <c r="O1425" i="16"/>
  <c r="O1424" i="16"/>
  <c r="O1423" i="16"/>
  <c r="O1422" i="16"/>
  <c r="O1421" i="16"/>
  <c r="O1420" i="16"/>
  <c r="O1419" i="16"/>
  <c r="O1418" i="16"/>
  <c r="O1417" i="16"/>
  <c r="O1416" i="16"/>
  <c r="O1415" i="16"/>
  <c r="O1414" i="16"/>
  <c r="O1413" i="16"/>
  <c r="O1412" i="16"/>
  <c r="O1411" i="16"/>
  <c r="O1410" i="16"/>
  <c r="O1409" i="16"/>
  <c r="O1408" i="16"/>
  <c r="O1407" i="16"/>
  <c r="O1406" i="16"/>
  <c r="O1405" i="16"/>
  <c r="O1404" i="16"/>
  <c r="O1403" i="16"/>
  <c r="O1402" i="16"/>
  <c r="O1401" i="16"/>
  <c r="O1400" i="16"/>
  <c r="O1399" i="16"/>
  <c r="O1398" i="16"/>
  <c r="O1397" i="16"/>
  <c r="O1396" i="16"/>
  <c r="O1395" i="16"/>
  <c r="O1394" i="16"/>
  <c r="O1393" i="16"/>
  <c r="O1392" i="16"/>
  <c r="O1391" i="16"/>
  <c r="O1390" i="16"/>
  <c r="O1389" i="16"/>
  <c r="O1388" i="16"/>
  <c r="O1387" i="16"/>
  <c r="O1386" i="16"/>
  <c r="O1385" i="16"/>
  <c r="O1384" i="16"/>
  <c r="O1383" i="16"/>
  <c r="O1382" i="16"/>
  <c r="O1381" i="16"/>
  <c r="O1380" i="16"/>
  <c r="O1379" i="16"/>
  <c r="O1378" i="16"/>
  <c r="O1377" i="16"/>
  <c r="O1376" i="16"/>
  <c r="O1375" i="16"/>
  <c r="O1374" i="16"/>
  <c r="O1373" i="16"/>
  <c r="O1372" i="16"/>
  <c r="O1371" i="16"/>
  <c r="O1370" i="16"/>
  <c r="O1369" i="16"/>
  <c r="O1368" i="16"/>
  <c r="O1367" i="16"/>
  <c r="O1366" i="16"/>
  <c r="O1365" i="16"/>
  <c r="O1364" i="16"/>
  <c r="O1363" i="16"/>
  <c r="O1362" i="16"/>
  <c r="O1361" i="16"/>
  <c r="O1360" i="16"/>
  <c r="O1359" i="16"/>
  <c r="O1358" i="16"/>
  <c r="O1357" i="16"/>
  <c r="O1356" i="16"/>
  <c r="O1355" i="16"/>
  <c r="O1354" i="16"/>
  <c r="O1353" i="16"/>
  <c r="O1352" i="16"/>
  <c r="O1351" i="16"/>
  <c r="O1350" i="16"/>
  <c r="O1349" i="16"/>
  <c r="O1348" i="16"/>
  <c r="O1347" i="16"/>
  <c r="O1346" i="16"/>
  <c r="O1345" i="16"/>
  <c r="O1344" i="16"/>
  <c r="O1343" i="16"/>
  <c r="O1342" i="16"/>
  <c r="O1341" i="16"/>
  <c r="O1340" i="16"/>
  <c r="O1339" i="16"/>
  <c r="O1338" i="16"/>
  <c r="O1337" i="16"/>
  <c r="O1336" i="16"/>
  <c r="O1335" i="16"/>
  <c r="O1334" i="16"/>
  <c r="O1333" i="16"/>
  <c r="O1332" i="16"/>
  <c r="O1331" i="16"/>
  <c r="O1330" i="16"/>
  <c r="O1329" i="16"/>
  <c r="O1328" i="16"/>
  <c r="O1327" i="16"/>
  <c r="O1326" i="16"/>
  <c r="O1325" i="16"/>
  <c r="O1324" i="16"/>
  <c r="O1323" i="16"/>
  <c r="O1322" i="16"/>
  <c r="O1321" i="16"/>
  <c r="O1320" i="16"/>
  <c r="O1319" i="16"/>
  <c r="O1318" i="16"/>
  <c r="O1317" i="16"/>
  <c r="O1316" i="16"/>
  <c r="O1315" i="16"/>
  <c r="O1314" i="16"/>
  <c r="O1313" i="16"/>
  <c r="O1312" i="16"/>
  <c r="O1311" i="16"/>
  <c r="O1310" i="16"/>
  <c r="O1309" i="16"/>
  <c r="O1308" i="16"/>
  <c r="O1307" i="16"/>
  <c r="O1306" i="16"/>
  <c r="O1305" i="16"/>
  <c r="O1304" i="16"/>
  <c r="O1303" i="16"/>
  <c r="O1302" i="16"/>
  <c r="O1301" i="16"/>
  <c r="O1300" i="16"/>
  <c r="O1299" i="16"/>
  <c r="O1298" i="16"/>
  <c r="O1297" i="16"/>
  <c r="O1296" i="16"/>
  <c r="O1295" i="16"/>
  <c r="O1294" i="16"/>
  <c r="O1293" i="16"/>
  <c r="O1292" i="16"/>
  <c r="O1291" i="16"/>
  <c r="O1290" i="16"/>
  <c r="O1289" i="16"/>
  <c r="O1288" i="16"/>
  <c r="O1287" i="16"/>
  <c r="O1286" i="16"/>
  <c r="O1285" i="16"/>
  <c r="O1284" i="16"/>
  <c r="O1283" i="16"/>
  <c r="O1282" i="16"/>
  <c r="O1281" i="16"/>
  <c r="O1280" i="16"/>
  <c r="O1279" i="16"/>
  <c r="O1278" i="16"/>
  <c r="O1277" i="16"/>
  <c r="O1276" i="16"/>
  <c r="O1275" i="16"/>
  <c r="O1274" i="16"/>
  <c r="O1273" i="16"/>
  <c r="O1272" i="16"/>
  <c r="O1271" i="16"/>
  <c r="O1270" i="16"/>
  <c r="O1269" i="16"/>
  <c r="O1268" i="16"/>
  <c r="O1267" i="16"/>
  <c r="O1266" i="16"/>
  <c r="O1265" i="16"/>
  <c r="O1264" i="16"/>
  <c r="O1263" i="16"/>
  <c r="O1262" i="16"/>
  <c r="O1261" i="16"/>
  <c r="O1260" i="16"/>
  <c r="O1259" i="16"/>
  <c r="O1258" i="16"/>
  <c r="O1257" i="16"/>
  <c r="O1256" i="16"/>
  <c r="O1255" i="16"/>
  <c r="O1254" i="16"/>
  <c r="O1253" i="16"/>
  <c r="O1252" i="16"/>
  <c r="O1251" i="16"/>
  <c r="O1250" i="16"/>
  <c r="O1249" i="16"/>
  <c r="O1248" i="16"/>
  <c r="O1247" i="16"/>
  <c r="O1246" i="16"/>
  <c r="O1245" i="16"/>
  <c r="O1244" i="16"/>
  <c r="O1243" i="16"/>
  <c r="O1242" i="16"/>
  <c r="O1241" i="16"/>
  <c r="O1240" i="16"/>
  <c r="O1239" i="16"/>
  <c r="O1238" i="16"/>
  <c r="O1237" i="16"/>
  <c r="O1236" i="16"/>
  <c r="O1235" i="16"/>
  <c r="O1234" i="16"/>
  <c r="O1233" i="16"/>
  <c r="O1232" i="16"/>
  <c r="O1231" i="16"/>
  <c r="O1230" i="16"/>
  <c r="O1229" i="16"/>
  <c r="O1228" i="16"/>
  <c r="O1227" i="16"/>
  <c r="O1226" i="16"/>
  <c r="O1225" i="16"/>
  <c r="O1224" i="16"/>
  <c r="O1223" i="16"/>
  <c r="O1222" i="16"/>
  <c r="O1221" i="16"/>
  <c r="O1220" i="16"/>
  <c r="O1219" i="16"/>
  <c r="O1218" i="16"/>
  <c r="O1217" i="16"/>
  <c r="O1216" i="16"/>
  <c r="O1215" i="16"/>
  <c r="O1214" i="16"/>
  <c r="O1213" i="16"/>
  <c r="O1212" i="16"/>
  <c r="O1211" i="16"/>
  <c r="O1210" i="16"/>
  <c r="O1209" i="16"/>
  <c r="O1208" i="16"/>
  <c r="O1207" i="16"/>
  <c r="O1206" i="16"/>
  <c r="O1205" i="16"/>
  <c r="O1204" i="16"/>
  <c r="O1203" i="16"/>
  <c r="O1202" i="16"/>
  <c r="O1201" i="16"/>
  <c r="O1200" i="16"/>
  <c r="O1199" i="16"/>
  <c r="O1198" i="16"/>
  <c r="O1197" i="16"/>
  <c r="O1196" i="16"/>
  <c r="O1195" i="16"/>
  <c r="O1194" i="16"/>
  <c r="O1193" i="16"/>
  <c r="O1192" i="16"/>
  <c r="O1191" i="16"/>
  <c r="O1190" i="16"/>
  <c r="O1189" i="16"/>
  <c r="O1188" i="16"/>
  <c r="O1187" i="16"/>
  <c r="O1186" i="16"/>
  <c r="O1185" i="16"/>
  <c r="O1184" i="16"/>
  <c r="O1183" i="16"/>
  <c r="O1182" i="16"/>
  <c r="O1181" i="16"/>
  <c r="O1180" i="16"/>
  <c r="O1179" i="16"/>
  <c r="O1178" i="16"/>
  <c r="O1177" i="16"/>
  <c r="O1176" i="16"/>
  <c r="O1175" i="16"/>
  <c r="O1174" i="16"/>
  <c r="O1173" i="16"/>
  <c r="O1172" i="16"/>
  <c r="O1171" i="16"/>
  <c r="O1170" i="16"/>
  <c r="O1169" i="16"/>
  <c r="O1168" i="16"/>
  <c r="O1167" i="16"/>
  <c r="O1166" i="16"/>
  <c r="O1165" i="16"/>
  <c r="O1164" i="16"/>
  <c r="O1163" i="16"/>
  <c r="O1162" i="16"/>
  <c r="O1161" i="16"/>
  <c r="O1160" i="16"/>
  <c r="O1159" i="16"/>
  <c r="O1158" i="16"/>
  <c r="O1157" i="16"/>
  <c r="O1156" i="16"/>
  <c r="O1155" i="16"/>
  <c r="O1154" i="16"/>
  <c r="O1153" i="16"/>
  <c r="O1152" i="16"/>
  <c r="O1151" i="16"/>
  <c r="O1150" i="16"/>
  <c r="O1149" i="16"/>
  <c r="O1148" i="16"/>
  <c r="O1147" i="16"/>
  <c r="O1146" i="16"/>
  <c r="O1145" i="16"/>
  <c r="O1144" i="16"/>
  <c r="O1143" i="16"/>
  <c r="O1142" i="16"/>
  <c r="O1141" i="16"/>
  <c r="O1140" i="16"/>
  <c r="O1139" i="16"/>
  <c r="O1138" i="16"/>
  <c r="O1137" i="16"/>
  <c r="O1136" i="16"/>
  <c r="O1135" i="16"/>
  <c r="O1134" i="16"/>
  <c r="O1133" i="16"/>
  <c r="O1132" i="16"/>
  <c r="O1131" i="16"/>
  <c r="O1130" i="16"/>
  <c r="O1129" i="16"/>
  <c r="O1128" i="16"/>
  <c r="O1127" i="16"/>
  <c r="O1126" i="16"/>
  <c r="O1125" i="16"/>
  <c r="O1124" i="16"/>
  <c r="O1123" i="16"/>
  <c r="O1122" i="16"/>
  <c r="O1121" i="16"/>
  <c r="O1120" i="16"/>
  <c r="O1119" i="16"/>
  <c r="O1118" i="16"/>
  <c r="O1117" i="16"/>
  <c r="O1116" i="16"/>
  <c r="O1115" i="16"/>
  <c r="O1114" i="16"/>
  <c r="O1113" i="16"/>
  <c r="O1112" i="16"/>
  <c r="O1111" i="16"/>
  <c r="O1110" i="16"/>
  <c r="O1109" i="16"/>
  <c r="O1108" i="16"/>
  <c r="O1107" i="16"/>
  <c r="O1106" i="16"/>
  <c r="O1105" i="16"/>
  <c r="O1104" i="16"/>
  <c r="O1103" i="16"/>
  <c r="O1102" i="16"/>
  <c r="O1101" i="16"/>
  <c r="O1100" i="16"/>
  <c r="O1099" i="16"/>
  <c r="O1098" i="16"/>
  <c r="O1097" i="16"/>
  <c r="O1096" i="16"/>
  <c r="O1095" i="16"/>
  <c r="O1094" i="16"/>
  <c r="O1093" i="16"/>
  <c r="O1092" i="16"/>
  <c r="O1091" i="16"/>
  <c r="O1090" i="16"/>
  <c r="O1089" i="16"/>
  <c r="O1088" i="16"/>
  <c r="O1087" i="16"/>
  <c r="O1086" i="16"/>
  <c r="O1085" i="16"/>
  <c r="O1084" i="16"/>
  <c r="O1083" i="16"/>
  <c r="O1082" i="16"/>
  <c r="O1081" i="16"/>
  <c r="O1080" i="16"/>
  <c r="O1079" i="16"/>
  <c r="O1078" i="16"/>
  <c r="O1077" i="16"/>
  <c r="O1076" i="16"/>
  <c r="O1075" i="16"/>
  <c r="O1074" i="16"/>
  <c r="O1073" i="16"/>
  <c r="O1072" i="16"/>
  <c r="O1071" i="16"/>
  <c r="O1070" i="16"/>
  <c r="O1069" i="16"/>
  <c r="O1068" i="16"/>
  <c r="O1067" i="16"/>
  <c r="O1066" i="16"/>
  <c r="O1065" i="16"/>
  <c r="O1064" i="16"/>
  <c r="O1063" i="16"/>
  <c r="O1062" i="16"/>
  <c r="O1061" i="16"/>
  <c r="O1060" i="16"/>
  <c r="O1059" i="16"/>
  <c r="O1058" i="16"/>
  <c r="O1057" i="16"/>
  <c r="O1056" i="16"/>
  <c r="O1055" i="16"/>
  <c r="O1054" i="16"/>
  <c r="O1053" i="16"/>
  <c r="O1052" i="16"/>
  <c r="O1051" i="16"/>
  <c r="O1050" i="16"/>
  <c r="O1049" i="16"/>
  <c r="O1048" i="16"/>
  <c r="O1047" i="16"/>
  <c r="O1046" i="16"/>
  <c r="O1045" i="16"/>
  <c r="O1044" i="16"/>
  <c r="O1043" i="16"/>
  <c r="O1042" i="16"/>
  <c r="O1041" i="16"/>
  <c r="O1040" i="16"/>
  <c r="O1039" i="16"/>
  <c r="O1038" i="16"/>
  <c r="O1037" i="16"/>
  <c r="O1036" i="16"/>
  <c r="O1035" i="16"/>
  <c r="O1034" i="16"/>
  <c r="O1033" i="16"/>
  <c r="O1032" i="16"/>
  <c r="O1031" i="16"/>
  <c r="O1030" i="16"/>
  <c r="O1029" i="16"/>
  <c r="O1028" i="16"/>
  <c r="O1027" i="16"/>
  <c r="O1026" i="16"/>
  <c r="O1025" i="16"/>
  <c r="O1024" i="16"/>
  <c r="O1023" i="16"/>
  <c r="O1022" i="16"/>
  <c r="O1021" i="16"/>
  <c r="O1020" i="16"/>
  <c r="O1019" i="16"/>
  <c r="O1018" i="16"/>
  <c r="O1017" i="16"/>
  <c r="O1016" i="16"/>
  <c r="O1015" i="16"/>
  <c r="O1014" i="16"/>
  <c r="O1013" i="16"/>
  <c r="O1012" i="16"/>
  <c r="O1011" i="16"/>
  <c r="O1010" i="16"/>
  <c r="O1009" i="16"/>
  <c r="O1008" i="16"/>
  <c r="O1007" i="16"/>
  <c r="O1006" i="16"/>
  <c r="O1005" i="16"/>
  <c r="O1004" i="16"/>
  <c r="O1003" i="16"/>
  <c r="O1002" i="16"/>
  <c r="O1001" i="16"/>
  <c r="O1000" i="16"/>
  <c r="O999" i="16"/>
  <c r="O998" i="16"/>
  <c r="O997" i="16"/>
  <c r="O996" i="16"/>
  <c r="O995" i="16"/>
  <c r="O994" i="16"/>
  <c r="O993" i="16"/>
  <c r="O992" i="16"/>
  <c r="O991" i="16"/>
  <c r="O990" i="16"/>
  <c r="O989" i="16"/>
  <c r="O988" i="16"/>
  <c r="O987" i="16"/>
  <c r="O986" i="16"/>
  <c r="E2616" i="16"/>
  <c r="E2615" i="16"/>
  <c r="E2613" i="16"/>
  <c r="E2612" i="16"/>
  <c r="E2611" i="16"/>
  <c r="E2610" i="16"/>
  <c r="E2608" i="16"/>
  <c r="E2607" i="16"/>
  <c r="E2606" i="16"/>
  <c r="E2605" i="16"/>
  <c r="E2604" i="16"/>
  <c r="E2603" i="16"/>
  <c r="E2602" i="16"/>
  <c r="E2601" i="16"/>
  <c r="E2600" i="16"/>
  <c r="E2599" i="16"/>
  <c r="E2598" i="16"/>
  <c r="E2597" i="16"/>
  <c r="E2596" i="16"/>
  <c r="E2595" i="16"/>
  <c r="E2594" i="16"/>
  <c r="E2593" i="16"/>
  <c r="E2592" i="16"/>
  <c r="E2591" i="16"/>
  <c r="E2590" i="16"/>
  <c r="E2589" i="16"/>
  <c r="E2588" i="16"/>
  <c r="E2587" i="16"/>
  <c r="E2586" i="16"/>
  <c r="E2585" i="16"/>
  <c r="E2584" i="16"/>
  <c r="E2583" i="16"/>
  <c r="E2582" i="16"/>
  <c r="E2581" i="16"/>
  <c r="E2580" i="16"/>
  <c r="E2579" i="16"/>
  <c r="E2578" i="16"/>
  <c r="E2577" i="16"/>
  <c r="E2576" i="16"/>
  <c r="E2575" i="16"/>
  <c r="E2574" i="16"/>
  <c r="E2573" i="16"/>
  <c r="E2572" i="16"/>
  <c r="E2571" i="16"/>
  <c r="E2570" i="16"/>
  <c r="E2569" i="16"/>
  <c r="E2568" i="16"/>
  <c r="E2567" i="16"/>
  <c r="E2566" i="16"/>
  <c r="E2565" i="16"/>
  <c r="E2564" i="16"/>
  <c r="E2563" i="16"/>
  <c r="E2562" i="16"/>
  <c r="E2561" i="16"/>
  <c r="E2560" i="16"/>
  <c r="E2559" i="16"/>
  <c r="E2558" i="16"/>
  <c r="E2557" i="16"/>
  <c r="E2556" i="16"/>
  <c r="E2555" i="16"/>
  <c r="E2554" i="16"/>
  <c r="E2553" i="16"/>
  <c r="E2552" i="16"/>
  <c r="E2551" i="16"/>
  <c r="E2550" i="16"/>
  <c r="E2549" i="16"/>
  <c r="E2548" i="16"/>
  <c r="E2547" i="16"/>
  <c r="E2546" i="16"/>
  <c r="E2545" i="16"/>
  <c r="E2544" i="16"/>
  <c r="E2543" i="16"/>
  <c r="E2542" i="16"/>
  <c r="E2541" i="16"/>
  <c r="E2540" i="16"/>
  <c r="E2539" i="16"/>
  <c r="E2538" i="16"/>
  <c r="E2537" i="16"/>
  <c r="E2536" i="16"/>
  <c r="E2535" i="16"/>
  <c r="E2534" i="16"/>
  <c r="E2533" i="16"/>
  <c r="E2532" i="16"/>
  <c r="E2531" i="16"/>
  <c r="E2530" i="16"/>
  <c r="E2529" i="16"/>
  <c r="E2528" i="16"/>
  <c r="E2527" i="16"/>
  <c r="E2526" i="16"/>
  <c r="E2525" i="16"/>
  <c r="E2524" i="16"/>
  <c r="E2523" i="16"/>
  <c r="E2522" i="16"/>
  <c r="E2521" i="16"/>
  <c r="E2520" i="16"/>
  <c r="E2519" i="16"/>
  <c r="E2518" i="16"/>
  <c r="E2517" i="16"/>
  <c r="E2516" i="16"/>
  <c r="E2515" i="16"/>
  <c r="E2514" i="16"/>
  <c r="E2513" i="16"/>
  <c r="E2512" i="16"/>
  <c r="E2511" i="16"/>
  <c r="E2509" i="16"/>
  <c r="E2508" i="16"/>
  <c r="E2507" i="16"/>
  <c r="E2506" i="16"/>
  <c r="E2505" i="16"/>
  <c r="E2504" i="16"/>
  <c r="E2503" i="16"/>
  <c r="E2502" i="16"/>
  <c r="E2501" i="16"/>
  <c r="E2500" i="16"/>
  <c r="E2499" i="16"/>
  <c r="E2498" i="16"/>
  <c r="E2497" i="16"/>
  <c r="E2496" i="16"/>
  <c r="E2495" i="16"/>
  <c r="E2494" i="16"/>
  <c r="E2493" i="16"/>
  <c r="E2492" i="16"/>
  <c r="E2491" i="16"/>
  <c r="E2490" i="16"/>
  <c r="E2489" i="16"/>
  <c r="E2488" i="16"/>
  <c r="E2487" i="16"/>
  <c r="E2486" i="16"/>
  <c r="E2485" i="16"/>
  <c r="E2484" i="16"/>
  <c r="E2483" i="16"/>
  <c r="E2482" i="16"/>
  <c r="E2481" i="16"/>
  <c r="E2480" i="16"/>
  <c r="E2479" i="16"/>
  <c r="E2478" i="16"/>
  <c r="E2477" i="16"/>
  <c r="E2476" i="16"/>
  <c r="E2475" i="16"/>
  <c r="E2474" i="16"/>
  <c r="E2473" i="16"/>
  <c r="E2472" i="16"/>
  <c r="E2471" i="16"/>
  <c r="E2470" i="16"/>
  <c r="E2469" i="16"/>
  <c r="E2468" i="16"/>
  <c r="E2467" i="16"/>
  <c r="E2466" i="16"/>
  <c r="E2465" i="16"/>
  <c r="E2464" i="16"/>
  <c r="E2463" i="16"/>
  <c r="E2462" i="16"/>
  <c r="E2461" i="16"/>
  <c r="E2460" i="16"/>
  <c r="E2459" i="16"/>
  <c r="E2458" i="16"/>
  <c r="E2457" i="16"/>
  <c r="E2456" i="16"/>
  <c r="E2455" i="16"/>
  <c r="E2454" i="16"/>
  <c r="E2453" i="16"/>
  <c r="E2452" i="16"/>
  <c r="E2451" i="16"/>
  <c r="E2450" i="16"/>
  <c r="E2449" i="16"/>
  <c r="E2448" i="16"/>
  <c r="E2447" i="16"/>
  <c r="E2446" i="16"/>
  <c r="E2445" i="16"/>
  <c r="E2444" i="16"/>
  <c r="E2443" i="16"/>
  <c r="E2442" i="16"/>
  <c r="E2441" i="16"/>
  <c r="E2440" i="16"/>
  <c r="E2439" i="16"/>
  <c r="E2438" i="16"/>
  <c r="E2437" i="16"/>
  <c r="E2436" i="16"/>
  <c r="E2435" i="16"/>
  <c r="E2434" i="16"/>
  <c r="E2433" i="16"/>
  <c r="E2432" i="16"/>
  <c r="E2431" i="16"/>
  <c r="E2430" i="16"/>
  <c r="E2429" i="16"/>
  <c r="E2428" i="16"/>
  <c r="E2427" i="16"/>
  <c r="E2426" i="16"/>
  <c r="E2425" i="16"/>
  <c r="E2424" i="16"/>
  <c r="E2423" i="16"/>
  <c r="E2422" i="16"/>
  <c r="E2421" i="16"/>
  <c r="E2420" i="16"/>
  <c r="E2419" i="16"/>
  <c r="E2418" i="16"/>
  <c r="E2417" i="16"/>
  <c r="E2416" i="16"/>
  <c r="E2415" i="16"/>
  <c r="E2414" i="16"/>
  <c r="E2413" i="16"/>
  <c r="E2412" i="16"/>
  <c r="E2411" i="16"/>
  <c r="E2410" i="16"/>
  <c r="E2409" i="16"/>
  <c r="E2408" i="16"/>
  <c r="E2407" i="16"/>
  <c r="E2406" i="16"/>
  <c r="E2405" i="16"/>
  <c r="E2404" i="16"/>
  <c r="E2403" i="16"/>
  <c r="E2402" i="16"/>
  <c r="E2401" i="16"/>
  <c r="E2400" i="16"/>
  <c r="E2399" i="16"/>
  <c r="E2398" i="16"/>
  <c r="E2397" i="16"/>
  <c r="E2396" i="16"/>
  <c r="E2395" i="16"/>
  <c r="E2394" i="16"/>
  <c r="E2393" i="16"/>
  <c r="E2392" i="16"/>
  <c r="E2391" i="16"/>
  <c r="E2390" i="16"/>
  <c r="E2389" i="16"/>
  <c r="E2388" i="16"/>
  <c r="E2387" i="16"/>
  <c r="E2386" i="16"/>
  <c r="E2385" i="16"/>
  <c r="E2384" i="16"/>
  <c r="E2383" i="16"/>
  <c r="E2382" i="16"/>
  <c r="E2381" i="16"/>
  <c r="E2380" i="16"/>
  <c r="E2379" i="16"/>
  <c r="E2378" i="16"/>
  <c r="E2377" i="16"/>
  <c r="E2376" i="16"/>
  <c r="E2375" i="16"/>
  <c r="E2374" i="16"/>
  <c r="E2373" i="16"/>
  <c r="E2372" i="16"/>
  <c r="E2371" i="16"/>
  <c r="E2370" i="16"/>
  <c r="E2369" i="16"/>
  <c r="E2368" i="16"/>
  <c r="E2367" i="16"/>
  <c r="E2366" i="16"/>
  <c r="E2365" i="16"/>
  <c r="E2364" i="16"/>
  <c r="E2363" i="16"/>
  <c r="E2362" i="16"/>
  <c r="E2361" i="16"/>
  <c r="E2360" i="16"/>
  <c r="E2359" i="16"/>
  <c r="E2358" i="16"/>
  <c r="E2357" i="16"/>
  <c r="E2356" i="16"/>
  <c r="E2355" i="16"/>
  <c r="E2354" i="16"/>
  <c r="E2353" i="16"/>
  <c r="E2352" i="16"/>
  <c r="E2351" i="16"/>
  <c r="E2350" i="16"/>
  <c r="E2349" i="16"/>
  <c r="E2348" i="16"/>
  <c r="E2347" i="16"/>
  <c r="E2346" i="16"/>
  <c r="E2345" i="16"/>
  <c r="E2344" i="16"/>
  <c r="E2343" i="16"/>
  <c r="E2342" i="16"/>
  <c r="E2341" i="16"/>
  <c r="E2340" i="16"/>
  <c r="E2339" i="16"/>
  <c r="E2338" i="16"/>
  <c r="E2337" i="16"/>
  <c r="E2336" i="16"/>
  <c r="E2335" i="16"/>
  <c r="E2334" i="16"/>
  <c r="E2333" i="16"/>
  <c r="E2332" i="16"/>
  <c r="E2331" i="16"/>
  <c r="E2330" i="16"/>
  <c r="E2329" i="16"/>
  <c r="E2328" i="16"/>
  <c r="E2327" i="16"/>
  <c r="E2326" i="16"/>
  <c r="E2325" i="16"/>
  <c r="E2324" i="16"/>
  <c r="E2323" i="16"/>
  <c r="E2322" i="16"/>
  <c r="E2321" i="16"/>
  <c r="E2320" i="16"/>
  <c r="E2319" i="16"/>
  <c r="E2318" i="16"/>
  <c r="E2317" i="16"/>
  <c r="E2316" i="16"/>
  <c r="E2315" i="16"/>
  <c r="E2314" i="16"/>
  <c r="E2313" i="16"/>
  <c r="E2312" i="16"/>
  <c r="E2311" i="16"/>
  <c r="E2310" i="16"/>
  <c r="E2309" i="16"/>
  <c r="E2308" i="16"/>
  <c r="E2307" i="16"/>
  <c r="E2306" i="16"/>
  <c r="E2305" i="16"/>
  <c r="E2304" i="16"/>
  <c r="E2303" i="16"/>
  <c r="E2302" i="16"/>
  <c r="E2301" i="16"/>
  <c r="E2300" i="16"/>
  <c r="E2299" i="16"/>
  <c r="E2298" i="16"/>
  <c r="E2297" i="16"/>
  <c r="E2296" i="16"/>
  <c r="E2295" i="16"/>
  <c r="E2294" i="16"/>
  <c r="E2293" i="16"/>
  <c r="E2292" i="16"/>
  <c r="E2291" i="16"/>
  <c r="E2290" i="16"/>
  <c r="E2289" i="16"/>
  <c r="E2288" i="16"/>
  <c r="E2287" i="16"/>
  <c r="E2286" i="16"/>
  <c r="E2285" i="16"/>
  <c r="E2284" i="16"/>
  <c r="E2283" i="16"/>
  <c r="E2282" i="16"/>
  <c r="E2281" i="16"/>
  <c r="E2280" i="16"/>
  <c r="E2279" i="16"/>
  <c r="E2278" i="16"/>
  <c r="E2277" i="16"/>
  <c r="E2276" i="16"/>
  <c r="E2275" i="16"/>
  <c r="E2274" i="16"/>
  <c r="E2273" i="16"/>
  <c r="E2272" i="16"/>
  <c r="E2271" i="16"/>
  <c r="E2270" i="16"/>
  <c r="E2269" i="16"/>
  <c r="E2268" i="16"/>
  <c r="E2267" i="16"/>
  <c r="E2266" i="16"/>
  <c r="E2265" i="16"/>
  <c r="E2264" i="16"/>
  <c r="E2263" i="16"/>
  <c r="E2262" i="16"/>
  <c r="E2261" i="16"/>
  <c r="E2260" i="16"/>
  <c r="E2259" i="16"/>
  <c r="E2258" i="16"/>
  <c r="E2257" i="16"/>
  <c r="E2256" i="16"/>
  <c r="E2255" i="16"/>
  <c r="E2254" i="16"/>
  <c r="E2253" i="16"/>
  <c r="E2252" i="16"/>
  <c r="E2251" i="16"/>
  <c r="E2250" i="16"/>
  <c r="E2249" i="16"/>
  <c r="E2248" i="16"/>
  <c r="E2247" i="16"/>
  <c r="E2246" i="16"/>
  <c r="E2245" i="16"/>
  <c r="E2244" i="16"/>
  <c r="E2243" i="16"/>
  <c r="E2242" i="16"/>
  <c r="E2241" i="16"/>
  <c r="E2240" i="16"/>
  <c r="E2239" i="16"/>
  <c r="E2238" i="16"/>
  <c r="E2237" i="16"/>
  <c r="E2236" i="16"/>
  <c r="E2235" i="16"/>
  <c r="E2234" i="16"/>
  <c r="E2233" i="16"/>
  <c r="E2232" i="16"/>
  <c r="E2231" i="16"/>
  <c r="E2230" i="16"/>
  <c r="E2229" i="16"/>
  <c r="E2228" i="16"/>
  <c r="E2227" i="16"/>
  <c r="E2226" i="16"/>
  <c r="E2225" i="16"/>
  <c r="E2224" i="16"/>
  <c r="E2223" i="16"/>
  <c r="E2222" i="16"/>
  <c r="E2221" i="16"/>
  <c r="E2220" i="16"/>
  <c r="E2219" i="16"/>
  <c r="E2218" i="16"/>
  <c r="E2217" i="16"/>
  <c r="E2216" i="16"/>
  <c r="E2215" i="16"/>
  <c r="E2214" i="16"/>
  <c r="E2213" i="16"/>
  <c r="E2212" i="16"/>
  <c r="E2211" i="16"/>
  <c r="E2210" i="16"/>
  <c r="E2209" i="16"/>
  <c r="E2208" i="16"/>
  <c r="E2207" i="16"/>
  <c r="E2206" i="16"/>
  <c r="E2205" i="16"/>
  <c r="E2204" i="16"/>
  <c r="E2203" i="16"/>
  <c r="E2202" i="16"/>
  <c r="E2201" i="16"/>
  <c r="E2200" i="16"/>
  <c r="E2199" i="16"/>
  <c r="E2198" i="16"/>
  <c r="E2197" i="16"/>
  <c r="E2196" i="16"/>
  <c r="E2195" i="16"/>
  <c r="E2194" i="16"/>
  <c r="E2193" i="16"/>
  <c r="E2192" i="16"/>
  <c r="E2191" i="16"/>
  <c r="E2190" i="16"/>
  <c r="E2189" i="16"/>
  <c r="E2188" i="16"/>
  <c r="E2187" i="16"/>
  <c r="E2186" i="16"/>
  <c r="E2185" i="16"/>
  <c r="E2184" i="16"/>
  <c r="E2183" i="16"/>
  <c r="E2182" i="16"/>
  <c r="E2181" i="16"/>
  <c r="E2180" i="16"/>
  <c r="E2179" i="16"/>
  <c r="E2178" i="16"/>
  <c r="E2177" i="16"/>
  <c r="E2176" i="16"/>
  <c r="E2175" i="16"/>
  <c r="E2174" i="16"/>
  <c r="E2173" i="16"/>
  <c r="E2172" i="16"/>
  <c r="E2171" i="16"/>
  <c r="E2170" i="16"/>
  <c r="E2169" i="16"/>
  <c r="E2168" i="16"/>
  <c r="E2167" i="16"/>
  <c r="E2166" i="16"/>
  <c r="E2165" i="16"/>
  <c r="E2164" i="16"/>
  <c r="E2163" i="16"/>
  <c r="E2162" i="16"/>
  <c r="E2161" i="16"/>
  <c r="E2160" i="16"/>
  <c r="E2159" i="16"/>
  <c r="E2158" i="16"/>
  <c r="E2157" i="16"/>
  <c r="E2156" i="16"/>
  <c r="E2155" i="16"/>
  <c r="E2154" i="16"/>
  <c r="E2153" i="16"/>
  <c r="E2152" i="16"/>
  <c r="E2151" i="16"/>
  <c r="E2150" i="16"/>
  <c r="E2149" i="16"/>
  <c r="E2148" i="16"/>
  <c r="E2147" i="16"/>
  <c r="E2146" i="16"/>
  <c r="E2145" i="16"/>
  <c r="E2144" i="16"/>
  <c r="E2143" i="16"/>
  <c r="E2142" i="16"/>
  <c r="E2141" i="16"/>
  <c r="E2140" i="16"/>
  <c r="E2139" i="16"/>
  <c r="E2138" i="16"/>
  <c r="E2137" i="16"/>
  <c r="E2136" i="16"/>
  <c r="E2135" i="16"/>
  <c r="E2134" i="16"/>
  <c r="E2133" i="16"/>
  <c r="E2132" i="16"/>
  <c r="E2131" i="16"/>
  <c r="E2130" i="16"/>
  <c r="E2129" i="16"/>
  <c r="E2128" i="16"/>
  <c r="E2127" i="16"/>
  <c r="E2126" i="16"/>
  <c r="E2125" i="16"/>
  <c r="E2124" i="16"/>
  <c r="E2123" i="16"/>
  <c r="E2122" i="16"/>
  <c r="E2121" i="16"/>
  <c r="E2120" i="16"/>
  <c r="E2119" i="16"/>
  <c r="E2118" i="16"/>
  <c r="E2117" i="16"/>
  <c r="E2116" i="16"/>
  <c r="E2115" i="16"/>
  <c r="E2114" i="16"/>
  <c r="E2113" i="16"/>
  <c r="E2112" i="16"/>
  <c r="E2111" i="16"/>
  <c r="E2110" i="16"/>
  <c r="E2109" i="16"/>
  <c r="E2108" i="16"/>
  <c r="E2107" i="16"/>
  <c r="E2106" i="16"/>
  <c r="E2105" i="16"/>
  <c r="E2104" i="16"/>
  <c r="E2103" i="16"/>
  <c r="E2102" i="16"/>
  <c r="E2101" i="16"/>
  <c r="E2100" i="16"/>
  <c r="E2099" i="16"/>
  <c r="E2098" i="16"/>
  <c r="E2097" i="16"/>
  <c r="E2096" i="16"/>
  <c r="E2095" i="16"/>
  <c r="E2094" i="16"/>
  <c r="E2093" i="16"/>
  <c r="E2092" i="16"/>
  <c r="E2091" i="16"/>
  <c r="E2090" i="16"/>
  <c r="E2089" i="16"/>
  <c r="E2088" i="16"/>
  <c r="E2087" i="16"/>
  <c r="E2086" i="16"/>
  <c r="E2085" i="16"/>
  <c r="E2084" i="16"/>
  <c r="E2083" i="16"/>
  <c r="E2082" i="16"/>
  <c r="E2081" i="16"/>
  <c r="E2080" i="16"/>
  <c r="E2079" i="16"/>
  <c r="E2078" i="16"/>
  <c r="E2077" i="16"/>
  <c r="E2076" i="16"/>
  <c r="E2075" i="16"/>
  <c r="E2074" i="16"/>
  <c r="E2073" i="16"/>
  <c r="E2072" i="16"/>
  <c r="E2071" i="16"/>
  <c r="E2070" i="16"/>
  <c r="E2069" i="16"/>
  <c r="E2068" i="16"/>
  <c r="E2067" i="16"/>
  <c r="E2066" i="16"/>
  <c r="E2065" i="16"/>
  <c r="E2064" i="16"/>
  <c r="E2063" i="16"/>
  <c r="E2062" i="16"/>
  <c r="E2061" i="16"/>
  <c r="E2060" i="16"/>
  <c r="E2059" i="16"/>
  <c r="E2058" i="16"/>
  <c r="E2057" i="16"/>
  <c r="E2056" i="16"/>
  <c r="E2055" i="16"/>
  <c r="E2054" i="16"/>
  <c r="E2053" i="16"/>
  <c r="E2052" i="16"/>
  <c r="E2051" i="16"/>
  <c r="E2050" i="16"/>
  <c r="E2049" i="16"/>
  <c r="E2048" i="16"/>
  <c r="E2047" i="16"/>
  <c r="E2046" i="16"/>
  <c r="E2045" i="16"/>
  <c r="E2044" i="16"/>
  <c r="E2043" i="16"/>
  <c r="E2042" i="16"/>
  <c r="E2041" i="16"/>
  <c r="E2040" i="16"/>
  <c r="E2039" i="16"/>
  <c r="E2038" i="16"/>
  <c r="E2037" i="16"/>
  <c r="E2036" i="16"/>
  <c r="E2035" i="16"/>
  <c r="E2034" i="16"/>
  <c r="E2033" i="16"/>
  <c r="E2032" i="16"/>
  <c r="E2031" i="16"/>
  <c r="E2030" i="16"/>
  <c r="E2029" i="16"/>
  <c r="E2028" i="16"/>
  <c r="E2027" i="16"/>
  <c r="E2026" i="16"/>
  <c r="E2025" i="16"/>
  <c r="E2024" i="16"/>
  <c r="E2023" i="16"/>
  <c r="E2022" i="16"/>
  <c r="E2021" i="16"/>
  <c r="E2020" i="16"/>
  <c r="E2019" i="16"/>
  <c r="E2018" i="16"/>
  <c r="E2017" i="16"/>
  <c r="E2016" i="16"/>
  <c r="E2015" i="16"/>
  <c r="E2014" i="16"/>
  <c r="E2013" i="16"/>
  <c r="E2012" i="16"/>
  <c r="E2011" i="16"/>
  <c r="E2010" i="16"/>
  <c r="E2009" i="16"/>
  <c r="E2008" i="16"/>
  <c r="E2007" i="16"/>
  <c r="E2006" i="16"/>
  <c r="E2005" i="16"/>
  <c r="E2004" i="16"/>
  <c r="E2003" i="16"/>
  <c r="E2002" i="16"/>
  <c r="E2001" i="16"/>
  <c r="E2000" i="16"/>
  <c r="E1999" i="16"/>
  <c r="E1998" i="16"/>
  <c r="E1997" i="16"/>
  <c r="E1996" i="16"/>
  <c r="E1995" i="16"/>
  <c r="E1994" i="16"/>
  <c r="E1993" i="16"/>
  <c r="E1992" i="16"/>
  <c r="E1991" i="16"/>
  <c r="E1990" i="16"/>
  <c r="E1989" i="16"/>
  <c r="E1988" i="16"/>
  <c r="E1987" i="16"/>
  <c r="E1986" i="16"/>
  <c r="E1985" i="16"/>
  <c r="E1984" i="16"/>
  <c r="E1983" i="16"/>
  <c r="E1982" i="16"/>
  <c r="E1981" i="16"/>
  <c r="E1980" i="16"/>
  <c r="E1979" i="16"/>
  <c r="E1978" i="16"/>
  <c r="E1977" i="16"/>
  <c r="E1976" i="16"/>
  <c r="E1975" i="16"/>
  <c r="E1974" i="16"/>
  <c r="E1973" i="16"/>
  <c r="E1972" i="16"/>
  <c r="E1971" i="16"/>
  <c r="E1970" i="16"/>
  <c r="E1969" i="16"/>
  <c r="E1968" i="16"/>
  <c r="E1967" i="16"/>
  <c r="E1966" i="16"/>
  <c r="E1965" i="16"/>
  <c r="E1964" i="16"/>
  <c r="E1963" i="16"/>
  <c r="E1962" i="16"/>
  <c r="E1961" i="16"/>
  <c r="E1960" i="16"/>
  <c r="E1959" i="16"/>
  <c r="E1958" i="16"/>
  <c r="E1957" i="16"/>
  <c r="E1956" i="16"/>
  <c r="E1955" i="16"/>
  <c r="E1954" i="16"/>
  <c r="E1953" i="16"/>
  <c r="E1952" i="16"/>
  <c r="E1951" i="16"/>
  <c r="E1950" i="16"/>
  <c r="E1949" i="16"/>
  <c r="E1948" i="16"/>
  <c r="E1947" i="16"/>
  <c r="E1946" i="16"/>
  <c r="E1945" i="16"/>
  <c r="E1944" i="16"/>
  <c r="E1943" i="16"/>
  <c r="E1942" i="16"/>
  <c r="E1941" i="16"/>
  <c r="E1940" i="16"/>
  <c r="E1939" i="16"/>
  <c r="E1938" i="16"/>
  <c r="E1937" i="16"/>
  <c r="E1936" i="16"/>
  <c r="E1935" i="16"/>
  <c r="E1934" i="16"/>
  <c r="E1933" i="16"/>
  <c r="E1932" i="16"/>
  <c r="E1931" i="16"/>
  <c r="E1930" i="16"/>
  <c r="E1929" i="16"/>
  <c r="E1928" i="16"/>
  <c r="E1927" i="16"/>
  <c r="E1926" i="16"/>
  <c r="E1925" i="16"/>
  <c r="E1924" i="16"/>
  <c r="E1923" i="16"/>
  <c r="E1922" i="16"/>
  <c r="E1921" i="16"/>
  <c r="E1920" i="16"/>
  <c r="E1919" i="16"/>
  <c r="E1918" i="16"/>
  <c r="E1917" i="16"/>
  <c r="E1916" i="16"/>
  <c r="E1915" i="16"/>
  <c r="E1914" i="16"/>
  <c r="E1913" i="16"/>
  <c r="E1912" i="16"/>
  <c r="E1911" i="16"/>
  <c r="E1910" i="16"/>
  <c r="E1909" i="16"/>
  <c r="E1908" i="16"/>
  <c r="E1907" i="16"/>
  <c r="E1906" i="16"/>
  <c r="E1905" i="16"/>
  <c r="E1904" i="16"/>
  <c r="E1903" i="16"/>
  <c r="E1902" i="16"/>
  <c r="E1901" i="16"/>
  <c r="E1900" i="16"/>
  <c r="E1899" i="16"/>
  <c r="E1898" i="16"/>
  <c r="E1897" i="16"/>
  <c r="E1896" i="16"/>
  <c r="E1895" i="16"/>
  <c r="E1894" i="16"/>
  <c r="E1893" i="16"/>
  <c r="E1892" i="16"/>
  <c r="E1891" i="16"/>
  <c r="E1890" i="16"/>
  <c r="E1889" i="16"/>
  <c r="E1888" i="16"/>
  <c r="E1887" i="16"/>
  <c r="E1886" i="16"/>
  <c r="E1885" i="16"/>
  <c r="E1884" i="16"/>
  <c r="E1883" i="16"/>
  <c r="E1882" i="16"/>
  <c r="E1881" i="16"/>
  <c r="E1880" i="16"/>
  <c r="E1879" i="16"/>
  <c r="E1878" i="16"/>
  <c r="E1877" i="16"/>
  <c r="E1876" i="16"/>
  <c r="E1875" i="16"/>
  <c r="E1874" i="16"/>
  <c r="E1873" i="16"/>
  <c r="E1872" i="16"/>
  <c r="E1871" i="16"/>
  <c r="E1870" i="16"/>
  <c r="E1869" i="16"/>
  <c r="E1868" i="16"/>
  <c r="E1867" i="16"/>
  <c r="E1866" i="16"/>
  <c r="E1865" i="16"/>
  <c r="E1864" i="16"/>
  <c r="E1863" i="16"/>
  <c r="E1862" i="16"/>
  <c r="E1861" i="16"/>
  <c r="E1860" i="16"/>
  <c r="E1859" i="16"/>
  <c r="E1858" i="16"/>
  <c r="E1857" i="16"/>
  <c r="E1856" i="16"/>
  <c r="E1855" i="16"/>
  <c r="E1854" i="16"/>
  <c r="E1853" i="16"/>
  <c r="E1852" i="16"/>
  <c r="E1851" i="16"/>
  <c r="E1850" i="16"/>
  <c r="E1849" i="16"/>
  <c r="E1848" i="16"/>
  <c r="E1847" i="16"/>
  <c r="E1846" i="16"/>
  <c r="E1845" i="16"/>
  <c r="E1844" i="16"/>
  <c r="E1843" i="16"/>
  <c r="E1842" i="16"/>
  <c r="E1841" i="16"/>
  <c r="E1840" i="16"/>
  <c r="E1839" i="16"/>
  <c r="E1838" i="16"/>
  <c r="E1837" i="16"/>
  <c r="E1836" i="16"/>
  <c r="E1835" i="16"/>
  <c r="E1834" i="16"/>
  <c r="E1833" i="16"/>
  <c r="E1832" i="16"/>
  <c r="E1831" i="16"/>
  <c r="E1830" i="16"/>
  <c r="E1829" i="16"/>
  <c r="E1828" i="16"/>
  <c r="E1827" i="16"/>
  <c r="E1826" i="16"/>
  <c r="E1825" i="16"/>
  <c r="E1824" i="16"/>
  <c r="E1823" i="16"/>
  <c r="E1822" i="16"/>
  <c r="E1821" i="16"/>
  <c r="E1820" i="16"/>
  <c r="E1819" i="16"/>
  <c r="E1818" i="16"/>
  <c r="E1817" i="16"/>
  <c r="E1816" i="16"/>
  <c r="E1815" i="16"/>
  <c r="E1814" i="16"/>
  <c r="E1813" i="16"/>
  <c r="E1812" i="16"/>
  <c r="E1811" i="16"/>
  <c r="E1810" i="16"/>
  <c r="E1809" i="16"/>
  <c r="E1808" i="16"/>
  <c r="E1807" i="16"/>
  <c r="E1806" i="16"/>
  <c r="E1805" i="16"/>
  <c r="E1804" i="16"/>
  <c r="E1803" i="16"/>
  <c r="E1802" i="16"/>
  <c r="E1801" i="16"/>
  <c r="E1800" i="16"/>
  <c r="E1799" i="16"/>
  <c r="E1798" i="16"/>
  <c r="E1797" i="16"/>
  <c r="E1796" i="16"/>
  <c r="E1795" i="16"/>
  <c r="E1794" i="16"/>
  <c r="E1793" i="16"/>
  <c r="E1792" i="16"/>
  <c r="E1791" i="16"/>
  <c r="E1790" i="16"/>
  <c r="E1789" i="16"/>
  <c r="E1788" i="16"/>
  <c r="E1787" i="16"/>
  <c r="E1786" i="16"/>
  <c r="E1785" i="16"/>
  <c r="E1784" i="16"/>
  <c r="E1783" i="16"/>
  <c r="E1782" i="16"/>
  <c r="E1781" i="16"/>
  <c r="E1780" i="16"/>
  <c r="E1779" i="16"/>
  <c r="E1778" i="16"/>
  <c r="E1777" i="16"/>
  <c r="E1776" i="16"/>
  <c r="E1775" i="16"/>
  <c r="E1774" i="16"/>
  <c r="E1773" i="16"/>
  <c r="E1772" i="16"/>
  <c r="E1771" i="16"/>
  <c r="E1770" i="16"/>
  <c r="E1769" i="16"/>
  <c r="E1768" i="16"/>
  <c r="E1767" i="16"/>
  <c r="E1766" i="16"/>
  <c r="E1765" i="16"/>
  <c r="E1764" i="16"/>
  <c r="E1763" i="16"/>
  <c r="E1762" i="16"/>
  <c r="E1761" i="16"/>
  <c r="E1760" i="16"/>
  <c r="E1759" i="16"/>
  <c r="E1758" i="16"/>
  <c r="E1757" i="16"/>
  <c r="E1756" i="16"/>
  <c r="E1755" i="16"/>
  <c r="E1754" i="16"/>
  <c r="E1753" i="16"/>
  <c r="E1752" i="16"/>
  <c r="E1751" i="16"/>
  <c r="E1750" i="16"/>
  <c r="E1749" i="16"/>
  <c r="E1748" i="16"/>
  <c r="E1747" i="16"/>
  <c r="E1746" i="16"/>
  <c r="E1745" i="16"/>
  <c r="E1744" i="16"/>
  <c r="E1743" i="16"/>
  <c r="E1742" i="16"/>
  <c r="E1741" i="16"/>
  <c r="E1740" i="16"/>
  <c r="E1739" i="16"/>
  <c r="E1738" i="16"/>
  <c r="E1737" i="16"/>
  <c r="E1736" i="16"/>
  <c r="E1735" i="16"/>
  <c r="E1734" i="16"/>
  <c r="E1733" i="16"/>
  <c r="E1732" i="16"/>
  <c r="E1731" i="16"/>
  <c r="E1730" i="16"/>
  <c r="E1729" i="16"/>
  <c r="E1728" i="16"/>
  <c r="E1727" i="16"/>
  <c r="E1726" i="16"/>
  <c r="E1725" i="16"/>
  <c r="E1724" i="16"/>
  <c r="E1723" i="16"/>
  <c r="E1722" i="16"/>
  <c r="E1721" i="16"/>
  <c r="E1720" i="16"/>
  <c r="E1719" i="16"/>
  <c r="E1718" i="16"/>
  <c r="E1717" i="16"/>
  <c r="E1716" i="16"/>
  <c r="E1715" i="16"/>
  <c r="E1714" i="16"/>
  <c r="E1713" i="16"/>
  <c r="E1712" i="16"/>
  <c r="E1711" i="16"/>
  <c r="E1710" i="16"/>
  <c r="E1709" i="16"/>
  <c r="E1708" i="16"/>
  <c r="E1707" i="16"/>
  <c r="E1706" i="16"/>
  <c r="E1705" i="16"/>
  <c r="E1704" i="16"/>
  <c r="E1703" i="16"/>
  <c r="E1702" i="16"/>
  <c r="E1701" i="16"/>
  <c r="E1700" i="16"/>
  <c r="E1699" i="16"/>
  <c r="E1698" i="16"/>
  <c r="E1697" i="16"/>
  <c r="E1696" i="16"/>
  <c r="E1695" i="16"/>
  <c r="E1694" i="16"/>
  <c r="E1693" i="16"/>
  <c r="E1692" i="16"/>
  <c r="E1691" i="16"/>
  <c r="E1690" i="16"/>
  <c r="E1689" i="16"/>
  <c r="E1688" i="16"/>
  <c r="E1687" i="16"/>
  <c r="E1686" i="16"/>
  <c r="E1685" i="16"/>
  <c r="E1684" i="16"/>
  <c r="E1683" i="16"/>
  <c r="E1682" i="16"/>
  <c r="E1681" i="16"/>
  <c r="E1680" i="16"/>
  <c r="E1679" i="16"/>
  <c r="E1678" i="16"/>
  <c r="E1677" i="16"/>
  <c r="E1676" i="16"/>
  <c r="E1675" i="16"/>
  <c r="E1674" i="16"/>
  <c r="E1673" i="16"/>
  <c r="E1672" i="16"/>
  <c r="E1671" i="16"/>
  <c r="E1670" i="16"/>
  <c r="E1669" i="16"/>
  <c r="E1668" i="16"/>
  <c r="E1667" i="16"/>
  <c r="E1666" i="16"/>
  <c r="E1665" i="16"/>
  <c r="E1664" i="16"/>
  <c r="E1663" i="16"/>
  <c r="E1662" i="16"/>
  <c r="E1661" i="16"/>
  <c r="E1660" i="16"/>
  <c r="E1659" i="16"/>
  <c r="E1658" i="16"/>
  <c r="E1657" i="16"/>
  <c r="E1656" i="16"/>
  <c r="E1655" i="16"/>
  <c r="E1654" i="16"/>
  <c r="E1653" i="16"/>
  <c r="E1652" i="16"/>
  <c r="E1651" i="16"/>
  <c r="E1650" i="16"/>
  <c r="E1649" i="16"/>
  <c r="E1648" i="16"/>
  <c r="E1647" i="16"/>
  <c r="E1646" i="16"/>
  <c r="E1645" i="16"/>
  <c r="E1644" i="16"/>
  <c r="E1643" i="16"/>
  <c r="E1642" i="16"/>
  <c r="E1641" i="16"/>
  <c r="E1640" i="16"/>
  <c r="E1639" i="16"/>
  <c r="E1638" i="16"/>
  <c r="E1637" i="16"/>
  <c r="E1636" i="16"/>
  <c r="E1635" i="16"/>
  <c r="E1634" i="16"/>
  <c r="E1633" i="16"/>
  <c r="E1632" i="16"/>
  <c r="E1631" i="16"/>
  <c r="E1630" i="16"/>
  <c r="E1629" i="16"/>
  <c r="E1628" i="16"/>
  <c r="E1627" i="16"/>
  <c r="E1626" i="16"/>
  <c r="E1625" i="16"/>
  <c r="E1624" i="16"/>
  <c r="E1623" i="16"/>
  <c r="E1622" i="16"/>
  <c r="E1621" i="16"/>
  <c r="E1620" i="16"/>
  <c r="E1619" i="16"/>
  <c r="E1618" i="16"/>
  <c r="E1617" i="16"/>
  <c r="E1616" i="16"/>
  <c r="E1615" i="16"/>
  <c r="E1614" i="16"/>
  <c r="E1613" i="16"/>
  <c r="E1612" i="16"/>
  <c r="E1611" i="16"/>
  <c r="E1610" i="16"/>
  <c r="E1609" i="16"/>
  <c r="E1608" i="16"/>
  <c r="E1607" i="16"/>
  <c r="E1606" i="16"/>
  <c r="E1605" i="16"/>
  <c r="E1604" i="16"/>
  <c r="E1603" i="16"/>
  <c r="E1602" i="16"/>
  <c r="E1601" i="16"/>
  <c r="E1600" i="16"/>
  <c r="E1599" i="16"/>
  <c r="E1598" i="16"/>
  <c r="E1597" i="16"/>
  <c r="E1596" i="16"/>
  <c r="E1595" i="16"/>
  <c r="E1594" i="16"/>
  <c r="E1593" i="16"/>
  <c r="E1592" i="16"/>
  <c r="E1591" i="16"/>
  <c r="E1590" i="16"/>
  <c r="E1589" i="16"/>
  <c r="E1588" i="16"/>
  <c r="E1587" i="16"/>
  <c r="E1586" i="16"/>
  <c r="E1585" i="16"/>
  <c r="E1584" i="16"/>
  <c r="E1583" i="16"/>
  <c r="E1582" i="16"/>
  <c r="E1581" i="16"/>
  <c r="E1580" i="16"/>
  <c r="E1579" i="16"/>
  <c r="E1578" i="16"/>
  <c r="E1577" i="16"/>
  <c r="E1576" i="16"/>
  <c r="E1575" i="16"/>
  <c r="E1574" i="16"/>
  <c r="E1573" i="16"/>
  <c r="E1572" i="16"/>
  <c r="E1571" i="16"/>
  <c r="E1570" i="16"/>
  <c r="E1569" i="16"/>
  <c r="E1568" i="16"/>
  <c r="E1567" i="16"/>
  <c r="E1566" i="16"/>
  <c r="E1565" i="16"/>
  <c r="E1564" i="16"/>
  <c r="E1563" i="16"/>
  <c r="E1562" i="16"/>
  <c r="E1561" i="16"/>
  <c r="E1560" i="16"/>
  <c r="E1559" i="16"/>
  <c r="E1558" i="16"/>
  <c r="E1557" i="16"/>
  <c r="E1556" i="16"/>
  <c r="E1555" i="16"/>
  <c r="E1554" i="16"/>
  <c r="E1553" i="16"/>
  <c r="E1552" i="16"/>
  <c r="E1551" i="16"/>
  <c r="E1550" i="16"/>
  <c r="E1549" i="16"/>
  <c r="E1548" i="16"/>
  <c r="E1547" i="16"/>
  <c r="E1546" i="16"/>
  <c r="E1545" i="16"/>
  <c r="E1544" i="16"/>
  <c r="E1543" i="16"/>
  <c r="E1542" i="16"/>
  <c r="E1541" i="16"/>
  <c r="E1540" i="16"/>
  <c r="E1539" i="16"/>
  <c r="E1538" i="16"/>
  <c r="E1537" i="16"/>
  <c r="E1536" i="16"/>
  <c r="E1535" i="16"/>
  <c r="E1534" i="16"/>
  <c r="E1533" i="16"/>
  <c r="E1532" i="16"/>
  <c r="E1531" i="16"/>
  <c r="E1530" i="16"/>
  <c r="E1529" i="16"/>
  <c r="E1528" i="16"/>
  <c r="E1527" i="16"/>
  <c r="E1526" i="16"/>
  <c r="E1525" i="16"/>
  <c r="E1524" i="16"/>
  <c r="E1523" i="16"/>
  <c r="E1522" i="16"/>
  <c r="E1521" i="16"/>
  <c r="E1520" i="16"/>
  <c r="E1519" i="16"/>
  <c r="E1518" i="16"/>
  <c r="E1517" i="16"/>
  <c r="E1516" i="16"/>
  <c r="E1515" i="16"/>
  <c r="E1514" i="16"/>
  <c r="E1513" i="16"/>
  <c r="E1512" i="16"/>
  <c r="E1511" i="16"/>
  <c r="E1510" i="16"/>
  <c r="E1509" i="16"/>
  <c r="E1508" i="16"/>
  <c r="E1507" i="16"/>
  <c r="E1506" i="16"/>
  <c r="E1505" i="16"/>
  <c r="E1504" i="16"/>
  <c r="E1503" i="16"/>
  <c r="E1502" i="16"/>
  <c r="E1501" i="16"/>
  <c r="E1500" i="16"/>
  <c r="E1499" i="16"/>
  <c r="E1498" i="16"/>
  <c r="E1497" i="16"/>
  <c r="E1496" i="16"/>
  <c r="E1495" i="16"/>
  <c r="E1494" i="16"/>
  <c r="E1493" i="16"/>
  <c r="E1492" i="16"/>
  <c r="E1491" i="16"/>
  <c r="E1490" i="16"/>
  <c r="E1489" i="16"/>
  <c r="E1488" i="16"/>
  <c r="E1487" i="16"/>
  <c r="E1486" i="16"/>
  <c r="E1485" i="16"/>
  <c r="E1484" i="16"/>
  <c r="E1483" i="16"/>
  <c r="E1482" i="16"/>
  <c r="E1481" i="16"/>
  <c r="E1480" i="16"/>
  <c r="E1479" i="16"/>
  <c r="E1478" i="16"/>
  <c r="E1477" i="16"/>
  <c r="E1476" i="16"/>
  <c r="E1475" i="16"/>
  <c r="E1474" i="16"/>
  <c r="E1473" i="16"/>
  <c r="E1472" i="16"/>
  <c r="E1471" i="16"/>
  <c r="E1470" i="16"/>
  <c r="E1469" i="16"/>
  <c r="E1468" i="16"/>
  <c r="E1467" i="16"/>
  <c r="E1466" i="16"/>
  <c r="E1465" i="16"/>
  <c r="E1464" i="16"/>
  <c r="E1463" i="16"/>
  <c r="E1462" i="16"/>
  <c r="E1461" i="16"/>
  <c r="E1460" i="16"/>
  <c r="E1459" i="16"/>
  <c r="E1458" i="16"/>
  <c r="E1457" i="16"/>
  <c r="E1456" i="16"/>
  <c r="E1455" i="16"/>
  <c r="E1454" i="16"/>
  <c r="E1453" i="16"/>
  <c r="E1452" i="16"/>
  <c r="E1451" i="16"/>
  <c r="E1450" i="16"/>
  <c r="E1449" i="16"/>
  <c r="E1448" i="16"/>
  <c r="E1447" i="16"/>
  <c r="E1446" i="16"/>
  <c r="E1445" i="16"/>
  <c r="E1444" i="16"/>
  <c r="E1443" i="16"/>
  <c r="E1442" i="16"/>
  <c r="E1441" i="16"/>
  <c r="E1440" i="16"/>
  <c r="E1439" i="16"/>
  <c r="E1438" i="16"/>
  <c r="E1437" i="16"/>
  <c r="E1436" i="16"/>
  <c r="E1435" i="16"/>
  <c r="E1434" i="16"/>
  <c r="E1433" i="16"/>
  <c r="E1432" i="16"/>
  <c r="E1431" i="16"/>
  <c r="E1430" i="16"/>
  <c r="E1429" i="16"/>
  <c r="E1428" i="16"/>
  <c r="E1427" i="16"/>
  <c r="E1426" i="16"/>
  <c r="E1425" i="16"/>
  <c r="E1424" i="16"/>
  <c r="E1423" i="16"/>
  <c r="E1422" i="16"/>
  <c r="E1421" i="16"/>
  <c r="E1420" i="16"/>
  <c r="E1419" i="16"/>
  <c r="E1418" i="16"/>
  <c r="E1417" i="16"/>
  <c r="E1416" i="16"/>
  <c r="E1415" i="16"/>
  <c r="E1414" i="16"/>
  <c r="E1413" i="16"/>
  <c r="E1412" i="16"/>
  <c r="E1411" i="16"/>
  <c r="E1410" i="16"/>
  <c r="E1409" i="16"/>
  <c r="E1408" i="16"/>
  <c r="E1407" i="16"/>
  <c r="E1406" i="16"/>
  <c r="E1405" i="16"/>
  <c r="E1404" i="16"/>
  <c r="E1403" i="16"/>
  <c r="E1402" i="16"/>
  <c r="E1401" i="16"/>
  <c r="E1400" i="16"/>
  <c r="E1399" i="16"/>
  <c r="E1398" i="16"/>
  <c r="E1397" i="16"/>
  <c r="E1396" i="16"/>
  <c r="E1395" i="16"/>
  <c r="E1394" i="16"/>
  <c r="E1393" i="16"/>
  <c r="E1392" i="16"/>
  <c r="E1391" i="16"/>
  <c r="E1390" i="16"/>
  <c r="E1389" i="16"/>
  <c r="E1388" i="16"/>
  <c r="E1387" i="16"/>
  <c r="E1386" i="16"/>
  <c r="E1385" i="16"/>
  <c r="E1384" i="16"/>
  <c r="E1383" i="16"/>
  <c r="E1382" i="16"/>
  <c r="E1381" i="16"/>
  <c r="E1380" i="16"/>
  <c r="E1379" i="16"/>
  <c r="E1378" i="16"/>
  <c r="E1377" i="16"/>
  <c r="E1376" i="16"/>
  <c r="E1375" i="16"/>
  <c r="E1374" i="16"/>
  <c r="E1373" i="16"/>
  <c r="E1372" i="16"/>
  <c r="E1371" i="16"/>
  <c r="E1370" i="16"/>
  <c r="E1369" i="16"/>
  <c r="E1368" i="16"/>
  <c r="E1367" i="16"/>
  <c r="E1366" i="16"/>
  <c r="E1365" i="16"/>
  <c r="E1364" i="16"/>
  <c r="E1363" i="16"/>
  <c r="E1362" i="16"/>
  <c r="E1361" i="16"/>
  <c r="E1360" i="16"/>
  <c r="E1359" i="16"/>
  <c r="E1358" i="16"/>
  <c r="E1357" i="16"/>
  <c r="E1356" i="16"/>
  <c r="E1355" i="16"/>
  <c r="E1354" i="16"/>
  <c r="E1353" i="16"/>
  <c r="E1352" i="16"/>
  <c r="E1351" i="16"/>
  <c r="E1350" i="16"/>
  <c r="E1349" i="16"/>
  <c r="E1348" i="16"/>
  <c r="E1347" i="16"/>
  <c r="E1346" i="16"/>
  <c r="E1345" i="16"/>
  <c r="E1344" i="16"/>
  <c r="E1343" i="16"/>
  <c r="E1342" i="16"/>
  <c r="E1341" i="16"/>
  <c r="E1340" i="16"/>
  <c r="E1339" i="16"/>
  <c r="E1338" i="16"/>
  <c r="E1337" i="16"/>
  <c r="E1336" i="16"/>
  <c r="E1335" i="16"/>
  <c r="E1334" i="16"/>
  <c r="E1333" i="16"/>
  <c r="E1332" i="16"/>
  <c r="E1331" i="16"/>
  <c r="E1330" i="16"/>
  <c r="E1329" i="16"/>
  <c r="E1328" i="16"/>
  <c r="E1327" i="16"/>
  <c r="E1326" i="16"/>
  <c r="E1325" i="16"/>
  <c r="E1324" i="16"/>
  <c r="E1323" i="16"/>
  <c r="E1322" i="16"/>
  <c r="E1321" i="16"/>
  <c r="E1320" i="16"/>
  <c r="E1319" i="16"/>
  <c r="E1318" i="16"/>
  <c r="E1317" i="16"/>
  <c r="E1316" i="16"/>
  <c r="E1315" i="16"/>
  <c r="E1314" i="16"/>
  <c r="E1313" i="16"/>
  <c r="E1312" i="16"/>
  <c r="E1311" i="16"/>
  <c r="E1310" i="16"/>
  <c r="E1309" i="16"/>
  <c r="E1308" i="16"/>
  <c r="E1307" i="16"/>
  <c r="E1306" i="16"/>
  <c r="E1305" i="16"/>
  <c r="E1304" i="16"/>
  <c r="E1303" i="16"/>
  <c r="E1302" i="16"/>
  <c r="E1301" i="16"/>
  <c r="E1300" i="16"/>
  <c r="E1299" i="16"/>
  <c r="E1298" i="16"/>
  <c r="E1297" i="16"/>
  <c r="E1296" i="16"/>
  <c r="E1295" i="16"/>
  <c r="E1294" i="16"/>
  <c r="E1293" i="16"/>
  <c r="E1292" i="16"/>
  <c r="E1291" i="16"/>
  <c r="E1290" i="16"/>
  <c r="E1289" i="16"/>
  <c r="E1288" i="16"/>
  <c r="E1287" i="16"/>
  <c r="E1286" i="16"/>
  <c r="E1285" i="16"/>
  <c r="E1284" i="16"/>
  <c r="E1283" i="16"/>
  <c r="E1282" i="16"/>
  <c r="E1281" i="16"/>
  <c r="E1280" i="16"/>
  <c r="E1279" i="16"/>
  <c r="E1278" i="16"/>
  <c r="E1277" i="16"/>
  <c r="E1276" i="16"/>
  <c r="E1275" i="16"/>
  <c r="E1274" i="16"/>
  <c r="E1273" i="16"/>
  <c r="E1272" i="16"/>
  <c r="E1271" i="16"/>
  <c r="E1270" i="16"/>
  <c r="E1269" i="16"/>
  <c r="E1268" i="16"/>
  <c r="E1267" i="16"/>
  <c r="E1266" i="16"/>
  <c r="E1265" i="16"/>
  <c r="E1264" i="16"/>
  <c r="E1263" i="16"/>
  <c r="E1262" i="16"/>
  <c r="E1261" i="16"/>
  <c r="E1260" i="16"/>
  <c r="E1259" i="16"/>
  <c r="E1258" i="16"/>
  <c r="E1257" i="16"/>
  <c r="E1256" i="16"/>
  <c r="E1255" i="16"/>
  <c r="E1254" i="16"/>
  <c r="E1253" i="16"/>
  <c r="E1252" i="16"/>
  <c r="E1251" i="16"/>
  <c r="E1250" i="16"/>
  <c r="E1249" i="16"/>
  <c r="E1248" i="16"/>
  <c r="E1247" i="16"/>
  <c r="E1246" i="16"/>
  <c r="E1245" i="16"/>
  <c r="E1244" i="16"/>
  <c r="E1243" i="16"/>
  <c r="E1242" i="16"/>
  <c r="E1241" i="16"/>
  <c r="E1240" i="16"/>
  <c r="E1239" i="16"/>
  <c r="E1238" i="16"/>
  <c r="E1237" i="16"/>
  <c r="E1236" i="16"/>
  <c r="E1235" i="16"/>
  <c r="E1234" i="16"/>
  <c r="E1233" i="16"/>
  <c r="E1232" i="16"/>
  <c r="E1231" i="16"/>
  <c r="E1230" i="16"/>
  <c r="E1229" i="16"/>
  <c r="E1228" i="16"/>
  <c r="E1227" i="16"/>
  <c r="E1226" i="16"/>
  <c r="E1225" i="16"/>
  <c r="E1224" i="16"/>
  <c r="E1223" i="16"/>
  <c r="E1222" i="16"/>
  <c r="E1221" i="16"/>
  <c r="E1220" i="16"/>
  <c r="E1219" i="16"/>
  <c r="E1218" i="16"/>
  <c r="E1217" i="16"/>
  <c r="E1216" i="16"/>
  <c r="E1215" i="16"/>
  <c r="E1214" i="16"/>
  <c r="E1213" i="16"/>
  <c r="E1212" i="16"/>
  <c r="E1211" i="16"/>
  <c r="E1210" i="16"/>
  <c r="E1209" i="16"/>
  <c r="E1208" i="16"/>
  <c r="E1207" i="16"/>
  <c r="E1206" i="16"/>
  <c r="E1205" i="16"/>
  <c r="E1204" i="16"/>
  <c r="E1203" i="16"/>
  <c r="E1202" i="16"/>
  <c r="E1201" i="16"/>
  <c r="E1200" i="16"/>
  <c r="E1199" i="16"/>
  <c r="E1198" i="16"/>
  <c r="E1197" i="16"/>
  <c r="E1196" i="16"/>
  <c r="E1195" i="16"/>
  <c r="E1194" i="16"/>
  <c r="E1193" i="16"/>
  <c r="E1192" i="16"/>
  <c r="E1191" i="16"/>
  <c r="E1190" i="16"/>
  <c r="E1189" i="16"/>
  <c r="E1188" i="16"/>
  <c r="E1187" i="16"/>
  <c r="E1186" i="16"/>
  <c r="E1185" i="16"/>
  <c r="E1184" i="16"/>
  <c r="E1183" i="16"/>
  <c r="E1182" i="16"/>
  <c r="E1181" i="16"/>
  <c r="E1180" i="16"/>
  <c r="E1179" i="16"/>
  <c r="E1178" i="16"/>
  <c r="E1177" i="16"/>
  <c r="E1176" i="16"/>
  <c r="E1175" i="16"/>
  <c r="E1174" i="16"/>
  <c r="E1173" i="16"/>
  <c r="E1172" i="16"/>
  <c r="E1171" i="16"/>
  <c r="E1170" i="16"/>
  <c r="E1169" i="16"/>
  <c r="E1168" i="16"/>
  <c r="E1167" i="16"/>
  <c r="E1166" i="16"/>
  <c r="E1165" i="16"/>
  <c r="E1164" i="16"/>
  <c r="E1163" i="16"/>
  <c r="E1162" i="16"/>
  <c r="E1161" i="16"/>
  <c r="E1160" i="16"/>
  <c r="E1159" i="16"/>
  <c r="E1158" i="16"/>
  <c r="E1157" i="16"/>
  <c r="E1156" i="16"/>
  <c r="E1155" i="16"/>
  <c r="E1154" i="16"/>
  <c r="E1153" i="16"/>
  <c r="E1152" i="16"/>
  <c r="E1151" i="16"/>
  <c r="E1150" i="16"/>
  <c r="E1149" i="16"/>
  <c r="E1148" i="16"/>
  <c r="E1147" i="16"/>
  <c r="E1146" i="16"/>
  <c r="E1145" i="16"/>
  <c r="E1144" i="16"/>
  <c r="E1143" i="16"/>
  <c r="E1142" i="16"/>
  <c r="E1141" i="16"/>
  <c r="E1140" i="16"/>
  <c r="E1139" i="16"/>
  <c r="E1138" i="16"/>
  <c r="E1137" i="16"/>
  <c r="E1136" i="16"/>
  <c r="E1135" i="16"/>
  <c r="E1134" i="16"/>
  <c r="E1133" i="16"/>
  <c r="E1132" i="16"/>
  <c r="E1131" i="16"/>
  <c r="E1130" i="16"/>
  <c r="E1129" i="16"/>
  <c r="E1128" i="16"/>
  <c r="E1127" i="16"/>
  <c r="E1126" i="16"/>
  <c r="E1125" i="16"/>
  <c r="E1124" i="16"/>
  <c r="E1123" i="16"/>
  <c r="E1122" i="16"/>
  <c r="E1121" i="16"/>
  <c r="E1120" i="16"/>
  <c r="E1119" i="16"/>
  <c r="E1118" i="16"/>
  <c r="E1117" i="16"/>
  <c r="E1116" i="16"/>
  <c r="E1115" i="16"/>
  <c r="E1114" i="16"/>
  <c r="E1113" i="16"/>
  <c r="E1112" i="16"/>
  <c r="E1111" i="16"/>
  <c r="E1110" i="16"/>
  <c r="E1109" i="16"/>
  <c r="E1108" i="16"/>
  <c r="E1107" i="16"/>
  <c r="E1106" i="16"/>
  <c r="E1105" i="16"/>
  <c r="E1104" i="16"/>
  <c r="E1103" i="16"/>
  <c r="E1102" i="16"/>
  <c r="E1101" i="16"/>
  <c r="E1100" i="16"/>
  <c r="E1099" i="16"/>
  <c r="E1098" i="16"/>
  <c r="E1097" i="16"/>
  <c r="E1096" i="16"/>
  <c r="E1095" i="16"/>
  <c r="E1094" i="16"/>
  <c r="E1093" i="16"/>
  <c r="E1092" i="16"/>
  <c r="E1091" i="16"/>
  <c r="E1090" i="16"/>
  <c r="E1089" i="16"/>
  <c r="E1088" i="16"/>
  <c r="E1087" i="16"/>
  <c r="E1086" i="16"/>
  <c r="E1085" i="16"/>
  <c r="E1084" i="16"/>
  <c r="E1083" i="16"/>
  <c r="E1082" i="16"/>
  <c r="E1081" i="16"/>
  <c r="E1080" i="16"/>
  <c r="E1079" i="16"/>
  <c r="E1078" i="16"/>
  <c r="E1077" i="16"/>
  <c r="E1076" i="16"/>
  <c r="E1075" i="16"/>
  <c r="E1074" i="16"/>
  <c r="E1073" i="16"/>
  <c r="E1072" i="16"/>
  <c r="E1071" i="16"/>
  <c r="E1070" i="16"/>
  <c r="E1069" i="16"/>
  <c r="E1068" i="16"/>
  <c r="E1067" i="16"/>
  <c r="E1066" i="16"/>
  <c r="E1065" i="16"/>
  <c r="E1064" i="16"/>
  <c r="E1063" i="16"/>
  <c r="E1062" i="16"/>
  <c r="E1061" i="16"/>
  <c r="E1060" i="16"/>
  <c r="E1059" i="16"/>
  <c r="E1058" i="16"/>
  <c r="E1057" i="16"/>
  <c r="E1056" i="16"/>
  <c r="E1055" i="16"/>
  <c r="E1054" i="16"/>
  <c r="E1053" i="16"/>
  <c r="E1052" i="16"/>
  <c r="E1051" i="16"/>
  <c r="E1050" i="16"/>
  <c r="E1049" i="16"/>
  <c r="E1048" i="16"/>
  <c r="E1047" i="16"/>
  <c r="E1046" i="16"/>
  <c r="E1045" i="16"/>
  <c r="E1044" i="16"/>
  <c r="E1043" i="16"/>
  <c r="E1042" i="16"/>
  <c r="E1041" i="16"/>
  <c r="E1040" i="16"/>
  <c r="E1039" i="16"/>
  <c r="E1038" i="16"/>
  <c r="E1037" i="16"/>
  <c r="E1036" i="16"/>
  <c r="E1035" i="16"/>
  <c r="E1034" i="16"/>
  <c r="E1033" i="16"/>
  <c r="E1032" i="16"/>
  <c r="E1031" i="16"/>
  <c r="E1030" i="16"/>
  <c r="E1029" i="16"/>
  <c r="E1028" i="16"/>
  <c r="E1027" i="16"/>
  <c r="E1026" i="16"/>
  <c r="E1025" i="16"/>
  <c r="E1024" i="16"/>
  <c r="E1023" i="16"/>
  <c r="E1022" i="16"/>
  <c r="E1021" i="16"/>
  <c r="E1020" i="16"/>
  <c r="E1019" i="16"/>
  <c r="E1018" i="16"/>
  <c r="E1017" i="16"/>
  <c r="E1016" i="16"/>
  <c r="E1015" i="16"/>
  <c r="E1014" i="16"/>
  <c r="E1013" i="16"/>
  <c r="E1012" i="16"/>
  <c r="E1011" i="16"/>
  <c r="E1010" i="16"/>
  <c r="E1009" i="16"/>
  <c r="E1008" i="16"/>
  <c r="E1007" i="16"/>
  <c r="E1006" i="16"/>
  <c r="E1005" i="16"/>
  <c r="E1004" i="16"/>
  <c r="E1003" i="16"/>
  <c r="E1002" i="16"/>
  <c r="E1001" i="16"/>
  <c r="E1000" i="16"/>
  <c r="E999" i="16"/>
  <c r="E998" i="16"/>
  <c r="E997" i="16"/>
  <c r="E996" i="16"/>
  <c r="E995" i="16"/>
  <c r="E994" i="16"/>
  <c r="E993" i="16"/>
  <c r="E992" i="16"/>
  <c r="E991" i="16"/>
  <c r="E990" i="16"/>
  <c r="E989" i="16"/>
  <c r="E988" i="16"/>
  <c r="E987" i="16"/>
  <c r="E986" i="16"/>
  <c r="O984" i="16"/>
  <c r="O983" i="16"/>
  <c r="O982" i="16"/>
  <c r="O981" i="16"/>
  <c r="O980" i="16"/>
  <c r="O979" i="16"/>
  <c r="O978" i="16"/>
  <c r="O977" i="16"/>
  <c r="O976" i="16"/>
  <c r="O975" i="16"/>
  <c r="O974" i="16"/>
  <c r="O973" i="16"/>
  <c r="O972" i="16"/>
  <c r="O971" i="16"/>
  <c r="O970" i="16"/>
  <c r="O969" i="16"/>
  <c r="O968" i="16"/>
  <c r="O967" i="16"/>
  <c r="O966" i="16"/>
  <c r="O965" i="16"/>
  <c r="O964" i="16"/>
  <c r="O963" i="16"/>
  <c r="O962" i="16"/>
  <c r="O961" i="16"/>
  <c r="O960" i="16"/>
  <c r="O959" i="16"/>
  <c r="O958" i="16"/>
  <c r="O957" i="16"/>
  <c r="O956" i="16"/>
  <c r="O955" i="16"/>
  <c r="O954" i="16"/>
  <c r="O953" i="16"/>
  <c r="O952" i="16"/>
  <c r="O951" i="16"/>
  <c r="O950" i="16"/>
  <c r="O949" i="16"/>
  <c r="O948" i="16"/>
  <c r="O947" i="16"/>
  <c r="O946" i="16"/>
  <c r="O945" i="16"/>
  <c r="O944" i="16"/>
  <c r="O943" i="16"/>
  <c r="O942" i="16"/>
  <c r="O941" i="16"/>
  <c r="O940" i="16"/>
  <c r="O939" i="16"/>
  <c r="O938" i="16"/>
  <c r="O937" i="16"/>
  <c r="O936" i="16"/>
  <c r="O935" i="16"/>
  <c r="O934" i="16"/>
  <c r="O933" i="16"/>
  <c r="O932" i="16"/>
  <c r="O931" i="16"/>
  <c r="O930" i="16"/>
  <c r="O929" i="16"/>
  <c r="O928" i="16"/>
  <c r="O927" i="16"/>
  <c r="O926" i="16"/>
  <c r="O925" i="16"/>
  <c r="O924" i="16"/>
  <c r="O923" i="16"/>
  <c r="O922" i="16"/>
  <c r="O921" i="16"/>
  <c r="O920" i="16"/>
  <c r="O919" i="16"/>
  <c r="O918" i="16"/>
  <c r="O917" i="16"/>
  <c r="O916" i="16"/>
  <c r="O915" i="16"/>
  <c r="O914" i="16"/>
  <c r="O913" i="16"/>
  <c r="O912" i="16"/>
  <c r="O911" i="16"/>
  <c r="O910" i="16"/>
  <c r="O909" i="16"/>
  <c r="O908" i="16"/>
  <c r="O907" i="16"/>
  <c r="O906" i="16"/>
  <c r="O905" i="16"/>
  <c r="O904" i="16"/>
  <c r="O903" i="16"/>
  <c r="O902" i="16"/>
  <c r="O901" i="16"/>
  <c r="O900" i="16"/>
  <c r="O899" i="16"/>
  <c r="O898" i="16"/>
  <c r="O897" i="16"/>
  <c r="O896" i="16"/>
  <c r="O895" i="16"/>
  <c r="O894" i="16"/>
  <c r="O893" i="16"/>
  <c r="O892" i="16"/>
  <c r="O891" i="16"/>
  <c r="O890" i="16"/>
  <c r="O889" i="16"/>
  <c r="O888" i="16"/>
  <c r="O887" i="16"/>
  <c r="O886" i="16"/>
  <c r="O885" i="16"/>
  <c r="O884" i="16"/>
  <c r="O883" i="16"/>
  <c r="O882" i="16"/>
  <c r="O881" i="16"/>
  <c r="O880" i="16"/>
  <c r="O879" i="16"/>
  <c r="O878" i="16"/>
  <c r="O877" i="16"/>
  <c r="O876" i="16"/>
  <c r="O875" i="16"/>
  <c r="O874" i="16"/>
  <c r="O873" i="16"/>
  <c r="O872" i="16"/>
  <c r="O871" i="16"/>
  <c r="O870" i="16"/>
  <c r="O869" i="16"/>
  <c r="O868" i="16"/>
  <c r="O867" i="16"/>
  <c r="O866" i="16"/>
  <c r="O865" i="16"/>
  <c r="O864" i="16"/>
  <c r="O863" i="16"/>
  <c r="O862" i="16"/>
  <c r="O861" i="16"/>
  <c r="O860" i="16"/>
  <c r="O859" i="16"/>
  <c r="O858" i="16"/>
  <c r="O857" i="16"/>
  <c r="O856" i="16"/>
  <c r="O855" i="16"/>
  <c r="O854" i="16"/>
  <c r="O853" i="16"/>
  <c r="O852" i="16"/>
  <c r="O851" i="16"/>
  <c r="O850" i="16"/>
  <c r="O849" i="16"/>
  <c r="O848" i="16"/>
  <c r="O847" i="16"/>
  <c r="O846" i="16"/>
  <c r="O845" i="16"/>
  <c r="O844" i="16"/>
  <c r="O843" i="16"/>
  <c r="O842" i="16"/>
  <c r="O841" i="16"/>
  <c r="O840" i="16"/>
  <c r="O839" i="16"/>
  <c r="O838" i="16"/>
  <c r="O837" i="16"/>
  <c r="O836" i="16"/>
  <c r="O835" i="16"/>
  <c r="O834" i="16"/>
  <c r="O833" i="16"/>
  <c r="O832" i="16"/>
  <c r="O831" i="16"/>
  <c r="O830" i="16"/>
  <c r="O829" i="16"/>
  <c r="O828" i="16"/>
  <c r="O827" i="16"/>
  <c r="O826" i="16"/>
  <c r="O825" i="16"/>
  <c r="O824" i="16"/>
  <c r="O823" i="16"/>
  <c r="O822" i="16"/>
  <c r="O821" i="16"/>
  <c r="O820" i="16"/>
  <c r="O819" i="16"/>
  <c r="O818" i="16"/>
  <c r="O817" i="16"/>
  <c r="O816" i="16"/>
  <c r="O815" i="16"/>
  <c r="O814" i="16"/>
  <c r="O813" i="16"/>
  <c r="O812" i="16"/>
  <c r="O811" i="16"/>
  <c r="O810" i="16"/>
  <c r="O809" i="16"/>
  <c r="O808" i="16"/>
  <c r="O807" i="16"/>
  <c r="O806" i="16"/>
  <c r="O805" i="16"/>
  <c r="O804" i="16"/>
  <c r="O803" i="16"/>
  <c r="O802" i="16"/>
  <c r="O801" i="16"/>
  <c r="O800" i="16"/>
  <c r="O799" i="16"/>
  <c r="O798" i="16"/>
  <c r="O797" i="16"/>
  <c r="O796" i="16"/>
  <c r="O795" i="16"/>
  <c r="O794" i="16"/>
  <c r="O793" i="16"/>
  <c r="O792" i="16"/>
  <c r="O791" i="16"/>
  <c r="O790" i="16"/>
  <c r="O789" i="16"/>
  <c r="O788" i="16"/>
  <c r="O787" i="16"/>
  <c r="O786" i="16"/>
  <c r="O785" i="16"/>
  <c r="O784" i="16"/>
  <c r="O783" i="16"/>
  <c r="O782" i="16"/>
  <c r="O781" i="16"/>
  <c r="O780" i="16"/>
  <c r="O779" i="16"/>
  <c r="O778" i="16"/>
  <c r="O777" i="16"/>
  <c r="O776" i="16"/>
  <c r="O775" i="16"/>
  <c r="O774" i="16"/>
  <c r="O773" i="16"/>
  <c r="O772" i="16"/>
  <c r="O771" i="16"/>
  <c r="O770" i="16"/>
  <c r="O769" i="16"/>
  <c r="O768" i="16"/>
  <c r="O767" i="16"/>
  <c r="O766" i="16"/>
  <c r="O765" i="16"/>
  <c r="O764" i="16"/>
  <c r="O763" i="16"/>
  <c r="O762" i="16"/>
  <c r="O761" i="16"/>
  <c r="O760" i="16"/>
  <c r="O759" i="16"/>
  <c r="O758" i="16"/>
  <c r="O757" i="16"/>
  <c r="O756" i="16"/>
  <c r="O755" i="16"/>
  <c r="O754" i="16"/>
  <c r="O753" i="16"/>
  <c r="O752" i="16"/>
  <c r="O751" i="16"/>
  <c r="O750" i="16"/>
  <c r="O749" i="16"/>
  <c r="O748" i="16"/>
  <c r="O747" i="16"/>
  <c r="O746" i="16"/>
  <c r="O745" i="16"/>
  <c r="O744" i="16"/>
  <c r="O743" i="16"/>
  <c r="O742" i="16"/>
  <c r="O741" i="16"/>
  <c r="O740" i="16"/>
  <c r="O739" i="16"/>
  <c r="O738" i="16"/>
  <c r="O737" i="16"/>
  <c r="O736" i="16"/>
  <c r="O735" i="16"/>
  <c r="O734" i="16"/>
  <c r="O733" i="16"/>
  <c r="O732" i="16"/>
  <c r="O731" i="16"/>
  <c r="O730" i="16"/>
  <c r="O729" i="16"/>
  <c r="O728" i="16"/>
  <c r="O727" i="16"/>
  <c r="O726" i="16"/>
  <c r="O725" i="16"/>
  <c r="O724" i="16"/>
  <c r="O723" i="16"/>
  <c r="O722" i="16"/>
  <c r="O721" i="16"/>
  <c r="O720" i="16"/>
  <c r="O719" i="16"/>
  <c r="O718" i="16"/>
  <c r="O717" i="16"/>
  <c r="O716" i="16"/>
  <c r="O715" i="16"/>
  <c r="O714" i="16"/>
  <c r="O713" i="16"/>
  <c r="O712" i="16"/>
  <c r="O711" i="16"/>
  <c r="O710" i="16"/>
  <c r="O709" i="16"/>
  <c r="O708" i="16"/>
  <c r="O707" i="16"/>
  <c r="O706" i="16"/>
  <c r="O705" i="16"/>
  <c r="O704" i="16"/>
  <c r="O703" i="16"/>
  <c r="O702" i="16"/>
  <c r="O701" i="16"/>
  <c r="O700" i="16"/>
  <c r="O699" i="16"/>
  <c r="O698" i="16"/>
  <c r="O697" i="16"/>
  <c r="O696" i="16"/>
  <c r="O695" i="16"/>
  <c r="O694" i="16"/>
  <c r="O693" i="16"/>
  <c r="O692" i="16"/>
  <c r="O691" i="16"/>
  <c r="O690" i="16"/>
  <c r="O689" i="16"/>
  <c r="O688" i="16"/>
  <c r="O687" i="16"/>
  <c r="O686" i="16"/>
  <c r="O685" i="16"/>
  <c r="O684" i="16"/>
  <c r="O683" i="16"/>
  <c r="O682" i="16"/>
  <c r="O681" i="16"/>
  <c r="O680" i="16"/>
  <c r="O679" i="16"/>
  <c r="O678" i="16"/>
  <c r="O677" i="16"/>
  <c r="O676" i="16"/>
  <c r="O675" i="16"/>
  <c r="O674" i="16"/>
  <c r="O673" i="16"/>
  <c r="O672" i="16"/>
  <c r="O671" i="16"/>
  <c r="O670" i="16"/>
  <c r="O669" i="16"/>
  <c r="O668" i="16"/>
  <c r="O667" i="16"/>
  <c r="O666" i="16"/>
  <c r="O665" i="16"/>
  <c r="O664" i="16"/>
  <c r="O663" i="16"/>
  <c r="O662" i="16"/>
  <c r="O661" i="16"/>
  <c r="O660" i="16"/>
  <c r="O659" i="16"/>
  <c r="O658" i="16"/>
  <c r="O657" i="16"/>
  <c r="O656" i="16"/>
  <c r="O655" i="16"/>
  <c r="O654" i="16"/>
  <c r="O653" i="16"/>
  <c r="O652" i="16"/>
  <c r="O651" i="16"/>
  <c r="O650" i="16"/>
  <c r="O649" i="16"/>
  <c r="O648" i="16"/>
  <c r="O647" i="16"/>
  <c r="O646" i="16"/>
  <c r="O645" i="16"/>
  <c r="O644" i="16"/>
  <c r="O643" i="16"/>
  <c r="O642" i="16"/>
  <c r="O641" i="16"/>
  <c r="O640" i="16"/>
  <c r="O639" i="16"/>
  <c r="O638" i="16"/>
  <c r="O637" i="16"/>
  <c r="O636" i="16"/>
  <c r="O635" i="16"/>
  <c r="O634" i="16"/>
  <c r="O633" i="16"/>
  <c r="O632" i="16"/>
  <c r="O631" i="16"/>
  <c r="O630" i="16"/>
  <c r="O629" i="16"/>
  <c r="O628" i="16"/>
  <c r="O627" i="16"/>
  <c r="O626" i="16"/>
  <c r="O625" i="16"/>
  <c r="O624" i="16"/>
  <c r="O623" i="16"/>
  <c r="O622" i="16"/>
  <c r="O621" i="16"/>
  <c r="O620" i="16"/>
  <c r="O619" i="16"/>
  <c r="O618" i="16"/>
  <c r="O617" i="16"/>
  <c r="O616" i="16"/>
  <c r="O615" i="16"/>
  <c r="O614" i="16"/>
  <c r="O613" i="16"/>
  <c r="O612" i="16"/>
  <c r="O611" i="16"/>
  <c r="O610" i="16"/>
  <c r="O609" i="16"/>
  <c r="O608" i="16"/>
  <c r="O607" i="16"/>
  <c r="O606" i="16"/>
  <c r="O605" i="16"/>
  <c r="O604" i="16"/>
  <c r="O603" i="16"/>
  <c r="O602" i="16"/>
  <c r="O601" i="16"/>
  <c r="O600" i="16"/>
  <c r="O599" i="16"/>
  <c r="O598" i="16"/>
  <c r="O597" i="16"/>
  <c r="O596" i="16"/>
  <c r="O595" i="16"/>
  <c r="O594" i="16"/>
  <c r="O593" i="16"/>
  <c r="O592" i="16"/>
  <c r="O591" i="16"/>
  <c r="O590" i="16"/>
  <c r="O589" i="16"/>
  <c r="O588" i="16"/>
  <c r="O587" i="16"/>
  <c r="O586" i="16"/>
  <c r="O585" i="16"/>
  <c r="O584" i="16"/>
  <c r="O583" i="16"/>
  <c r="O582" i="16"/>
  <c r="O581" i="16"/>
  <c r="O580" i="16"/>
  <c r="O579" i="16"/>
  <c r="O578" i="16"/>
  <c r="O577" i="16"/>
  <c r="O576" i="16"/>
  <c r="O575" i="16"/>
  <c r="O574" i="16"/>
  <c r="F346" i="14"/>
  <c r="F345" i="14"/>
  <c r="F344" i="14"/>
  <c r="F343" i="14"/>
  <c r="F342" i="14"/>
  <c r="F341" i="14"/>
  <c r="F340" i="14"/>
  <c r="F339" i="14"/>
  <c r="F338" i="14"/>
  <c r="F337" i="14"/>
  <c r="F336" i="14"/>
  <c r="F335" i="14"/>
  <c r="F334" i="14"/>
  <c r="F333" i="14"/>
  <c r="F332" i="14"/>
  <c r="F331" i="14"/>
  <c r="F330" i="14"/>
  <c r="F329" i="14"/>
  <c r="F328" i="14"/>
  <c r="F327" i="14"/>
  <c r="F326" i="14"/>
  <c r="F325" i="14"/>
  <c r="F324" i="14"/>
  <c r="F323" i="14"/>
  <c r="F322" i="14"/>
  <c r="F321" i="14"/>
  <c r="F320" i="14"/>
  <c r="F319" i="14"/>
  <c r="F318" i="14"/>
  <c r="F317" i="14"/>
  <c r="F316" i="14"/>
  <c r="F315" i="14"/>
  <c r="F314" i="14"/>
  <c r="F313" i="14"/>
  <c r="F312" i="14"/>
  <c r="F311" i="14"/>
  <c r="F310" i="14"/>
  <c r="F309" i="14"/>
  <c r="F308" i="14"/>
  <c r="F307" i="14"/>
  <c r="F306" i="14"/>
  <c r="F305" i="14"/>
  <c r="F304" i="14"/>
  <c r="F303" i="14"/>
  <c r="F302" i="14"/>
  <c r="F301" i="14"/>
  <c r="F300" i="14"/>
  <c r="F299" i="14"/>
  <c r="F298" i="14"/>
  <c r="F297" i="14"/>
  <c r="F296" i="14"/>
  <c r="F295" i="14"/>
  <c r="F294" i="14"/>
  <c r="F293" i="14"/>
  <c r="F292" i="14"/>
  <c r="F291" i="14"/>
  <c r="F290" i="14"/>
  <c r="F289" i="14"/>
  <c r="F288" i="14"/>
  <c r="F287" i="14"/>
  <c r="F286" i="14"/>
  <c r="F285" i="14"/>
  <c r="F284" i="14"/>
  <c r="F283" i="14"/>
  <c r="F282" i="14"/>
  <c r="F281" i="14"/>
  <c r="F280" i="14"/>
  <c r="F279" i="14"/>
  <c r="F278" i="14"/>
  <c r="F277" i="14"/>
  <c r="F276" i="14"/>
  <c r="F275" i="14"/>
  <c r="F274" i="14"/>
  <c r="F273" i="14"/>
  <c r="F272" i="14"/>
  <c r="F271" i="14"/>
  <c r="F270" i="14"/>
  <c r="F269" i="14"/>
  <c r="F268" i="14"/>
  <c r="F267" i="14"/>
  <c r="F266" i="14"/>
  <c r="F265" i="14"/>
  <c r="F264" i="14"/>
  <c r="F263" i="14"/>
  <c r="F262" i="14"/>
  <c r="F261" i="14"/>
  <c r="F260" i="14"/>
  <c r="F259" i="14"/>
  <c r="F258" i="14"/>
  <c r="F257" i="14"/>
  <c r="F256" i="14"/>
  <c r="F255" i="14"/>
  <c r="F254" i="14"/>
  <c r="F253" i="14"/>
  <c r="F252" i="14"/>
  <c r="F251" i="14"/>
  <c r="F250" i="14"/>
  <c r="F249" i="14"/>
  <c r="F248" i="14"/>
  <c r="F247" i="14"/>
  <c r="F246" i="14"/>
  <c r="F245" i="14"/>
  <c r="F244" i="14"/>
  <c r="F243" i="14"/>
  <c r="F242" i="14"/>
  <c r="F241" i="14"/>
  <c r="F240" i="14"/>
  <c r="F239" i="14"/>
  <c r="F238" i="14"/>
  <c r="F237" i="14"/>
  <c r="F236" i="14"/>
  <c r="F235" i="14"/>
  <c r="F234" i="14"/>
  <c r="F233" i="14"/>
  <c r="F232" i="14"/>
  <c r="F231" i="14"/>
  <c r="F230" i="14"/>
  <c r="F229" i="14"/>
  <c r="F228" i="14"/>
  <c r="F227" i="14"/>
  <c r="F226" i="14"/>
  <c r="F225" i="14"/>
  <c r="F224" i="14"/>
  <c r="F223" i="14"/>
  <c r="F222" i="14"/>
  <c r="F221" i="14"/>
  <c r="F220" i="14"/>
  <c r="F219" i="14"/>
  <c r="F218" i="14"/>
  <c r="F217" i="14"/>
  <c r="F216" i="14"/>
  <c r="F215" i="14"/>
  <c r="F214" i="14"/>
  <c r="F213" i="14"/>
  <c r="F212" i="14"/>
  <c r="F211" i="14"/>
  <c r="F210" i="14"/>
  <c r="F209" i="14"/>
  <c r="F208" i="14"/>
  <c r="F207" i="14"/>
  <c r="F206" i="14"/>
  <c r="F205" i="14"/>
  <c r="F204" i="14"/>
  <c r="F203" i="14"/>
  <c r="F202" i="14"/>
  <c r="F201" i="14"/>
  <c r="F200" i="14"/>
  <c r="F199" i="14"/>
  <c r="F198" i="14"/>
  <c r="F197" i="14"/>
  <c r="F196" i="14"/>
  <c r="F195" i="14"/>
  <c r="F194" i="14"/>
  <c r="F193" i="14"/>
  <c r="F192" i="14"/>
  <c r="F191" i="14"/>
  <c r="F190" i="14"/>
  <c r="F189" i="14"/>
  <c r="F188" i="14"/>
  <c r="F187" i="14"/>
  <c r="F186" i="14"/>
  <c r="F185" i="14"/>
  <c r="F184" i="14"/>
  <c r="F183" i="14"/>
  <c r="F182" i="14"/>
  <c r="F181" i="14"/>
  <c r="F180" i="14"/>
  <c r="F179" i="14"/>
  <c r="F178" i="14"/>
  <c r="F177" i="14"/>
  <c r="F176" i="14"/>
  <c r="F175" i="14"/>
  <c r="F174" i="14"/>
  <c r="F173" i="14"/>
  <c r="F172" i="14"/>
  <c r="F171" i="14"/>
  <c r="F170" i="14"/>
  <c r="F169" i="14"/>
  <c r="F168" i="14"/>
  <c r="F167" i="14"/>
  <c r="F166" i="14"/>
  <c r="F165" i="14"/>
  <c r="F164" i="14"/>
  <c r="O346" i="14"/>
  <c r="O345" i="14"/>
  <c r="O344" i="14"/>
  <c r="O343" i="14"/>
  <c r="O342" i="14"/>
  <c r="O340" i="14"/>
  <c r="O339" i="14"/>
  <c r="O338" i="14"/>
  <c r="O337" i="14"/>
  <c r="O336" i="14"/>
  <c r="O334" i="14"/>
  <c r="O333" i="14"/>
  <c r="O332" i="14"/>
  <c r="O331" i="14"/>
  <c r="O330" i="14"/>
  <c r="O329" i="14"/>
  <c r="O328" i="14"/>
  <c r="O327" i="14"/>
  <c r="O326" i="14"/>
  <c r="O325" i="14"/>
  <c r="O324" i="14"/>
  <c r="O323" i="14"/>
  <c r="O322" i="14"/>
  <c r="O321" i="14"/>
  <c r="O320" i="14"/>
  <c r="O319" i="14"/>
  <c r="O318" i="14"/>
  <c r="O317" i="14"/>
  <c r="O316" i="14"/>
  <c r="O315" i="14"/>
  <c r="O314" i="14"/>
  <c r="O313" i="14"/>
  <c r="O312" i="14"/>
  <c r="O311" i="14"/>
  <c r="O310" i="14"/>
  <c r="O309" i="14"/>
  <c r="O308" i="14"/>
  <c r="O307" i="14"/>
  <c r="O306" i="14"/>
  <c r="O305" i="14"/>
  <c r="O304" i="14"/>
  <c r="O303" i="14"/>
  <c r="O302" i="14"/>
  <c r="O301" i="14"/>
  <c r="O300" i="14"/>
  <c r="O299" i="14"/>
  <c r="O298" i="14"/>
  <c r="O297" i="14"/>
  <c r="O296" i="14"/>
  <c r="O295" i="14"/>
  <c r="O294" i="14"/>
  <c r="O293" i="14"/>
  <c r="O292" i="14"/>
  <c r="O291" i="14"/>
  <c r="O290" i="14"/>
  <c r="O289" i="14"/>
  <c r="O288" i="14"/>
  <c r="O287" i="14"/>
  <c r="O286" i="14"/>
  <c r="O285" i="14"/>
  <c r="O284" i="14"/>
  <c r="O283" i="14"/>
  <c r="O282" i="14"/>
  <c r="O281" i="14"/>
  <c r="O280" i="14"/>
  <c r="O279" i="14"/>
  <c r="O278" i="14"/>
  <c r="O277" i="14"/>
  <c r="O276" i="14"/>
  <c r="O275" i="14"/>
  <c r="O274" i="14"/>
  <c r="O273" i="14"/>
  <c r="O272" i="14"/>
  <c r="O271" i="14"/>
  <c r="O270" i="14"/>
  <c r="O269" i="14"/>
  <c r="O268" i="14"/>
  <c r="O267" i="14"/>
  <c r="O266" i="14"/>
  <c r="O265" i="14"/>
  <c r="O264" i="14"/>
  <c r="O263" i="14"/>
  <c r="O262" i="14"/>
  <c r="O261" i="14"/>
  <c r="O260" i="14"/>
  <c r="O259" i="14"/>
  <c r="O258" i="14"/>
  <c r="O257" i="14"/>
  <c r="O256" i="14"/>
  <c r="O255" i="14"/>
  <c r="O254" i="14"/>
  <c r="O253" i="14"/>
  <c r="O252" i="14"/>
  <c r="O251" i="14"/>
  <c r="O250" i="14"/>
  <c r="O249" i="14"/>
  <c r="O248" i="14"/>
  <c r="O247" i="14"/>
  <c r="O246" i="14"/>
  <c r="O245" i="14"/>
  <c r="O244" i="14"/>
  <c r="O243" i="14"/>
  <c r="O242" i="14"/>
  <c r="O241" i="14"/>
  <c r="O240" i="14"/>
  <c r="O239" i="14"/>
  <c r="O238" i="14"/>
  <c r="O237" i="14"/>
  <c r="O236" i="14"/>
  <c r="O235" i="14"/>
  <c r="O234" i="14"/>
  <c r="O233" i="14"/>
  <c r="O232" i="14"/>
  <c r="O231" i="14"/>
  <c r="O230" i="14"/>
  <c r="O229" i="14"/>
  <c r="O228" i="14"/>
  <c r="O227" i="14"/>
  <c r="O226" i="14"/>
  <c r="O225" i="14"/>
  <c r="O224" i="14"/>
  <c r="O223" i="14"/>
  <c r="O222" i="14"/>
  <c r="O221" i="14"/>
  <c r="O220" i="14"/>
  <c r="O219" i="14"/>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55" i="17"/>
  <c r="P55"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50" i="17"/>
  <c r="J51" i="17"/>
  <c r="J52" i="17"/>
  <c r="J54" i="17"/>
  <c r="J55" i="17"/>
  <c r="F55" i="17"/>
  <c r="AO11" i="19"/>
  <c r="O22" i="17"/>
  <c r="E22" i="17"/>
  <c r="P22" i="17"/>
  <c r="O23" i="17"/>
  <c r="E23" i="17"/>
  <c r="P23" i="17"/>
  <c r="O24" i="17"/>
  <c r="E24" i="17"/>
  <c r="P24" i="17"/>
  <c r="O25" i="17"/>
  <c r="E25" i="17"/>
  <c r="P25" i="17"/>
  <c r="O26" i="17"/>
  <c r="E26" i="17"/>
  <c r="P26" i="17"/>
  <c r="O27" i="17"/>
  <c r="E27" i="17"/>
  <c r="P27" i="17"/>
  <c r="O28" i="17"/>
  <c r="E28" i="17"/>
  <c r="P28" i="17"/>
  <c r="O29" i="17"/>
  <c r="E29" i="17"/>
  <c r="P29" i="17"/>
  <c r="O30" i="17"/>
  <c r="E30" i="17"/>
  <c r="P30" i="17"/>
  <c r="O31" i="17"/>
  <c r="E31" i="17"/>
  <c r="P31" i="17"/>
  <c r="O32" i="17"/>
  <c r="E32" i="17"/>
  <c r="P32" i="17"/>
  <c r="O33" i="17"/>
  <c r="E33" i="17"/>
  <c r="P33" i="17"/>
  <c r="O34" i="17"/>
  <c r="E34" i="17"/>
  <c r="P34" i="17"/>
  <c r="O35" i="17"/>
  <c r="E35" i="17"/>
  <c r="P35" i="17"/>
  <c r="O36" i="17"/>
  <c r="E36" i="17"/>
  <c r="P36" i="17"/>
  <c r="O37" i="17"/>
  <c r="E37" i="17"/>
  <c r="P37" i="17"/>
  <c r="O38" i="17"/>
  <c r="E38" i="17"/>
  <c r="P38" i="17"/>
  <c r="O39" i="17"/>
  <c r="E39" i="17"/>
  <c r="P39" i="17"/>
  <c r="O40" i="17"/>
  <c r="E40" i="17"/>
  <c r="P40" i="17"/>
  <c r="O41" i="17"/>
  <c r="E41" i="17"/>
  <c r="P41" i="17"/>
  <c r="O42" i="17"/>
  <c r="E42" i="17"/>
  <c r="P42" i="17"/>
  <c r="O43" i="17"/>
  <c r="E43" i="17"/>
  <c r="P43" i="17"/>
  <c r="O44" i="17"/>
  <c r="E44" i="17"/>
  <c r="P44" i="17"/>
  <c r="O45" i="17"/>
  <c r="E45" i="17"/>
  <c r="P45" i="17"/>
  <c r="O46" i="17"/>
  <c r="E46" i="17"/>
  <c r="P46" i="17"/>
  <c r="O47" i="17"/>
  <c r="E47" i="17"/>
  <c r="P47" i="17"/>
  <c r="O48" i="17"/>
  <c r="E48" i="17"/>
  <c r="P48" i="17"/>
  <c r="O50" i="17"/>
  <c r="E50" i="17"/>
  <c r="P50" i="17"/>
  <c r="O51" i="17"/>
  <c r="E51" i="17"/>
  <c r="P51" i="17"/>
  <c r="O52" i="17"/>
  <c r="E52" i="17"/>
  <c r="P52" i="17"/>
  <c r="O54" i="17"/>
  <c r="E54" i="17"/>
  <c r="P54" i="17"/>
  <c r="F52"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E535" i="16"/>
  <c r="O535" i="16"/>
  <c r="E572" i="16"/>
  <c r="E571" i="16"/>
  <c r="E570" i="16"/>
  <c r="E569" i="16"/>
  <c r="E568" i="16"/>
  <c r="E566" i="16"/>
  <c r="E565" i="16"/>
  <c r="E564" i="16"/>
  <c r="E563" i="16"/>
  <c r="E561" i="16"/>
  <c r="E560" i="16"/>
  <c r="E559" i="16"/>
  <c r="E558" i="16"/>
  <c r="E557" i="16"/>
  <c r="E556" i="16"/>
  <c r="E555" i="16"/>
  <c r="E554" i="16"/>
  <c r="E553" i="16"/>
  <c r="E552" i="16"/>
  <c r="E551" i="16"/>
  <c r="E550" i="16"/>
  <c r="E549" i="16"/>
  <c r="E548" i="16"/>
  <c r="E547" i="16"/>
  <c r="E546" i="16"/>
  <c r="E545" i="16"/>
  <c r="E544" i="16"/>
  <c r="E543" i="16"/>
  <c r="E542" i="16"/>
  <c r="E541" i="16"/>
  <c r="E540" i="16"/>
  <c r="E539" i="16"/>
  <c r="E538" i="16"/>
  <c r="E537" i="16"/>
  <c r="E536" i="16"/>
  <c r="E534" i="16"/>
  <c r="E533" i="16"/>
  <c r="E532" i="16"/>
  <c r="E531" i="16"/>
  <c r="E529" i="16"/>
  <c r="E528" i="16"/>
  <c r="E527" i="16"/>
  <c r="E526" i="16"/>
  <c r="E525" i="16"/>
  <c r="E524" i="16"/>
  <c r="E523" i="16"/>
  <c r="E522" i="16"/>
  <c r="E521" i="16"/>
  <c r="E520" i="16"/>
  <c r="E519" i="16"/>
  <c r="E518" i="16"/>
  <c r="E517" i="16"/>
  <c r="E516" i="16"/>
  <c r="E515" i="16"/>
  <c r="E514" i="16"/>
  <c r="E513" i="16"/>
  <c r="E512" i="16"/>
  <c r="E511" i="16"/>
  <c r="E510" i="16"/>
  <c r="E509" i="16"/>
  <c r="E508" i="16"/>
  <c r="E507" i="16"/>
  <c r="E506" i="16"/>
  <c r="E505" i="16"/>
  <c r="E504" i="16"/>
  <c r="E503" i="16"/>
  <c r="E502" i="16"/>
  <c r="E501" i="16"/>
  <c r="E500" i="16"/>
  <c r="E499" i="16"/>
  <c r="E498" i="16"/>
  <c r="E497" i="16"/>
  <c r="E496" i="16"/>
  <c r="E495" i="16"/>
  <c r="E494" i="16"/>
  <c r="E493" i="16"/>
  <c r="E492" i="16"/>
  <c r="E491" i="16"/>
  <c r="E490" i="16"/>
  <c r="E489" i="16"/>
  <c r="E488" i="16"/>
  <c r="E487" i="16"/>
  <c r="E486" i="16"/>
  <c r="E485" i="16"/>
  <c r="E484" i="16"/>
  <c r="E483" i="16"/>
  <c r="E482" i="16"/>
  <c r="E481" i="16"/>
  <c r="E480" i="16"/>
  <c r="E479" i="16"/>
  <c r="E478" i="16"/>
  <c r="E477" i="16"/>
  <c r="E476" i="16"/>
  <c r="E475" i="16"/>
  <c r="E474" i="16"/>
  <c r="E473" i="16"/>
  <c r="E472" i="16"/>
  <c r="E471" i="16"/>
  <c r="E470" i="16"/>
  <c r="E469" i="16"/>
  <c r="E468" i="16"/>
  <c r="E467" i="16"/>
  <c r="E466" i="16"/>
  <c r="E465" i="16"/>
  <c r="E464" i="16"/>
  <c r="E463" i="16"/>
  <c r="E462" i="16"/>
  <c r="E461" i="16"/>
  <c r="E460" i="16"/>
  <c r="E459" i="16"/>
  <c r="E458" i="16"/>
  <c r="E457" i="16"/>
  <c r="E456" i="16"/>
  <c r="E455" i="16"/>
  <c r="E454" i="16"/>
  <c r="E453" i="16"/>
  <c r="E452" i="16"/>
  <c r="E451" i="16"/>
  <c r="E450" i="16"/>
  <c r="E449" i="16"/>
  <c r="E448" i="16"/>
  <c r="E447" i="16"/>
  <c r="E446" i="16"/>
  <c r="E445" i="16"/>
  <c r="E444" i="16"/>
  <c r="E443" i="16"/>
  <c r="E442" i="16"/>
  <c r="E441" i="16"/>
  <c r="E440" i="16"/>
  <c r="E439" i="16"/>
  <c r="E438" i="16"/>
  <c r="E437" i="16"/>
  <c r="E436" i="16"/>
  <c r="E435" i="16"/>
  <c r="E434" i="16"/>
  <c r="E433" i="16"/>
  <c r="E432" i="16"/>
  <c r="E431" i="16"/>
  <c r="E430" i="16"/>
  <c r="E429" i="16"/>
  <c r="E428" i="16"/>
  <c r="E427" i="16"/>
  <c r="E426" i="16"/>
  <c r="E425" i="16"/>
  <c r="E424" i="16"/>
  <c r="E423" i="16"/>
  <c r="E422" i="16"/>
  <c r="E421" i="16"/>
  <c r="E420" i="16"/>
  <c r="E419" i="16"/>
  <c r="E418" i="16"/>
  <c r="E417" i="16"/>
  <c r="E416" i="16"/>
  <c r="E415" i="16"/>
  <c r="E414" i="16"/>
  <c r="E413" i="16"/>
  <c r="E412" i="16"/>
  <c r="E411" i="16"/>
  <c r="E410" i="16"/>
  <c r="E409" i="16"/>
  <c r="E408" i="16"/>
  <c r="E407" i="16"/>
  <c r="E406" i="16"/>
  <c r="E405" i="16"/>
  <c r="E404" i="16"/>
  <c r="E403" i="16"/>
  <c r="E402" i="16"/>
  <c r="E401" i="16"/>
  <c r="E400" i="16"/>
  <c r="E399" i="16"/>
  <c r="E398" i="16"/>
  <c r="E397" i="16"/>
  <c r="E396" i="16"/>
  <c r="E395" i="16"/>
  <c r="E394" i="16"/>
  <c r="E393" i="16"/>
  <c r="E392" i="16"/>
  <c r="E391" i="16"/>
  <c r="E390" i="16"/>
  <c r="E389" i="16"/>
  <c r="E388" i="16"/>
  <c r="E387" i="16"/>
  <c r="E386" i="16"/>
  <c r="E385" i="16"/>
  <c r="E384" i="16"/>
  <c r="E383" i="16"/>
  <c r="E382" i="16"/>
  <c r="E381" i="16"/>
  <c r="E380" i="16"/>
  <c r="E379" i="16"/>
  <c r="E378" i="16"/>
  <c r="E377" i="16"/>
  <c r="E376" i="16"/>
  <c r="E375" i="16"/>
  <c r="E374" i="16"/>
  <c r="E373" i="16"/>
  <c r="E372" i="16"/>
  <c r="E371" i="16"/>
  <c r="E370" i="16"/>
  <c r="E369" i="16"/>
  <c r="E368" i="16"/>
  <c r="E367" i="16"/>
  <c r="E366" i="16"/>
  <c r="E365" i="16"/>
  <c r="E364" i="16"/>
  <c r="E363" i="16"/>
  <c r="E362" i="16"/>
  <c r="E361" i="16"/>
  <c r="E360" i="16"/>
  <c r="E359" i="16"/>
  <c r="E358" i="16"/>
  <c r="E357" i="16"/>
  <c r="E356" i="16"/>
  <c r="E355" i="16"/>
  <c r="E354" i="16"/>
  <c r="E353" i="16"/>
  <c r="E352" i="16"/>
  <c r="E351" i="16"/>
  <c r="E350" i="16"/>
  <c r="E349" i="16"/>
  <c r="E348" i="16"/>
  <c r="E347" i="16"/>
  <c r="E346" i="16"/>
  <c r="E345" i="16"/>
  <c r="E344" i="16"/>
  <c r="E343" i="16"/>
  <c r="E342" i="16"/>
  <c r="E341" i="16"/>
  <c r="E340" i="16"/>
  <c r="E339" i="16"/>
  <c r="E338" i="16"/>
  <c r="E337" i="16"/>
  <c r="E336" i="16"/>
  <c r="E335" i="16"/>
  <c r="E334" i="16"/>
  <c r="E333" i="16"/>
  <c r="E332" i="16"/>
  <c r="E331" i="16"/>
  <c r="E330" i="16"/>
  <c r="E329" i="16"/>
  <c r="E328" i="16"/>
  <c r="E327" i="16"/>
  <c r="E326" i="16"/>
  <c r="E325" i="16"/>
  <c r="E324" i="16"/>
  <c r="E323" i="16"/>
  <c r="E322" i="16"/>
  <c r="E321" i="16"/>
  <c r="E320" i="16"/>
  <c r="E319" i="16"/>
  <c r="E318" i="16"/>
  <c r="E317" i="16"/>
  <c r="E316" i="16"/>
  <c r="E315" i="16"/>
  <c r="E314" i="16"/>
  <c r="E313" i="16"/>
  <c r="E312" i="16"/>
  <c r="E311" i="16"/>
  <c r="E310" i="16"/>
  <c r="E309" i="16"/>
  <c r="E308" i="16"/>
  <c r="E307" i="16"/>
  <c r="E306" i="16"/>
  <c r="E305" i="16"/>
  <c r="E304" i="16"/>
  <c r="E303" i="16"/>
  <c r="E302" i="16"/>
  <c r="E301" i="16"/>
  <c r="E300" i="16"/>
  <c r="E299" i="16"/>
  <c r="E298" i="16"/>
  <c r="E297" i="16"/>
  <c r="E296" i="16"/>
  <c r="E295" i="16"/>
  <c r="E294" i="16"/>
  <c r="E293" i="16"/>
  <c r="E292" i="16"/>
  <c r="E291" i="16"/>
  <c r="E290" i="16"/>
  <c r="E289" i="16"/>
  <c r="E288" i="16"/>
  <c r="E287" i="16"/>
  <c r="E286" i="16"/>
  <c r="E285" i="16"/>
  <c r="E284" i="16"/>
  <c r="E283" i="16"/>
  <c r="E282" i="16"/>
  <c r="E281" i="16"/>
  <c r="E280" i="16"/>
  <c r="E279" i="16"/>
  <c r="E278" i="16"/>
  <c r="E277" i="16"/>
  <c r="E276" i="16"/>
  <c r="E275" i="16"/>
  <c r="E274" i="16"/>
  <c r="E273" i="16"/>
  <c r="E272" i="16"/>
  <c r="E271" i="16"/>
  <c r="E270" i="16"/>
  <c r="E269" i="16"/>
  <c r="E268" i="16"/>
  <c r="E267" i="16"/>
  <c r="E266" i="16"/>
  <c r="E265" i="16"/>
  <c r="E264" i="16"/>
  <c r="E263" i="16"/>
  <c r="E262" i="16"/>
  <c r="E261" i="16"/>
  <c r="E260" i="16"/>
  <c r="E259" i="16"/>
  <c r="E258" i="16"/>
  <c r="E257" i="16"/>
  <c r="E256" i="16"/>
  <c r="E255" i="16"/>
  <c r="E254" i="16"/>
  <c r="E253" i="16"/>
  <c r="E252" i="16"/>
  <c r="E251" i="16"/>
  <c r="E250" i="16"/>
  <c r="E249" i="16"/>
  <c r="E248" i="16"/>
  <c r="E247" i="16"/>
  <c r="E246" i="16"/>
  <c r="E245" i="16"/>
  <c r="E244" i="16"/>
  <c r="E243" i="16"/>
  <c r="E242" i="16"/>
  <c r="E241" i="16"/>
  <c r="E240" i="16"/>
  <c r="E239" i="16"/>
  <c r="E238" i="16"/>
  <c r="E237" i="16"/>
  <c r="E236" i="16"/>
  <c r="E235" i="16"/>
  <c r="E234" i="16"/>
  <c r="E233" i="16"/>
  <c r="E232" i="16"/>
  <c r="E231" i="16"/>
  <c r="E230" i="16"/>
  <c r="E229" i="16"/>
  <c r="E228" i="16"/>
  <c r="E227" i="16"/>
  <c r="E226" i="16"/>
  <c r="E225" i="16"/>
  <c r="E224" i="16"/>
  <c r="E223" i="16"/>
  <c r="E222" i="16"/>
  <c r="E221" i="16"/>
  <c r="E220" i="16"/>
  <c r="E219" i="16"/>
  <c r="E218" i="16"/>
  <c r="E217" i="16"/>
  <c r="E216" i="16"/>
  <c r="E215" i="16"/>
  <c r="E214" i="16"/>
  <c r="E213" i="16"/>
  <c r="E212" i="16"/>
  <c r="E211" i="16"/>
  <c r="E210" i="16"/>
  <c r="E209" i="16"/>
  <c r="E208" i="16"/>
  <c r="E207" i="16"/>
  <c r="E206" i="16"/>
  <c r="E205" i="16"/>
  <c r="E204" i="16"/>
  <c r="E203" i="16"/>
  <c r="E202" i="16"/>
  <c r="E201" i="16"/>
  <c r="E200" i="16"/>
  <c r="E199" i="16"/>
  <c r="E198" i="16"/>
  <c r="E197" i="16"/>
  <c r="E196" i="16"/>
  <c r="E195" i="16"/>
  <c r="E194" i="16"/>
  <c r="E193" i="16"/>
  <c r="E192" i="16"/>
  <c r="E191" i="16"/>
  <c r="E190" i="16"/>
  <c r="E189" i="16"/>
  <c r="E188" i="16"/>
  <c r="E187" i="16"/>
  <c r="E186" i="16"/>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7" i="16"/>
  <c r="E156" i="16"/>
  <c r="E155" i="16"/>
  <c r="E154"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N64" i="20"/>
  <c r="O64" i="20"/>
  <c r="N63" i="20"/>
  <c r="N62" i="20"/>
  <c r="N61" i="20"/>
  <c r="N60" i="20"/>
  <c r="N59" i="20"/>
  <c r="N58" i="20"/>
  <c r="O58" i="20"/>
  <c r="N57" i="20"/>
  <c r="O57" i="20"/>
  <c r="N56" i="20"/>
  <c r="N55" i="20"/>
  <c r="N54" i="20"/>
  <c r="N53" i="20"/>
  <c r="N52" i="20"/>
  <c r="N51" i="20"/>
  <c r="N50" i="20"/>
  <c r="O50" i="20"/>
  <c r="N49" i="20"/>
  <c r="O49" i="20"/>
  <c r="N48" i="20"/>
  <c r="N47" i="20"/>
  <c r="N46" i="20"/>
  <c r="N45" i="20"/>
  <c r="N44" i="20"/>
  <c r="N43" i="20"/>
  <c r="N42" i="20"/>
  <c r="O42" i="20"/>
  <c r="N41" i="20"/>
  <c r="O41" i="20"/>
  <c r="N40" i="20"/>
  <c r="N39" i="20"/>
  <c r="O533" i="16"/>
  <c r="O534" i="16"/>
  <c r="O536" i="16"/>
  <c r="O537" i="16"/>
  <c r="O538" i="16"/>
  <c r="O539" i="16"/>
  <c r="O540" i="16"/>
  <c r="O541" i="16"/>
  <c r="O542" i="16"/>
  <c r="O543" i="16"/>
  <c r="O544" i="16"/>
  <c r="O545" i="16"/>
  <c r="O546" i="16"/>
  <c r="O547" i="16"/>
  <c r="O548" i="16"/>
  <c r="O549" i="16"/>
  <c r="O550" i="16"/>
  <c r="O551" i="16"/>
  <c r="O552" i="16"/>
  <c r="O553" i="16"/>
  <c r="O554" i="16"/>
  <c r="O555" i="16"/>
  <c r="O556" i="16"/>
  <c r="O557" i="16"/>
  <c r="O558" i="16"/>
  <c r="O559" i="16"/>
  <c r="O560" i="16"/>
  <c r="O561" i="16"/>
  <c r="O563" i="16"/>
  <c r="O564" i="16"/>
  <c r="O565" i="16"/>
  <c r="O566" i="16"/>
  <c r="O568" i="16"/>
  <c r="O569" i="16"/>
  <c r="O570" i="16"/>
  <c r="O571" i="16"/>
  <c r="O572"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113" i="16"/>
  <c r="O114" i="16"/>
  <c r="O115" i="16"/>
  <c r="O116" i="16"/>
  <c r="O117" i="16"/>
  <c r="O118" i="16"/>
  <c r="O119" i="16"/>
  <c r="O120" i="16"/>
  <c r="O121" i="16"/>
  <c r="O122" i="16"/>
  <c r="O123" i="16"/>
  <c r="O124" i="16"/>
  <c r="O125" i="16"/>
  <c r="O126" i="16"/>
  <c r="O127" i="16"/>
  <c r="O128" i="16"/>
  <c r="O129" i="16"/>
  <c r="O130" i="16"/>
  <c r="O131" i="16"/>
  <c r="O132" i="16"/>
  <c r="O133" i="16"/>
  <c r="O134" i="16"/>
  <c r="O135" i="16"/>
  <c r="O136" i="16"/>
  <c r="O137" i="16"/>
  <c r="O138" i="16"/>
  <c r="O139" i="16"/>
  <c r="O140" i="16"/>
  <c r="O141" i="16"/>
  <c r="O142" i="16"/>
  <c r="O143" i="16"/>
  <c r="O144" i="16"/>
  <c r="O145" i="16"/>
  <c r="O146" i="16"/>
  <c r="O147" i="16"/>
  <c r="O148" i="16"/>
  <c r="O149" i="16"/>
  <c r="O150" i="16"/>
  <c r="O151" i="16"/>
  <c r="O152" i="16"/>
  <c r="O153" i="16"/>
  <c r="O154" i="16"/>
  <c r="O155" i="16"/>
  <c r="O156" i="16"/>
  <c r="O157" i="16"/>
  <c r="O158" i="16"/>
  <c r="O159" i="16"/>
  <c r="O160" i="16"/>
  <c r="O161" i="16"/>
  <c r="O162" i="16"/>
  <c r="O163" i="16"/>
  <c r="O164" i="16"/>
  <c r="O165" i="16"/>
  <c r="O166" i="16"/>
  <c r="O167" i="16"/>
  <c r="O168" i="16"/>
  <c r="O169" i="16"/>
  <c r="O170" i="16"/>
  <c r="O171" i="16"/>
  <c r="O172" i="16"/>
  <c r="O173" i="16"/>
  <c r="O174" i="16"/>
  <c r="O175" i="16"/>
  <c r="O176" i="16"/>
  <c r="O177" i="16"/>
  <c r="O178" i="16"/>
  <c r="O179" i="16"/>
  <c r="O180" i="16"/>
  <c r="O181" i="16"/>
  <c r="O182" i="16"/>
  <c r="O183" i="16"/>
  <c r="O184" i="16"/>
  <c r="O185" i="16"/>
  <c r="O186" i="16"/>
  <c r="O187" i="16"/>
  <c r="O188" i="16"/>
  <c r="O189" i="16"/>
  <c r="O190" i="16"/>
  <c r="O191" i="16"/>
  <c r="O192" i="16"/>
  <c r="O193" i="16"/>
  <c r="O194" i="16"/>
  <c r="O195" i="16"/>
  <c r="O196" i="16"/>
  <c r="O197" i="16"/>
  <c r="O198" i="16"/>
  <c r="O199" i="16"/>
  <c r="O200" i="16"/>
  <c r="O201" i="16"/>
  <c r="O202" i="16"/>
  <c r="O203" i="16"/>
  <c r="O204" i="16"/>
  <c r="O205" i="16"/>
  <c r="O206" i="16"/>
  <c r="O207" i="16"/>
  <c r="O208" i="16"/>
  <c r="O209" i="16"/>
  <c r="O210" i="16"/>
  <c r="O211" i="16"/>
  <c r="O212" i="16"/>
  <c r="O213" i="16"/>
  <c r="O214" i="16"/>
  <c r="O215" i="16"/>
  <c r="O216" i="16"/>
  <c r="O217" i="16"/>
  <c r="O218" i="16"/>
  <c r="O219" i="16"/>
  <c r="O220" i="16"/>
  <c r="O221" i="16"/>
  <c r="O222" i="16"/>
  <c r="O223" i="16"/>
  <c r="O224" i="16"/>
  <c r="O225" i="16"/>
  <c r="O226" i="16"/>
  <c r="O227" i="16"/>
  <c r="O228" i="16"/>
  <c r="O229" i="16"/>
  <c r="O230" i="16"/>
  <c r="O231" i="16"/>
  <c r="O232" i="16"/>
  <c r="O233" i="16"/>
  <c r="O234" i="16"/>
  <c r="O235" i="16"/>
  <c r="O236" i="16"/>
  <c r="O237" i="16"/>
  <c r="O238" i="16"/>
  <c r="O239" i="16"/>
  <c r="O240" i="16"/>
  <c r="O241" i="16"/>
  <c r="O242" i="16"/>
  <c r="O243" i="16"/>
  <c r="O244" i="16"/>
  <c r="O245" i="16"/>
  <c r="O246" i="16"/>
  <c r="O247" i="16"/>
  <c r="O248" i="16"/>
  <c r="O249" i="16"/>
  <c r="O250" i="16"/>
  <c r="O251" i="16"/>
  <c r="O252" i="16"/>
  <c r="O253" i="16"/>
  <c r="O254" i="16"/>
  <c r="O255" i="16"/>
  <c r="O256" i="16"/>
  <c r="O257" i="16"/>
  <c r="O258" i="16"/>
  <c r="O259" i="16"/>
  <c r="O260" i="16"/>
  <c r="O261" i="16"/>
  <c r="O262" i="16"/>
  <c r="O263" i="16"/>
  <c r="O264" i="16"/>
  <c r="O265" i="16"/>
  <c r="O266" i="16"/>
  <c r="O267" i="16"/>
  <c r="O268" i="16"/>
  <c r="O269" i="16"/>
  <c r="O270" i="16"/>
  <c r="O271" i="16"/>
  <c r="O272" i="16"/>
  <c r="O273" i="16"/>
  <c r="O274" i="16"/>
  <c r="O275" i="16"/>
  <c r="O276" i="16"/>
  <c r="O277" i="16"/>
  <c r="O278" i="16"/>
  <c r="O279" i="16"/>
  <c r="O280" i="16"/>
  <c r="O281" i="16"/>
  <c r="O282" i="16"/>
  <c r="O283" i="16"/>
  <c r="O284" i="16"/>
  <c r="O285" i="16"/>
  <c r="O286" i="16"/>
  <c r="O287" i="16"/>
  <c r="O288" i="16"/>
  <c r="O289" i="16"/>
  <c r="O290" i="16"/>
  <c r="O291" i="16"/>
  <c r="O292" i="16"/>
  <c r="O293" i="16"/>
  <c r="O294" i="16"/>
  <c r="O295" i="16"/>
  <c r="O296" i="16"/>
  <c r="O297" i="16"/>
  <c r="O298" i="16"/>
  <c r="O299" i="16"/>
  <c r="O300" i="16"/>
  <c r="O301" i="16"/>
  <c r="O302" i="16"/>
  <c r="O303" i="16"/>
  <c r="O304" i="16"/>
  <c r="O305" i="16"/>
  <c r="O306" i="16"/>
  <c r="O307" i="16"/>
  <c r="O308" i="16"/>
  <c r="O309" i="16"/>
  <c r="O310" i="16"/>
  <c r="O311" i="16"/>
  <c r="O312" i="16"/>
  <c r="O313" i="16"/>
  <c r="O314" i="16"/>
  <c r="O315" i="16"/>
  <c r="O316" i="16"/>
  <c r="O317" i="16"/>
  <c r="O318" i="16"/>
  <c r="O319" i="16"/>
  <c r="O320" i="16"/>
  <c r="O321" i="16"/>
  <c r="O322" i="16"/>
  <c r="O323" i="16"/>
  <c r="O324" i="16"/>
  <c r="O325" i="16"/>
  <c r="O326" i="16"/>
  <c r="O327" i="16"/>
  <c r="O328" i="16"/>
  <c r="O329" i="16"/>
  <c r="O330" i="16"/>
  <c r="O331" i="16"/>
  <c r="O332" i="16"/>
  <c r="O333" i="16"/>
  <c r="O334" i="16"/>
  <c r="O335" i="16"/>
  <c r="O336" i="16"/>
  <c r="O337" i="16"/>
  <c r="O338" i="16"/>
  <c r="O339" i="16"/>
  <c r="O340" i="16"/>
  <c r="O341" i="16"/>
  <c r="O342" i="16"/>
  <c r="O343" i="16"/>
  <c r="O344" i="16"/>
  <c r="O345" i="16"/>
  <c r="O346" i="16"/>
  <c r="O347" i="16"/>
  <c r="O348" i="16"/>
  <c r="O349" i="16"/>
  <c r="O350" i="16"/>
  <c r="O351" i="16"/>
  <c r="O352" i="16"/>
  <c r="O353" i="16"/>
  <c r="O354" i="16"/>
  <c r="O355" i="16"/>
  <c r="O356" i="16"/>
  <c r="O357" i="16"/>
  <c r="O358" i="16"/>
  <c r="O359" i="16"/>
  <c r="O360" i="16"/>
  <c r="O361" i="16"/>
  <c r="O362" i="16"/>
  <c r="O363" i="16"/>
  <c r="O364" i="16"/>
  <c r="O365" i="16"/>
  <c r="O366" i="16"/>
  <c r="O367" i="16"/>
  <c r="O368" i="16"/>
  <c r="O369" i="16"/>
  <c r="O370" i="16"/>
  <c r="O371" i="16"/>
  <c r="O372" i="16"/>
  <c r="O373" i="16"/>
  <c r="O374" i="16"/>
  <c r="O375" i="16"/>
  <c r="O376" i="16"/>
  <c r="O377" i="16"/>
  <c r="O378" i="16"/>
  <c r="O379" i="16"/>
  <c r="O380" i="16"/>
  <c r="O381" i="16"/>
  <c r="O382" i="16"/>
  <c r="O383" i="16"/>
  <c r="O384" i="16"/>
  <c r="O385" i="16"/>
  <c r="O386" i="16"/>
  <c r="O387" i="16"/>
  <c r="O388" i="16"/>
  <c r="O389" i="16"/>
  <c r="O390" i="16"/>
  <c r="O391" i="16"/>
  <c r="O392" i="16"/>
  <c r="O393" i="16"/>
  <c r="O394" i="16"/>
  <c r="O395" i="16"/>
  <c r="O396" i="16"/>
  <c r="O397" i="16"/>
  <c r="O398" i="16"/>
  <c r="O399" i="16"/>
  <c r="O400" i="16"/>
  <c r="O401" i="16"/>
  <c r="O402" i="16"/>
  <c r="O403" i="16"/>
  <c r="O404" i="16"/>
  <c r="O405" i="16"/>
  <c r="O406" i="16"/>
  <c r="O407" i="16"/>
  <c r="O408" i="16"/>
  <c r="O409" i="16"/>
  <c r="O410" i="16"/>
  <c r="O411" i="16"/>
  <c r="O412" i="16"/>
  <c r="O413" i="16"/>
  <c r="O414" i="16"/>
  <c r="O415" i="16"/>
  <c r="O416" i="16"/>
  <c r="O417" i="16"/>
  <c r="O418" i="16"/>
  <c r="O419" i="16"/>
  <c r="O420" i="16"/>
  <c r="O421" i="16"/>
  <c r="O422" i="16"/>
  <c r="O423" i="16"/>
  <c r="O424" i="16"/>
  <c r="O425" i="16"/>
  <c r="O426" i="16"/>
  <c r="O427" i="16"/>
  <c r="O428" i="16"/>
  <c r="O429" i="16"/>
  <c r="O430" i="16"/>
  <c r="O431" i="16"/>
  <c r="O432" i="16"/>
  <c r="O433" i="16"/>
  <c r="O434" i="16"/>
  <c r="O435" i="16"/>
  <c r="O436" i="16"/>
  <c r="O437" i="16"/>
  <c r="O438" i="16"/>
  <c r="O439" i="16"/>
  <c r="O440" i="16"/>
  <c r="O441" i="16"/>
  <c r="O442" i="16"/>
  <c r="O443" i="16"/>
  <c r="O444" i="16"/>
  <c r="O445" i="16"/>
  <c r="O446" i="16"/>
  <c r="O447" i="16"/>
  <c r="O448" i="16"/>
  <c r="O449" i="16"/>
  <c r="O450" i="16"/>
  <c r="O451" i="16"/>
  <c r="O452" i="16"/>
  <c r="O453" i="16"/>
  <c r="O454" i="16"/>
  <c r="O455" i="16"/>
  <c r="O456" i="16"/>
  <c r="O457" i="16"/>
  <c r="O458" i="16"/>
  <c r="O459" i="16"/>
  <c r="O460" i="16"/>
  <c r="O461" i="16"/>
  <c r="O462" i="16"/>
  <c r="O463" i="16"/>
  <c r="O464" i="16"/>
  <c r="O465" i="16"/>
  <c r="O466" i="16"/>
  <c r="O467" i="16"/>
  <c r="O468" i="16"/>
  <c r="O469" i="16"/>
  <c r="O470" i="16"/>
  <c r="O471" i="16"/>
  <c r="O472" i="16"/>
  <c r="O473" i="16"/>
  <c r="O474" i="16"/>
  <c r="O475" i="16"/>
  <c r="O476" i="16"/>
  <c r="O477" i="16"/>
  <c r="O478" i="16"/>
  <c r="O479" i="16"/>
  <c r="O480" i="16"/>
  <c r="O481" i="16"/>
  <c r="O482" i="16"/>
  <c r="O483" i="16"/>
  <c r="O484" i="16"/>
  <c r="O485" i="16"/>
  <c r="O486" i="16"/>
  <c r="O487" i="16"/>
  <c r="O488" i="16"/>
  <c r="O489" i="16"/>
  <c r="O490" i="16"/>
  <c r="O491" i="16"/>
  <c r="O492" i="16"/>
  <c r="O493" i="16"/>
  <c r="O494" i="16"/>
  <c r="O495" i="16"/>
  <c r="O496" i="16"/>
  <c r="O497" i="16"/>
  <c r="O498" i="16"/>
  <c r="O499" i="16"/>
  <c r="O500" i="16"/>
  <c r="O501" i="16"/>
  <c r="O502" i="16"/>
  <c r="O503" i="16"/>
  <c r="O504" i="16"/>
  <c r="O505" i="16"/>
  <c r="O506" i="16"/>
  <c r="O507" i="16"/>
  <c r="O508" i="16"/>
  <c r="O509" i="16"/>
  <c r="O510" i="16"/>
  <c r="O511" i="16"/>
  <c r="O512" i="16"/>
  <c r="O513" i="16"/>
  <c r="O514" i="16"/>
  <c r="O515" i="16"/>
  <c r="O516" i="16"/>
  <c r="O517" i="16"/>
  <c r="O518" i="16"/>
  <c r="O519" i="16"/>
  <c r="O520" i="16"/>
  <c r="O521" i="16"/>
  <c r="O522" i="16"/>
  <c r="O523" i="16"/>
  <c r="O524" i="16"/>
  <c r="O525" i="16"/>
  <c r="O526" i="16"/>
  <c r="O527" i="16"/>
  <c r="O528" i="16"/>
  <c r="O529" i="16"/>
  <c r="O531" i="16"/>
  <c r="O532" i="16"/>
  <c r="O23" i="16"/>
  <c r="O155" i="14"/>
  <c r="O156" i="14"/>
  <c r="O157" i="14"/>
  <c r="O158" i="14"/>
  <c r="O160" i="14"/>
  <c r="O161" i="14"/>
  <c r="O162" i="14"/>
  <c r="E155" i="14"/>
  <c r="F155" i="14"/>
  <c r="E156" i="14"/>
  <c r="F156" i="14"/>
  <c r="E157" i="14"/>
  <c r="F157" i="14"/>
  <c r="E158" i="14"/>
  <c r="F158" i="14"/>
  <c r="E160" i="14"/>
  <c r="F160" i="14"/>
  <c r="E161" i="14"/>
  <c r="F161" i="14"/>
  <c r="E162" i="14"/>
  <c r="F162" i="14"/>
  <c r="O126" i="14"/>
  <c r="O127" i="14"/>
  <c r="O128" i="14"/>
  <c r="O129" i="14"/>
  <c r="O130" i="14"/>
  <c r="O131" i="14"/>
  <c r="O132" i="14"/>
  <c r="O133" i="14"/>
  <c r="O134" i="14"/>
  <c r="O135" i="14"/>
  <c r="O136" i="14"/>
  <c r="O137" i="14"/>
  <c r="O138" i="14"/>
  <c r="O139" i="14"/>
  <c r="O140" i="14"/>
  <c r="O141" i="14"/>
  <c r="O142" i="14"/>
  <c r="O143" i="14"/>
  <c r="O144" i="14"/>
  <c r="O145" i="14"/>
  <c r="O146" i="14"/>
  <c r="O147" i="14"/>
  <c r="O148" i="14"/>
  <c r="O149" i="14"/>
  <c r="O150" i="14"/>
  <c r="O151" i="14"/>
  <c r="O152" i="14"/>
  <c r="O153" i="14"/>
  <c r="E126" i="14"/>
  <c r="F126" i="14"/>
  <c r="E127" i="14"/>
  <c r="F127" i="14"/>
  <c r="E128" i="14"/>
  <c r="F128" i="14"/>
  <c r="E129" i="14"/>
  <c r="F129" i="14"/>
  <c r="E130" i="14"/>
  <c r="F130" i="14"/>
  <c r="E131" i="14"/>
  <c r="F131" i="14"/>
  <c r="E132" i="14"/>
  <c r="F132" i="14"/>
  <c r="E133" i="14"/>
  <c r="F133" i="14"/>
  <c r="E134" i="14"/>
  <c r="F134" i="14"/>
  <c r="E135" i="14"/>
  <c r="F135" i="14"/>
  <c r="E136" i="14"/>
  <c r="F136" i="14"/>
  <c r="E137" i="14"/>
  <c r="F137" i="14"/>
  <c r="E138" i="14"/>
  <c r="F138" i="14"/>
  <c r="E139" i="14"/>
  <c r="F139" i="14"/>
  <c r="E140" i="14"/>
  <c r="F140" i="14"/>
  <c r="E141" i="14"/>
  <c r="F141" i="14"/>
  <c r="E142" i="14"/>
  <c r="F142" i="14"/>
  <c r="E143" i="14"/>
  <c r="F143" i="14"/>
  <c r="E144" i="14"/>
  <c r="F144" i="14"/>
  <c r="E145" i="14"/>
  <c r="F145" i="14"/>
  <c r="E146" i="14"/>
  <c r="F146" i="14"/>
  <c r="E147" i="14"/>
  <c r="F147" i="14"/>
  <c r="E148" i="14"/>
  <c r="F148" i="14"/>
  <c r="E149" i="14"/>
  <c r="F149" i="14"/>
  <c r="E150" i="14"/>
  <c r="F150" i="14"/>
  <c r="E151" i="14"/>
  <c r="F151" i="14"/>
  <c r="E152" i="14"/>
  <c r="F152" i="14"/>
  <c r="E153" i="14"/>
  <c r="F15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76" i="14"/>
  <c r="O77" i="14"/>
  <c r="O78" i="14"/>
  <c r="O79" i="14"/>
  <c r="O80" i="14"/>
  <c r="O81" i="14"/>
  <c r="O82" i="14"/>
  <c r="O83" i="14"/>
  <c r="O84" i="14"/>
  <c r="O85" i="14"/>
  <c r="O86" i="14"/>
  <c r="O87" i="14"/>
  <c r="O88" i="14"/>
  <c r="O89" i="14"/>
  <c r="O90" i="14"/>
  <c r="O91" i="14"/>
  <c r="O92" i="14"/>
  <c r="O93" i="14"/>
  <c r="O94" i="14"/>
  <c r="O95" i="14"/>
  <c r="O96" i="14"/>
  <c r="O97" i="14"/>
  <c r="O98" i="14"/>
  <c r="O99" i="14"/>
  <c r="O100" i="14"/>
  <c r="O101" i="14"/>
  <c r="O102" i="14"/>
  <c r="O103" i="14"/>
  <c r="O104" i="14"/>
  <c r="O105" i="14"/>
  <c r="O106" i="14"/>
  <c r="O107" i="14"/>
  <c r="O108" i="14"/>
  <c r="O109" i="14"/>
  <c r="O110" i="14"/>
  <c r="O111" i="14"/>
  <c r="O112" i="14"/>
  <c r="O113" i="14"/>
  <c r="O114" i="14"/>
  <c r="O115" i="14"/>
  <c r="O116" i="14"/>
  <c r="O117" i="14"/>
  <c r="O118" i="14"/>
  <c r="O119" i="14"/>
  <c r="O120" i="14"/>
  <c r="O121" i="14"/>
  <c r="O122" i="14"/>
  <c r="O123" i="14"/>
  <c r="O124" i="14"/>
  <c r="O125" i="14"/>
  <c r="O23" i="14"/>
  <c r="E24" i="14"/>
  <c r="F24" i="14"/>
  <c r="E25" i="14"/>
  <c r="F25" i="14"/>
  <c r="E26" i="14"/>
  <c r="F26" i="14"/>
  <c r="E27" i="14"/>
  <c r="F27" i="14"/>
  <c r="E28" i="14"/>
  <c r="F28" i="14"/>
  <c r="E29" i="14"/>
  <c r="F29" i="14"/>
  <c r="E30" i="14"/>
  <c r="F30" i="14"/>
  <c r="E31" i="14"/>
  <c r="F31" i="14"/>
  <c r="E32" i="14"/>
  <c r="F32" i="14"/>
  <c r="E33" i="14"/>
  <c r="F33" i="14"/>
  <c r="E34" i="14"/>
  <c r="F34" i="14"/>
  <c r="E35" i="14"/>
  <c r="F35" i="14"/>
  <c r="E36" i="14"/>
  <c r="F36" i="14"/>
  <c r="E37" i="14"/>
  <c r="F37" i="14"/>
  <c r="E38" i="14"/>
  <c r="F38" i="14"/>
  <c r="E39" i="14"/>
  <c r="F39" i="14"/>
  <c r="E40" i="14"/>
  <c r="F40" i="14"/>
  <c r="E41" i="14"/>
  <c r="F41" i="14"/>
  <c r="E42" i="14"/>
  <c r="F42" i="14"/>
  <c r="E43" i="14"/>
  <c r="F43" i="14"/>
  <c r="E44" i="14"/>
  <c r="F44" i="14"/>
  <c r="E45" i="14"/>
  <c r="F45" i="14"/>
  <c r="E46" i="14"/>
  <c r="F46" i="14"/>
  <c r="E47" i="14"/>
  <c r="F47" i="14"/>
  <c r="E48" i="14"/>
  <c r="F48" i="14"/>
  <c r="E49" i="14"/>
  <c r="F49" i="14"/>
  <c r="E50" i="14"/>
  <c r="F50" i="14"/>
  <c r="E51" i="14"/>
  <c r="F51" i="14"/>
  <c r="E52" i="14"/>
  <c r="F52" i="14"/>
  <c r="E53" i="14"/>
  <c r="F53" i="14"/>
  <c r="E54" i="14"/>
  <c r="F54" i="14"/>
  <c r="E55" i="14"/>
  <c r="F55" i="14"/>
  <c r="E56" i="14"/>
  <c r="F56" i="14"/>
  <c r="E57" i="14"/>
  <c r="F57" i="14"/>
  <c r="E58" i="14"/>
  <c r="F58" i="14"/>
  <c r="E59" i="14"/>
  <c r="F59" i="14"/>
  <c r="E60" i="14"/>
  <c r="F60" i="14"/>
  <c r="E61" i="14"/>
  <c r="F61" i="14"/>
  <c r="E62" i="14"/>
  <c r="F62" i="14"/>
  <c r="E63" i="14"/>
  <c r="F63" i="14"/>
  <c r="E64" i="14"/>
  <c r="F64" i="14"/>
  <c r="E65" i="14"/>
  <c r="F65" i="14"/>
  <c r="E66" i="14"/>
  <c r="F66" i="14"/>
  <c r="E67" i="14"/>
  <c r="F67" i="14"/>
  <c r="E68" i="14"/>
  <c r="F68" i="14"/>
  <c r="E69" i="14"/>
  <c r="F69" i="14"/>
  <c r="E70" i="14"/>
  <c r="F70" i="14"/>
  <c r="E71" i="14"/>
  <c r="F71" i="14"/>
  <c r="E72" i="14"/>
  <c r="F72" i="14"/>
  <c r="E73" i="14"/>
  <c r="F73" i="14"/>
  <c r="E74" i="14"/>
  <c r="F74" i="14"/>
  <c r="E75" i="14"/>
  <c r="F75" i="14"/>
  <c r="E76" i="14"/>
  <c r="F76" i="14"/>
  <c r="E77" i="14"/>
  <c r="F77" i="14"/>
  <c r="E78" i="14"/>
  <c r="F78" i="14"/>
  <c r="E79" i="14"/>
  <c r="F79" i="14"/>
  <c r="E80" i="14"/>
  <c r="F80" i="14"/>
  <c r="E81" i="14"/>
  <c r="F81" i="14"/>
  <c r="E82" i="14"/>
  <c r="F82" i="14"/>
  <c r="E83" i="14"/>
  <c r="F83" i="14"/>
  <c r="E84" i="14"/>
  <c r="F84" i="14"/>
  <c r="E85" i="14"/>
  <c r="F85" i="14"/>
  <c r="E86" i="14"/>
  <c r="F86" i="14"/>
  <c r="E87" i="14"/>
  <c r="F87" i="14"/>
  <c r="E88" i="14"/>
  <c r="F88" i="14"/>
  <c r="E89" i="14"/>
  <c r="F89" i="14"/>
  <c r="E90" i="14"/>
  <c r="F90" i="14"/>
  <c r="E91" i="14"/>
  <c r="F91" i="14"/>
  <c r="E92" i="14"/>
  <c r="F92" i="14"/>
  <c r="E93" i="14"/>
  <c r="F93" i="14"/>
  <c r="E94" i="14"/>
  <c r="F94" i="14"/>
  <c r="E95" i="14"/>
  <c r="F95" i="14"/>
  <c r="E96" i="14"/>
  <c r="F96" i="14"/>
  <c r="E97" i="14"/>
  <c r="F97" i="14"/>
  <c r="E98" i="14"/>
  <c r="F98" i="14"/>
  <c r="E99" i="14"/>
  <c r="F99" i="14"/>
  <c r="E100" i="14"/>
  <c r="F100" i="14"/>
  <c r="E101" i="14"/>
  <c r="F101" i="14"/>
  <c r="E102" i="14"/>
  <c r="F102" i="14"/>
  <c r="E103" i="14"/>
  <c r="F103" i="14"/>
  <c r="E104" i="14"/>
  <c r="F104" i="14"/>
  <c r="E105" i="14"/>
  <c r="F105" i="14"/>
  <c r="E106" i="14"/>
  <c r="F106" i="14"/>
  <c r="E107" i="14"/>
  <c r="F107" i="14"/>
  <c r="E108" i="14"/>
  <c r="F108" i="14"/>
  <c r="E109" i="14"/>
  <c r="F109" i="14"/>
  <c r="E110" i="14"/>
  <c r="F110" i="14"/>
  <c r="E111" i="14"/>
  <c r="F111" i="14"/>
  <c r="E112" i="14"/>
  <c r="F112" i="14"/>
  <c r="E113" i="14"/>
  <c r="F113" i="14"/>
  <c r="E114" i="14"/>
  <c r="F114" i="14"/>
  <c r="E115" i="14"/>
  <c r="F115" i="14"/>
  <c r="E116" i="14"/>
  <c r="F116" i="14"/>
  <c r="E117" i="14"/>
  <c r="F117" i="14"/>
  <c r="E118" i="14"/>
  <c r="F118" i="14"/>
  <c r="E119" i="14"/>
  <c r="F119" i="14"/>
  <c r="E120" i="14"/>
  <c r="F120" i="14"/>
  <c r="E121" i="14"/>
  <c r="F121" i="14"/>
  <c r="E122" i="14"/>
  <c r="F122" i="14"/>
  <c r="E123" i="14"/>
  <c r="F123" i="14"/>
  <c r="E124" i="14"/>
  <c r="F124" i="14"/>
  <c r="E125" i="14"/>
  <c r="F125" i="14"/>
  <c r="E23" i="14"/>
  <c r="F23" i="14"/>
  <c r="O22" i="14"/>
  <c r="E22" i="14"/>
  <c r="B39" i="22"/>
  <c r="B40" i="22"/>
  <c r="B41" i="22"/>
  <c r="B42" i="22"/>
  <c r="B43" i="22"/>
  <c r="B44" i="22"/>
  <c r="B45" i="22"/>
  <c r="B46" i="22"/>
  <c r="B47" i="22"/>
  <c r="B48" i="22"/>
  <c r="B49" i="22"/>
  <c r="B50" i="22"/>
  <c r="B51" i="22"/>
  <c r="B52" i="22"/>
  <c r="B53" i="22"/>
  <c r="B54" i="22"/>
  <c r="B55" i="22"/>
  <c r="C66" i="20"/>
  <c r="C38" i="22"/>
  <c r="D17" i="22"/>
  <c r="C40" i="22"/>
  <c r="P40" i="22"/>
  <c r="P38" i="22"/>
  <c r="B56" i="22"/>
  <c r="B57" i="22"/>
  <c r="B58" i="22"/>
  <c r="B59" i="22"/>
  <c r="C55" i="22"/>
  <c r="P55" i="22"/>
  <c r="C51" i="22"/>
  <c r="P51" i="22"/>
  <c r="C47" i="22"/>
  <c r="P47" i="22"/>
  <c r="C43" i="22"/>
  <c r="P43" i="22"/>
  <c r="C54" i="22"/>
  <c r="P54" i="22"/>
  <c r="C50" i="22"/>
  <c r="P50" i="22"/>
  <c r="C46" i="22"/>
  <c r="P46" i="22"/>
  <c r="C42" i="22"/>
  <c r="P42" i="22"/>
  <c r="C53" i="22"/>
  <c r="P53" i="22"/>
  <c r="C49" i="22"/>
  <c r="P49" i="22"/>
  <c r="C45" i="22"/>
  <c r="P45" i="22"/>
  <c r="C41" i="22"/>
  <c r="P41" i="22"/>
  <c r="C39" i="22"/>
  <c r="P39" i="22"/>
  <c r="C52" i="22"/>
  <c r="P52" i="22"/>
  <c r="C48" i="22"/>
  <c r="P48" i="22"/>
  <c r="C44" i="22"/>
  <c r="P44" i="22"/>
  <c r="K10" i="26"/>
  <c r="K10" i="23"/>
  <c r="C15" i="22"/>
  <c r="C56" i="22"/>
  <c r="P56" i="22"/>
  <c r="C58" i="22"/>
  <c r="P58" i="22"/>
  <c r="C57" i="22"/>
  <c r="P57" i="22"/>
  <c r="B60" i="22"/>
  <c r="C59" i="22"/>
  <c r="P59" i="22"/>
  <c r="B15" i="20"/>
  <c r="B14" i="20"/>
  <c r="C18" i="12"/>
  <c r="D60" i="12"/>
  <c r="C66" i="12"/>
  <c r="J10" i="26"/>
  <c r="D14" i="26"/>
  <c r="B61" i="22"/>
  <c r="C60" i="22"/>
  <c r="P60" i="22"/>
  <c r="B62" i="22"/>
  <c r="C61" i="22"/>
  <c r="P61" i="22"/>
  <c r="B63" i="22"/>
  <c r="C62" i="22"/>
  <c r="P62" i="22"/>
  <c r="C9" i="20"/>
  <c r="C20" i="12"/>
  <c r="C54" i="12"/>
  <c r="C42" i="12"/>
  <c r="D8" i="25"/>
  <c r="B64" i="22"/>
  <c r="C63" i="22"/>
  <c r="P63" i="22"/>
  <c r="C7" i="17"/>
  <c r="C6" i="17"/>
  <c r="C7" i="16"/>
  <c r="C6" i="16"/>
  <c r="C6" i="14"/>
  <c r="B65" i="22"/>
  <c r="C64" i="22"/>
  <c r="P64" i="22"/>
  <c r="L12" i="15"/>
  <c r="B66" i="22"/>
  <c r="C65" i="22"/>
  <c r="P65" i="22"/>
  <c r="C7" i="14"/>
  <c r="B67" i="22"/>
  <c r="C67" i="22"/>
  <c r="P67" i="22"/>
  <c r="C66" i="22"/>
  <c r="P66" i="22"/>
  <c r="O229" i="17"/>
  <c r="O228" i="17"/>
  <c r="O227" i="17"/>
  <c r="O226" i="17"/>
  <c r="O225" i="17"/>
  <c r="O224" i="17"/>
  <c r="O223" i="17"/>
  <c r="O222" i="17"/>
  <c r="O221" i="17"/>
  <c r="O220" i="17"/>
  <c r="O219" i="17"/>
  <c r="O218" i="17"/>
  <c r="O217" i="17"/>
  <c r="O216" i="17"/>
  <c r="O215" i="17"/>
  <c r="O214" i="17"/>
  <c r="O213" i="17"/>
  <c r="O212" i="17"/>
  <c r="O211" i="17"/>
  <c r="O210" i="17"/>
  <c r="O209" i="17"/>
  <c r="O208" i="17"/>
  <c r="O207" i="17"/>
  <c r="O206" i="17"/>
  <c r="O205" i="17"/>
  <c r="O204" i="17"/>
  <c r="O22" i="16"/>
  <c r="J10" i="23"/>
  <c r="D39" i="20"/>
  <c r="H39" i="20"/>
  <c r="L5" i="15"/>
  <c r="I18" i="15"/>
  <c r="H30" i="15"/>
  <c r="G6" i="19"/>
  <c r="D24" i="22"/>
  <c r="P228" i="17"/>
  <c r="F228" i="17"/>
  <c r="P227" i="17"/>
  <c r="F227" i="17"/>
  <c r="P226" i="17"/>
  <c r="F226" i="17"/>
  <c r="P225" i="17"/>
  <c r="F225" i="17"/>
  <c r="P224" i="17"/>
  <c r="F224" i="17"/>
  <c r="P223" i="17"/>
  <c r="F223" i="17"/>
  <c r="P222" i="17"/>
  <c r="F222" i="17"/>
  <c r="P221" i="17"/>
  <c r="F221" i="17"/>
  <c r="P220" i="17"/>
  <c r="F220" i="17"/>
  <c r="P219" i="17"/>
  <c r="F219" i="17"/>
  <c r="P218" i="17"/>
  <c r="F218" i="17"/>
  <c r="P217" i="17"/>
  <c r="F217" i="17"/>
  <c r="P216" i="17"/>
  <c r="F216" i="17"/>
  <c r="P215" i="17"/>
  <c r="F215" i="17"/>
  <c r="P214" i="17"/>
  <c r="F214" i="17"/>
  <c r="P213" i="17"/>
  <c r="F213" i="17"/>
  <c r="P212" i="17"/>
  <c r="F212" i="17"/>
  <c r="P211" i="17"/>
  <c r="F211" i="17"/>
  <c r="P210" i="17"/>
  <c r="F210" i="17"/>
  <c r="P209" i="17"/>
  <c r="F209" i="17"/>
  <c r="P208" i="17"/>
  <c r="F208" i="17"/>
  <c r="P207" i="17"/>
  <c r="F207" i="17"/>
  <c r="P206" i="17"/>
  <c r="F206" i="17"/>
  <c r="P205" i="17"/>
  <c r="F205" i="17"/>
  <c r="P204" i="17"/>
  <c r="F204" i="17"/>
  <c r="AL15" i="19"/>
  <c r="D38" i="12"/>
  <c r="C40" i="12"/>
  <c r="D81" i="12"/>
  <c r="D73" i="12"/>
  <c r="D72" i="12"/>
  <c r="D48" i="12"/>
  <c r="F229" i="17"/>
  <c r="P229" i="17"/>
  <c r="AG11" i="19"/>
  <c r="AD11" i="19"/>
  <c r="AA11" i="19"/>
  <c r="X11" i="19"/>
  <c r="U11" i="19"/>
  <c r="R11" i="19"/>
  <c r="D14" i="23"/>
  <c r="L18" i="15"/>
  <c r="J20" i="22"/>
  <c r="D32" i="12"/>
  <c r="D31" i="12"/>
  <c r="D30" i="12"/>
  <c r="D28" i="12"/>
  <c r="D29" i="12"/>
  <c r="K8" i="25"/>
  <c r="D17" i="25"/>
  <c r="AJ19" i="19"/>
  <c r="O11" i="19"/>
  <c r="O39" i="20"/>
  <c r="L36" i="15"/>
  <c r="AI13" i="19"/>
  <c r="AI14" i="19"/>
  <c r="AI15" i="19"/>
  <c r="AI16" i="19"/>
  <c r="AI17" i="19"/>
  <c r="AI18" i="19"/>
  <c r="J11" i="20"/>
  <c r="J10" i="20"/>
  <c r="J9" i="20"/>
  <c r="C17" i="20"/>
  <c r="A10" i="20"/>
  <c r="C10" i="20"/>
  <c r="C26" i="20"/>
  <c r="A11" i="20"/>
  <c r="C11" i="20"/>
  <c r="C35" i="20"/>
  <c r="E16" i="16"/>
  <c r="E15" i="16"/>
  <c r="F535" i="16"/>
  <c r="E16" i="14"/>
  <c r="E15" i="14"/>
  <c r="F54" i="17"/>
  <c r="F47" i="17"/>
  <c r="F48" i="17"/>
  <c r="F39" i="17"/>
  <c r="F40" i="17"/>
  <c r="F51" i="17"/>
  <c r="F50" i="17"/>
  <c r="F44" i="17"/>
  <c r="F34" i="17"/>
  <c r="F27" i="17"/>
  <c r="F35" i="17"/>
  <c r="F26" i="17"/>
  <c r="F45" i="17"/>
  <c r="F36" i="17"/>
  <c r="F25" i="17"/>
  <c r="F46" i="17"/>
  <c r="F37" i="17"/>
  <c r="F24" i="17"/>
  <c r="F28" i="17"/>
  <c r="F38" i="17"/>
  <c r="F23" i="17"/>
  <c r="F41" i="17"/>
  <c r="F31" i="17"/>
  <c r="F29" i="17"/>
  <c r="F42" i="17"/>
  <c r="F32" i="17"/>
  <c r="F30" i="17"/>
  <c r="F43" i="17"/>
  <c r="F33" i="17"/>
  <c r="F541" i="16"/>
  <c r="F548" i="16"/>
  <c r="F559" i="16"/>
  <c r="F568" i="16"/>
  <c r="F550" i="16"/>
  <c r="F560" i="16"/>
  <c r="F569" i="16"/>
  <c r="F551" i="16"/>
  <c r="F571" i="16"/>
  <c r="F552" i="16"/>
  <c r="F565" i="16"/>
  <c r="F556" i="16"/>
  <c r="F566" i="16"/>
  <c r="F547" i="16"/>
  <c r="F558" i="16"/>
  <c r="F126" i="16"/>
  <c r="F137" i="16"/>
  <c r="F148" i="16"/>
  <c r="F158" i="16"/>
  <c r="F169" i="16"/>
  <c r="F180" i="16"/>
  <c r="F190" i="16"/>
  <c r="F201" i="16"/>
  <c r="F212" i="16"/>
  <c r="F222" i="16"/>
  <c r="F233" i="16"/>
  <c r="F244" i="16"/>
  <c r="F254" i="16"/>
  <c r="F265" i="16"/>
  <c r="F276" i="16"/>
  <c r="F286" i="16"/>
  <c r="F297" i="16"/>
  <c r="F308" i="16"/>
  <c r="F318" i="16"/>
  <c r="F329" i="16"/>
  <c r="F340" i="16"/>
  <c r="F350" i="16"/>
  <c r="F31" i="16"/>
  <c r="F118" i="16"/>
  <c r="F129" i="16"/>
  <c r="F140" i="16"/>
  <c r="F150" i="16"/>
  <c r="F161" i="16"/>
  <c r="F172" i="16"/>
  <c r="F182" i="16"/>
  <c r="F193" i="16"/>
  <c r="F204" i="16"/>
  <c r="F214" i="16"/>
  <c r="F225" i="16"/>
  <c r="F236" i="16"/>
  <c r="F246" i="16"/>
  <c r="F257" i="16"/>
  <c r="F268" i="16"/>
  <c r="F278" i="16"/>
  <c r="F289" i="16"/>
  <c r="F300" i="16"/>
  <c r="F310" i="16"/>
  <c r="F321" i="16"/>
  <c r="F332" i="16"/>
  <c r="F342" i="16"/>
  <c r="F353" i="16"/>
  <c r="F364" i="16"/>
  <c r="F374" i="16"/>
  <c r="F385" i="16"/>
  <c r="F396" i="16"/>
  <c r="F406" i="16"/>
  <c r="F417" i="16"/>
  <c r="F428" i="16"/>
  <c r="F438" i="16"/>
  <c r="F449" i="16"/>
  <c r="F460" i="16"/>
  <c r="F470" i="16"/>
  <c r="F481" i="16"/>
  <c r="F492" i="16"/>
  <c r="F502" i="16"/>
  <c r="F513" i="16"/>
  <c r="F524" i="16"/>
  <c r="F333" i="16"/>
  <c r="F386" i="16"/>
  <c r="F418" i="16"/>
  <c r="F450" i="16"/>
  <c r="F472" i="16"/>
  <c r="F493" i="16"/>
  <c r="F514" i="16"/>
  <c r="F120" i="16"/>
  <c r="F130" i="16"/>
  <c r="F141" i="16"/>
  <c r="F152" i="16"/>
  <c r="F162" i="16"/>
  <c r="F173" i="16"/>
  <c r="F184" i="16"/>
  <c r="F194" i="16"/>
  <c r="F205" i="16"/>
  <c r="F216" i="16"/>
  <c r="F226" i="16"/>
  <c r="F237" i="16"/>
  <c r="F248" i="16"/>
  <c r="F258" i="16"/>
  <c r="F269" i="16"/>
  <c r="F280" i="16"/>
  <c r="F290" i="16"/>
  <c r="F301" i="16"/>
  <c r="F312" i="16"/>
  <c r="F322" i="16"/>
  <c r="F344" i="16"/>
  <c r="F354" i="16"/>
  <c r="F365" i="16"/>
  <c r="F376" i="16"/>
  <c r="F397" i="16"/>
  <c r="F408" i="16"/>
  <c r="F429" i="16"/>
  <c r="F440" i="16"/>
  <c r="F461" i="16"/>
  <c r="F482" i="16"/>
  <c r="F504" i="16"/>
  <c r="F525" i="16"/>
  <c r="F121" i="16"/>
  <c r="F132" i="16"/>
  <c r="F142" i="16"/>
  <c r="F153" i="16"/>
  <c r="F164" i="16"/>
  <c r="F174" i="16"/>
  <c r="F185" i="16"/>
  <c r="F196" i="16"/>
  <c r="F206" i="16"/>
  <c r="F217" i="16"/>
  <c r="F228" i="16"/>
  <c r="F238" i="16"/>
  <c r="F249" i="16"/>
  <c r="F260" i="16"/>
  <c r="F270" i="16"/>
  <c r="F281" i="16"/>
  <c r="F292" i="16"/>
  <c r="F302" i="16"/>
  <c r="F313" i="16"/>
  <c r="F324" i="16"/>
  <c r="F334" i="16"/>
  <c r="F345" i="16"/>
  <c r="F356" i="16"/>
  <c r="F366" i="16"/>
  <c r="F377" i="16"/>
  <c r="F388" i="16"/>
  <c r="F398" i="16"/>
  <c r="F409" i="16"/>
  <c r="F420" i="16"/>
  <c r="F430" i="16"/>
  <c r="F441" i="16"/>
  <c r="F452" i="16"/>
  <c r="F462" i="16"/>
  <c r="F473" i="16"/>
  <c r="F484" i="16"/>
  <c r="F494" i="16"/>
  <c r="F505" i="16"/>
  <c r="F516" i="16"/>
  <c r="F526" i="16"/>
  <c r="F93" i="16"/>
  <c r="F122" i="16"/>
  <c r="F133" i="16"/>
  <c r="F144" i="16"/>
  <c r="F154" i="16"/>
  <c r="F165" i="16"/>
  <c r="F176" i="16"/>
  <c r="F186" i="16"/>
  <c r="F197" i="16"/>
  <c r="F208" i="16"/>
  <c r="F218" i="16"/>
  <c r="F229" i="16"/>
  <c r="F240" i="16"/>
  <c r="F250" i="16"/>
  <c r="F261" i="16"/>
  <c r="F272" i="16"/>
  <c r="F282" i="16"/>
  <c r="F293" i="16"/>
  <c r="F304" i="16"/>
  <c r="F314" i="16"/>
  <c r="F325" i="16"/>
  <c r="F336" i="16"/>
  <c r="F346" i="16"/>
  <c r="F357" i="16"/>
  <c r="F368" i="16"/>
  <c r="F378" i="16"/>
  <c r="F389" i="16"/>
  <c r="F400" i="16"/>
  <c r="F410" i="16"/>
  <c r="F421" i="16"/>
  <c r="F432" i="16"/>
  <c r="F442" i="16"/>
  <c r="F453" i="16"/>
  <c r="F464" i="16"/>
  <c r="F474" i="16"/>
  <c r="F485" i="16"/>
  <c r="F496" i="16"/>
  <c r="F506" i="16"/>
  <c r="F517" i="16"/>
  <c r="F528" i="16"/>
  <c r="F465" i="16"/>
  <c r="F518" i="16"/>
  <c r="F41" i="16"/>
  <c r="F124" i="16"/>
  <c r="F134" i="16"/>
  <c r="F145" i="16"/>
  <c r="F156" i="16"/>
  <c r="F166" i="16"/>
  <c r="F177" i="16"/>
  <c r="F188" i="16"/>
  <c r="F198" i="16"/>
  <c r="F209" i="16"/>
  <c r="F220" i="16"/>
  <c r="F230" i="16"/>
  <c r="F241" i="16"/>
  <c r="F252" i="16"/>
  <c r="F262" i="16"/>
  <c r="F273" i="16"/>
  <c r="F284" i="16"/>
  <c r="F294" i="16"/>
  <c r="F305" i="16"/>
  <c r="F316" i="16"/>
  <c r="F326" i="16"/>
  <c r="F337" i="16"/>
  <c r="F348" i="16"/>
  <c r="F358" i="16"/>
  <c r="F369" i="16"/>
  <c r="F380" i="16"/>
  <c r="F390" i="16"/>
  <c r="F401" i="16"/>
  <c r="F412" i="16"/>
  <c r="F422" i="16"/>
  <c r="F433" i="16"/>
  <c r="F444" i="16"/>
  <c r="F454" i="16"/>
  <c r="F476" i="16"/>
  <c r="F486" i="16"/>
  <c r="F497" i="16"/>
  <c r="F508" i="16"/>
  <c r="F529" i="16"/>
  <c r="F125" i="16"/>
  <c r="F157" i="16"/>
  <c r="F168" i="16"/>
  <c r="F117" i="16"/>
  <c r="F178" i="16"/>
  <c r="F221" i="16"/>
  <c r="F264" i="16"/>
  <c r="F306" i="16"/>
  <c r="F349" i="16"/>
  <c r="F381" i="16"/>
  <c r="F405" i="16"/>
  <c r="F436" i="16"/>
  <c r="F466" i="16"/>
  <c r="F490" i="16"/>
  <c r="F521" i="16"/>
  <c r="F128" i="16"/>
  <c r="F181" i="16"/>
  <c r="F224" i="16"/>
  <c r="F266" i="16"/>
  <c r="F309" i="16"/>
  <c r="F352" i="16"/>
  <c r="F382" i="16"/>
  <c r="F413" i="16"/>
  <c r="F437" i="16"/>
  <c r="F468" i="16"/>
  <c r="F498" i="16"/>
  <c r="F522" i="16"/>
  <c r="F448" i="16"/>
  <c r="F434" i="16"/>
  <c r="F136" i="16"/>
  <c r="F189" i="16"/>
  <c r="F232" i="16"/>
  <c r="F274" i="16"/>
  <c r="F317" i="16"/>
  <c r="F360" i="16"/>
  <c r="F384" i="16"/>
  <c r="F414" i="16"/>
  <c r="F445" i="16"/>
  <c r="F469" i="16"/>
  <c r="F500" i="16"/>
  <c r="F509" i="16"/>
  <c r="F138" i="16"/>
  <c r="F192" i="16"/>
  <c r="F234" i="16"/>
  <c r="F277" i="16"/>
  <c r="F320" i="16"/>
  <c r="F361" i="16"/>
  <c r="F392" i="16"/>
  <c r="F416" i="16"/>
  <c r="F446" i="16"/>
  <c r="F477" i="16"/>
  <c r="F501" i="16"/>
  <c r="F532" i="16"/>
  <c r="F373" i="16"/>
  <c r="F146" i="16"/>
  <c r="F200" i="16"/>
  <c r="F242" i="16"/>
  <c r="F285" i="16"/>
  <c r="F328" i="16"/>
  <c r="F362" i="16"/>
  <c r="F393" i="16"/>
  <c r="F424" i="16"/>
  <c r="F478" i="16"/>
  <c r="F50" i="16"/>
  <c r="F149" i="16"/>
  <c r="F202" i="16"/>
  <c r="F245" i="16"/>
  <c r="F288" i="16"/>
  <c r="F330" i="16"/>
  <c r="F370" i="16"/>
  <c r="F394" i="16"/>
  <c r="F425" i="16"/>
  <c r="F456" i="16"/>
  <c r="F480" i="16"/>
  <c r="F510" i="16"/>
  <c r="F213" i="16"/>
  <c r="F298" i="16"/>
  <c r="F404" i="16"/>
  <c r="F489" i="16"/>
  <c r="F160" i="16"/>
  <c r="F210" i="16"/>
  <c r="F253" i="16"/>
  <c r="F296" i="16"/>
  <c r="F338" i="16"/>
  <c r="F372" i="16"/>
  <c r="F402" i="16"/>
  <c r="F426" i="16"/>
  <c r="F457" i="16"/>
  <c r="F488" i="16"/>
  <c r="F512" i="16"/>
  <c r="F170" i="16"/>
  <c r="F256" i="16"/>
  <c r="F341" i="16"/>
  <c r="F458" i="16"/>
  <c r="F520" i="16"/>
  <c r="F91" i="16"/>
  <c r="F95" i="16"/>
  <c r="F79" i="16"/>
  <c r="F499" i="16"/>
  <c r="F435" i="16"/>
  <c r="F371" i="16"/>
  <c r="F307" i="16"/>
  <c r="F243" i="16"/>
  <c r="F179" i="16"/>
  <c r="F561" i="16"/>
  <c r="F86" i="16"/>
  <c r="F115" i="16"/>
  <c r="F70" i="16"/>
  <c r="F97" i="16"/>
  <c r="F96" i="16"/>
  <c r="F32" i="16"/>
  <c r="F479" i="16"/>
  <c r="F415" i="16"/>
  <c r="F351" i="16"/>
  <c r="F287" i="16"/>
  <c r="F67" i="16"/>
  <c r="F94" i="16"/>
  <c r="F30" i="16"/>
  <c r="F539" i="16"/>
  <c r="F207" i="16"/>
  <c r="F143" i="16"/>
  <c r="F557" i="16"/>
  <c r="F542" i="16"/>
  <c r="F43" i="16"/>
  <c r="F223" i="16"/>
  <c r="F379" i="16"/>
  <c r="F251" i="16"/>
  <c r="F123" i="16"/>
  <c r="F99" i="16"/>
  <c r="F104" i="16"/>
  <c r="F423" i="16"/>
  <c r="F151" i="16"/>
  <c r="F555" i="16"/>
  <c r="F44" i="16"/>
  <c r="F102" i="16"/>
  <c r="F64" i="16"/>
  <c r="F491" i="16"/>
  <c r="F427" i="16"/>
  <c r="F363" i="16"/>
  <c r="F299" i="16"/>
  <c r="F235" i="16"/>
  <c r="F171" i="16"/>
  <c r="F553" i="16"/>
  <c r="F78" i="16"/>
  <c r="F87" i="16"/>
  <c r="F62" i="16"/>
  <c r="F84" i="16"/>
  <c r="F83" i="16"/>
  <c r="F25" i="16"/>
  <c r="F471" i="16"/>
  <c r="F407" i="16"/>
  <c r="F343" i="16"/>
  <c r="F279" i="16"/>
  <c r="F59" i="16"/>
  <c r="F88" i="16"/>
  <c r="F263" i="16"/>
  <c r="F199" i="16"/>
  <c r="F135" i="16"/>
  <c r="F549" i="16"/>
  <c r="F536" i="16"/>
  <c r="F108" i="16"/>
  <c r="F507" i="16"/>
  <c r="F39" i="16"/>
  <c r="F75" i="16"/>
  <c r="F26" i="16"/>
  <c r="F564" i="16"/>
  <c r="F74" i="16"/>
  <c r="F47" i="16"/>
  <c r="F56" i="16"/>
  <c r="F483" i="16"/>
  <c r="F419" i="16"/>
  <c r="F355" i="16"/>
  <c r="F291" i="16"/>
  <c r="F227" i="16"/>
  <c r="F163" i="16"/>
  <c r="F107" i="16"/>
  <c r="F71" i="16"/>
  <c r="F42" i="16"/>
  <c r="F54" i="16"/>
  <c r="F69" i="16"/>
  <c r="F76" i="16"/>
  <c r="F527" i="16"/>
  <c r="F463" i="16"/>
  <c r="F399" i="16"/>
  <c r="F335" i="16"/>
  <c r="F271" i="16"/>
  <c r="F51" i="16"/>
  <c r="F80" i="16"/>
  <c r="F554" i="16"/>
  <c r="F255" i="16"/>
  <c r="F191" i="16"/>
  <c r="F127" i="16"/>
  <c r="F443" i="16"/>
  <c r="F28" i="16"/>
  <c r="F359" i="16"/>
  <c r="F66" i="16"/>
  <c r="F545" i="16"/>
  <c r="F29" i="16"/>
  <c r="F475" i="16"/>
  <c r="F411" i="16"/>
  <c r="F347" i="16"/>
  <c r="F283" i="16"/>
  <c r="F219" i="16"/>
  <c r="F155" i="16"/>
  <c r="F72" i="16"/>
  <c r="F63" i="16"/>
  <c r="F113" i="16"/>
  <c r="F34" i="16"/>
  <c r="F61" i="16"/>
  <c r="F68" i="16"/>
  <c r="F519" i="16"/>
  <c r="F455" i="16"/>
  <c r="F391" i="16"/>
  <c r="F327" i="16"/>
  <c r="F111" i="16"/>
  <c r="F45" i="16"/>
  <c r="F73" i="16"/>
  <c r="F534" i="16"/>
  <c r="F247" i="16"/>
  <c r="F183" i="16"/>
  <c r="F119" i="16"/>
  <c r="F544" i="16"/>
  <c r="F82" i="16"/>
  <c r="F540" i="16"/>
  <c r="F563" i="16"/>
  <c r="F315" i="16"/>
  <c r="F103" i="16"/>
  <c r="F101" i="16"/>
  <c r="F58" i="16"/>
  <c r="F537" i="16"/>
  <c r="F531" i="16"/>
  <c r="F467" i="16"/>
  <c r="F403" i="16"/>
  <c r="F339" i="16"/>
  <c r="F275" i="16"/>
  <c r="F211" i="16"/>
  <c r="F147" i="16"/>
  <c r="F49" i="16"/>
  <c r="F55" i="16"/>
  <c r="F105" i="16"/>
  <c r="F100" i="16"/>
  <c r="F53" i="16"/>
  <c r="F60" i="16"/>
  <c r="F511" i="16"/>
  <c r="F447" i="16"/>
  <c r="F383" i="16"/>
  <c r="F319" i="16"/>
  <c r="F110" i="16"/>
  <c r="F24" i="16"/>
  <c r="F65" i="16"/>
  <c r="F27" i="16"/>
  <c r="F239" i="16"/>
  <c r="F175" i="16"/>
  <c r="F533" i="16"/>
  <c r="F543" i="16"/>
  <c r="F303" i="16"/>
  <c r="F159" i="16"/>
  <c r="F572" i="16"/>
  <c r="F89" i="16"/>
  <c r="F187" i="16"/>
  <c r="F85" i="16"/>
  <c r="F295" i="16"/>
  <c r="F23" i="16"/>
  <c r="F109" i="16"/>
  <c r="F523" i="16"/>
  <c r="F459" i="16"/>
  <c r="F395" i="16"/>
  <c r="F331" i="16"/>
  <c r="F267" i="16"/>
  <c r="F203" i="16"/>
  <c r="F139" i="16"/>
  <c r="F114" i="16"/>
  <c r="F48" i="16"/>
  <c r="F98" i="16"/>
  <c r="F36" i="16"/>
  <c r="F40" i="16"/>
  <c r="F52" i="16"/>
  <c r="F503" i="16"/>
  <c r="F439" i="16"/>
  <c r="F375" i="16"/>
  <c r="F311" i="16"/>
  <c r="F90" i="16"/>
  <c r="F116" i="16"/>
  <c r="F57" i="16"/>
  <c r="F546" i="16"/>
  <c r="F231" i="16"/>
  <c r="F167" i="16"/>
  <c r="F538" i="16"/>
  <c r="F570" i="16"/>
  <c r="F367" i="16"/>
  <c r="F38" i="16"/>
  <c r="F487" i="16"/>
  <c r="F37" i="16"/>
  <c r="F215" i="16"/>
  <c r="F81" i="16"/>
  <c r="F77" i="16"/>
  <c r="F515" i="16"/>
  <c r="F451" i="16"/>
  <c r="F387" i="16"/>
  <c r="F323" i="16"/>
  <c r="F259" i="16"/>
  <c r="F195" i="16"/>
  <c r="F131" i="16"/>
  <c r="F106" i="16"/>
  <c r="F35" i="16"/>
  <c r="F92" i="16"/>
  <c r="F112" i="16"/>
  <c r="F33" i="16"/>
  <c r="F46" i="16"/>
  <c r="F495" i="16"/>
  <c r="F431" i="16"/>
  <c r="F22" i="14"/>
  <c r="F22" i="16"/>
  <c r="F22" i="17"/>
  <c r="N129" i="20"/>
  <c r="N120" i="20"/>
  <c r="N111" i="20"/>
  <c r="N102" i="20"/>
  <c r="N109" i="20"/>
  <c r="N108" i="20"/>
  <c r="O108" i="20"/>
  <c r="N99" i="20"/>
  <c r="O99" i="20"/>
  <c r="N72" i="20"/>
  <c r="O72" i="20"/>
  <c r="N114" i="20"/>
  <c r="N121" i="20"/>
  <c r="N112" i="20"/>
  <c r="N103" i="20"/>
  <c r="N94" i="20"/>
  <c r="N101" i="20"/>
  <c r="O101" i="20"/>
  <c r="N100" i="20"/>
  <c r="O100" i="20"/>
  <c r="N91" i="20"/>
  <c r="O91" i="20"/>
  <c r="N77" i="20"/>
  <c r="N122" i="20"/>
  <c r="N106" i="20"/>
  <c r="N113" i="20"/>
  <c r="N104" i="20"/>
  <c r="N86" i="20"/>
  <c r="O86" i="20"/>
  <c r="N93" i="20"/>
  <c r="O93" i="20"/>
  <c r="N92" i="20"/>
  <c r="N83" i="20"/>
  <c r="N97" i="20"/>
  <c r="N78" i="20"/>
  <c r="N105" i="20"/>
  <c r="N96" i="20"/>
  <c r="N87" i="20"/>
  <c r="O87" i="20"/>
  <c r="N85" i="20"/>
  <c r="O85" i="20"/>
  <c r="N84" i="20"/>
  <c r="O84" i="20"/>
  <c r="N71" i="20"/>
  <c r="N88" i="20"/>
  <c r="O88" i="20"/>
  <c r="N81" i="20"/>
  <c r="N126" i="20"/>
  <c r="N80" i="20"/>
  <c r="N127" i="20"/>
  <c r="O127" i="20"/>
  <c r="N118" i="20"/>
  <c r="O118" i="20"/>
  <c r="N125" i="20"/>
  <c r="O125" i="20"/>
  <c r="N124" i="20"/>
  <c r="N115" i="20"/>
  <c r="O115" i="20"/>
  <c r="N90" i="20"/>
  <c r="N98" i="20"/>
  <c r="N128" i="20"/>
  <c r="N119" i="20"/>
  <c r="O119" i="20"/>
  <c r="N110" i="20"/>
  <c r="O110" i="20"/>
  <c r="N117" i="20"/>
  <c r="O117" i="20"/>
  <c r="N116" i="20"/>
  <c r="O116" i="20"/>
  <c r="N107" i="20"/>
  <c r="O107" i="20"/>
  <c r="N123" i="20"/>
  <c r="C12" i="19"/>
  <c r="D40" i="20"/>
  <c r="O40" i="20"/>
  <c r="H40" i="20"/>
  <c r="C13" i="19"/>
  <c r="D41" i="20"/>
  <c r="H41" i="20"/>
  <c r="C14" i="19"/>
  <c r="D42" i="20"/>
  <c r="H42" i="20"/>
  <c r="C15" i="19"/>
  <c r="D43" i="20"/>
  <c r="O43" i="20"/>
  <c r="H43" i="20"/>
  <c r="C16" i="19"/>
  <c r="D44" i="20"/>
  <c r="O44" i="20"/>
  <c r="H44" i="20"/>
  <c r="C17" i="19"/>
  <c r="D45" i="20"/>
  <c r="O45" i="20"/>
  <c r="H45" i="20"/>
  <c r="D46" i="20"/>
  <c r="C18" i="19"/>
  <c r="O46" i="20"/>
  <c r="H46" i="20"/>
  <c r="D47" i="20"/>
  <c r="C19" i="19"/>
  <c r="O47" i="20"/>
  <c r="H47" i="20"/>
  <c r="D48" i="20"/>
  <c r="C20" i="19"/>
  <c r="O48" i="20"/>
  <c r="H48" i="20"/>
  <c r="D49" i="20"/>
  <c r="C21" i="19"/>
  <c r="H49" i="20"/>
  <c r="D50" i="20"/>
  <c r="C22" i="19"/>
  <c r="H50" i="20"/>
  <c r="C23" i="19"/>
  <c r="D51" i="20"/>
  <c r="O51" i="20"/>
  <c r="H51" i="20"/>
  <c r="D52" i="20"/>
  <c r="C24" i="19"/>
  <c r="O52" i="20"/>
  <c r="H52" i="20"/>
  <c r="D53" i="20"/>
  <c r="C25" i="19"/>
  <c r="O53" i="20"/>
  <c r="H53" i="20"/>
  <c r="D54" i="20"/>
  <c r="C26" i="19"/>
  <c r="O54" i="20"/>
  <c r="H54" i="20"/>
  <c r="C27" i="19"/>
  <c r="D55" i="20"/>
  <c r="O55" i="20"/>
  <c r="H55" i="20"/>
  <c r="C28" i="19"/>
  <c r="D56" i="20"/>
  <c r="O56" i="20"/>
  <c r="H56" i="20"/>
  <c r="D57" i="20"/>
  <c r="C29" i="19"/>
  <c r="H57" i="20"/>
  <c r="C30" i="19"/>
  <c r="D58" i="20"/>
  <c r="H58" i="20"/>
  <c r="D59" i="20"/>
  <c r="C31" i="19"/>
  <c r="O59" i="20"/>
  <c r="H59" i="20"/>
  <c r="C32" i="19"/>
  <c r="D60" i="20"/>
  <c r="H60" i="20"/>
  <c r="C33" i="19"/>
  <c r="D61" i="20"/>
  <c r="H61" i="20"/>
  <c r="C34" i="19"/>
  <c r="D62" i="20"/>
  <c r="D63" i="20"/>
  <c r="C35" i="19"/>
  <c r="D64" i="20"/>
  <c r="C36" i="19"/>
  <c r="C37" i="19"/>
  <c r="D65" i="20"/>
  <c r="D66" i="20"/>
  <c r="C38" i="19"/>
  <c r="D67" i="20"/>
  <c r="C39" i="19"/>
  <c r="D68" i="20"/>
  <c r="C40" i="19"/>
  <c r="D69" i="20"/>
  <c r="C41" i="19"/>
  <c r="D70" i="20"/>
  <c r="C42" i="19"/>
  <c r="C43" i="19"/>
  <c r="D71" i="20"/>
  <c r="D72" i="20"/>
  <c r="C44" i="19"/>
  <c r="C45" i="19"/>
  <c r="D73" i="20"/>
  <c r="D74" i="20"/>
  <c r="C46" i="19"/>
  <c r="D75" i="20"/>
  <c r="C47" i="19"/>
  <c r="D76" i="20"/>
  <c r="C48" i="19"/>
  <c r="D77" i="20"/>
  <c r="C49" i="19"/>
  <c r="D78" i="20"/>
  <c r="C50" i="19"/>
  <c r="C51" i="19"/>
  <c r="D79" i="20"/>
  <c r="D80" i="20"/>
  <c r="C52" i="19"/>
  <c r="D81" i="20"/>
  <c r="C53" i="19"/>
  <c r="D82" i="20"/>
  <c r="C54" i="19"/>
  <c r="D83" i="20"/>
  <c r="C55" i="19"/>
  <c r="D84" i="20"/>
  <c r="C56" i="19"/>
  <c r="D85" i="20"/>
  <c r="C57" i="19"/>
  <c r="D86" i="20"/>
  <c r="C58" i="19"/>
  <c r="D87" i="20"/>
  <c r="C59" i="19"/>
  <c r="D88" i="20"/>
  <c r="C60" i="19"/>
  <c r="C61" i="19"/>
  <c r="D89" i="20"/>
  <c r="D90" i="20"/>
  <c r="C62" i="19"/>
  <c r="D91" i="20"/>
  <c r="C63" i="19"/>
  <c r="D92" i="20"/>
  <c r="C64" i="19"/>
  <c r="D93" i="20"/>
  <c r="C65" i="19"/>
  <c r="C66" i="19"/>
  <c r="D94" i="20"/>
  <c r="D95" i="20"/>
  <c r="C67" i="19"/>
  <c r="C68" i="19"/>
  <c r="D96" i="20"/>
  <c r="H96" i="20"/>
  <c r="D97" i="20"/>
  <c r="C69" i="19"/>
  <c r="E96" i="20"/>
  <c r="H97" i="20"/>
  <c r="D98" i="20"/>
  <c r="C70" i="19"/>
  <c r="E97" i="20"/>
  <c r="H98" i="20"/>
  <c r="F98" i="20"/>
  <c r="E98" i="20"/>
  <c r="R98" i="20"/>
  <c r="U98" i="20"/>
  <c r="G98" i="20"/>
  <c r="D99" i="20"/>
  <c r="C71" i="19"/>
  <c r="H99" i="20"/>
  <c r="R99" i="20"/>
  <c r="U99" i="20"/>
  <c r="G99" i="20"/>
  <c r="F99" i="20"/>
  <c r="E99" i="20"/>
  <c r="C72" i="19"/>
  <c r="D100" i="20"/>
  <c r="H100" i="20"/>
  <c r="F100" i="20"/>
  <c r="R100" i="20"/>
  <c r="G100" i="20"/>
  <c r="E100" i="20"/>
  <c r="U100" i="20"/>
  <c r="C73" i="19"/>
  <c r="D101" i="20"/>
  <c r="H101" i="20"/>
  <c r="R101" i="20"/>
  <c r="G101" i="20"/>
  <c r="U101" i="20"/>
  <c r="E101" i="20"/>
  <c r="F101" i="20"/>
  <c r="C74" i="19"/>
  <c r="D102" i="20"/>
  <c r="H102" i="20"/>
  <c r="F102" i="20"/>
  <c r="R102" i="20"/>
  <c r="E102" i="20"/>
  <c r="U102" i="20"/>
  <c r="G102" i="20"/>
  <c r="C75" i="19"/>
  <c r="D103" i="20"/>
  <c r="H103" i="20"/>
  <c r="U103" i="20"/>
  <c r="G103" i="20"/>
  <c r="R103" i="20"/>
  <c r="E103" i="20"/>
  <c r="F103" i="20"/>
  <c r="C76" i="19"/>
  <c r="D104" i="20"/>
  <c r="H104" i="20"/>
  <c r="F104" i="20"/>
  <c r="U104" i="20"/>
  <c r="E104" i="20"/>
  <c r="R104" i="20"/>
  <c r="G104" i="20"/>
  <c r="C77" i="19"/>
  <c r="D105" i="20"/>
  <c r="H105" i="20"/>
  <c r="U105" i="20"/>
  <c r="G105" i="20"/>
  <c r="R105" i="20"/>
  <c r="F105" i="20"/>
  <c r="E105" i="20"/>
  <c r="C78" i="19"/>
  <c r="D106" i="20"/>
  <c r="H106" i="20"/>
  <c r="F106" i="20"/>
  <c r="G106" i="20"/>
  <c r="E106" i="20"/>
  <c r="R106" i="20"/>
  <c r="U106" i="20"/>
  <c r="C79" i="19"/>
  <c r="D107" i="20"/>
  <c r="H107" i="20"/>
  <c r="R107" i="20"/>
  <c r="G107" i="20"/>
  <c r="E107" i="20"/>
  <c r="U107" i="20"/>
  <c r="F107" i="20"/>
  <c r="C80" i="19"/>
  <c r="D108" i="20"/>
  <c r="H108" i="20"/>
  <c r="F108" i="20"/>
  <c r="R108" i="20"/>
  <c r="E108" i="20"/>
  <c r="G108" i="20"/>
  <c r="U108" i="20"/>
  <c r="C81" i="19"/>
  <c r="D109" i="20"/>
  <c r="H109" i="20"/>
  <c r="E109" i="20"/>
  <c r="G109" i="20"/>
  <c r="U109" i="20"/>
  <c r="F109" i="20"/>
  <c r="R109" i="20"/>
  <c r="C82" i="19"/>
  <c r="D110" i="20"/>
  <c r="H110" i="20"/>
  <c r="F110" i="20"/>
  <c r="E110" i="20"/>
  <c r="U110" i="20"/>
  <c r="G110" i="20"/>
  <c r="R110" i="20"/>
  <c r="C83" i="19"/>
  <c r="D111" i="20"/>
  <c r="H111" i="20"/>
  <c r="U111" i="20"/>
  <c r="G111" i="20"/>
  <c r="E111" i="20"/>
  <c r="R111" i="20"/>
  <c r="F111" i="20"/>
  <c r="C84" i="19"/>
  <c r="D112" i="20"/>
  <c r="H112" i="20"/>
  <c r="F112" i="20"/>
  <c r="U112" i="20"/>
  <c r="E112" i="20"/>
  <c r="R112" i="20"/>
  <c r="G112" i="20"/>
  <c r="C85" i="19"/>
  <c r="D113" i="20"/>
  <c r="H113" i="20"/>
  <c r="M113" i="20"/>
  <c r="R113" i="20"/>
  <c r="E113" i="20"/>
  <c r="G113" i="20"/>
  <c r="U113" i="20"/>
  <c r="F113" i="20"/>
  <c r="C86" i="19"/>
  <c r="D114" i="20"/>
  <c r="H114" i="20"/>
  <c r="F114" i="20"/>
  <c r="U114" i="20"/>
  <c r="G114" i="20"/>
  <c r="E114" i="20"/>
  <c r="R114" i="20"/>
  <c r="C87" i="19"/>
  <c r="D115" i="20"/>
  <c r="H115" i="20"/>
  <c r="R115" i="20"/>
  <c r="G115" i="20"/>
  <c r="E115" i="20"/>
  <c r="F115" i="20"/>
  <c r="U115" i="20"/>
  <c r="C88" i="19"/>
  <c r="D116" i="20"/>
  <c r="H116" i="20"/>
  <c r="F116" i="20"/>
  <c r="R116" i="20"/>
  <c r="E116" i="20"/>
  <c r="G116" i="20"/>
  <c r="U116" i="20"/>
  <c r="C89" i="19"/>
  <c r="D117" i="20"/>
  <c r="H117" i="20"/>
  <c r="G117" i="20"/>
  <c r="U117" i="20"/>
  <c r="R117" i="20"/>
  <c r="F117" i="20"/>
  <c r="E117" i="20"/>
  <c r="C90" i="19"/>
  <c r="D118" i="20"/>
  <c r="H118" i="20"/>
  <c r="F118" i="20"/>
  <c r="E118" i="20"/>
  <c r="U118" i="20"/>
  <c r="R118" i="20"/>
  <c r="G118" i="20"/>
  <c r="C91" i="19"/>
  <c r="D119" i="20"/>
  <c r="H119" i="20"/>
  <c r="U119" i="20"/>
  <c r="R119" i="20"/>
  <c r="G119" i="20"/>
  <c r="E119" i="20"/>
  <c r="F119" i="20"/>
  <c r="C92" i="19"/>
  <c r="D120" i="20"/>
  <c r="H120" i="20"/>
  <c r="F120" i="20"/>
  <c r="U120" i="20"/>
  <c r="E120" i="20"/>
  <c r="G120" i="20"/>
  <c r="R120" i="20"/>
  <c r="C93" i="19"/>
  <c r="D121" i="20"/>
  <c r="H121" i="20"/>
  <c r="U121" i="20"/>
  <c r="G121" i="20"/>
  <c r="R121" i="20"/>
  <c r="E121" i="20"/>
  <c r="F121" i="20"/>
  <c r="C94" i="19"/>
  <c r="D122" i="20"/>
  <c r="H122" i="20"/>
  <c r="F122" i="20"/>
  <c r="E122" i="20"/>
  <c r="R122" i="20"/>
  <c r="U122" i="20"/>
  <c r="G122" i="20"/>
  <c r="C95" i="19"/>
  <c r="D123" i="20"/>
  <c r="H123" i="20"/>
  <c r="R123" i="20"/>
  <c r="U123" i="20"/>
  <c r="G123" i="20"/>
  <c r="E123" i="20"/>
  <c r="F123" i="20"/>
  <c r="C96" i="19"/>
  <c r="D124" i="20"/>
  <c r="H124" i="20"/>
  <c r="F124" i="20"/>
  <c r="R124" i="20"/>
  <c r="G124" i="20"/>
  <c r="E124" i="20"/>
  <c r="U124" i="20"/>
  <c r="C97" i="19"/>
  <c r="D125" i="20"/>
  <c r="H125" i="20"/>
  <c r="U125" i="20"/>
  <c r="G125" i="20"/>
  <c r="E125" i="20"/>
  <c r="R125" i="20"/>
  <c r="F125" i="20"/>
  <c r="C98" i="19"/>
  <c r="D126" i="20"/>
  <c r="H126" i="20"/>
  <c r="F126" i="20"/>
  <c r="R126" i="20"/>
  <c r="E126" i="20"/>
  <c r="U126" i="20"/>
  <c r="G126" i="20"/>
  <c r="C99" i="19"/>
  <c r="D127" i="20"/>
  <c r="H127" i="20"/>
  <c r="U127" i="20"/>
  <c r="G127" i="20"/>
  <c r="E127" i="20"/>
  <c r="F127" i="20"/>
  <c r="R127" i="20"/>
  <c r="C100" i="19"/>
  <c r="D128" i="20"/>
  <c r="H128" i="20"/>
  <c r="F128" i="20"/>
  <c r="U128" i="20"/>
  <c r="E128" i="20"/>
  <c r="R128" i="20"/>
  <c r="G128" i="20"/>
  <c r="C101" i="19"/>
  <c r="D129" i="20"/>
  <c r="H129" i="20"/>
  <c r="D18" i="22"/>
  <c r="R129" i="20"/>
  <c r="G129" i="20"/>
  <c r="E129" i="20"/>
  <c r="F129" i="20"/>
  <c r="U129" i="20"/>
  <c r="C102" i="19"/>
  <c r="R39" i="20"/>
  <c r="U39" i="20"/>
  <c r="U40" i="20"/>
  <c r="R40" i="20"/>
  <c r="R41" i="20"/>
  <c r="U41" i="20"/>
  <c r="R42" i="20"/>
  <c r="U42" i="20"/>
  <c r="R43" i="20"/>
  <c r="U43" i="20"/>
  <c r="U44" i="20"/>
  <c r="R44" i="20"/>
  <c r="R45" i="20"/>
  <c r="U45" i="20"/>
  <c r="R46" i="20"/>
  <c r="U46" i="20"/>
  <c r="R47" i="20"/>
  <c r="U47" i="20"/>
  <c r="U48" i="20"/>
  <c r="R48" i="20"/>
  <c r="R49" i="20"/>
  <c r="U49" i="20"/>
  <c r="R50" i="20"/>
  <c r="U50" i="20"/>
  <c r="R51" i="20"/>
  <c r="U51" i="20"/>
  <c r="U52" i="20"/>
  <c r="R52" i="20"/>
  <c r="R53" i="20"/>
  <c r="U53" i="20"/>
  <c r="N79" i="20"/>
  <c r="O79" i="20"/>
  <c r="U54" i="20"/>
  <c r="R54" i="20"/>
  <c r="R55" i="20"/>
  <c r="U55" i="20"/>
  <c r="U56" i="20"/>
  <c r="R56" i="20"/>
  <c r="R57" i="20"/>
  <c r="U57" i="20"/>
  <c r="R58" i="20"/>
  <c r="U58" i="20"/>
  <c r="R59" i="20"/>
  <c r="U59" i="20"/>
  <c r="U60" i="20"/>
  <c r="U61" i="20"/>
  <c r="R60" i="20"/>
  <c r="R61" i="20"/>
  <c r="U96" i="20"/>
  <c r="R96" i="20"/>
  <c r="G96" i="20"/>
  <c r="F96" i="20"/>
  <c r="R97" i="20"/>
  <c r="U97" i="20"/>
  <c r="F97" i="20"/>
  <c r="G97" i="20"/>
  <c r="H62" i="20"/>
  <c r="R62" i="20"/>
  <c r="U62" i="20"/>
  <c r="H63" i="20"/>
  <c r="R63" i="20"/>
  <c r="U63" i="20"/>
  <c r="O61" i="20"/>
  <c r="H64" i="20"/>
  <c r="R64" i="20"/>
  <c r="U64" i="20"/>
  <c r="O60" i="20"/>
  <c r="N82" i="20"/>
  <c r="O82" i="20"/>
  <c r="H65" i="20"/>
  <c r="R65" i="20"/>
  <c r="U65" i="20"/>
  <c r="C65" i="20"/>
  <c r="C64" i="20"/>
  <c r="C63" i="20"/>
  <c r="C67" i="20"/>
  <c r="C62" i="20"/>
  <c r="O63" i="20"/>
  <c r="C68" i="20"/>
  <c r="N73" i="20"/>
  <c r="O73" i="20"/>
  <c r="O62" i="20"/>
  <c r="C61" i="20"/>
  <c r="C69" i="20"/>
  <c r="C60" i="20"/>
  <c r="C70" i="20"/>
  <c r="C59" i="20"/>
  <c r="C71" i="20"/>
  <c r="C58" i="20"/>
  <c r="C72" i="20"/>
  <c r="C57" i="20"/>
  <c r="C73" i="20"/>
  <c r="C56" i="20"/>
  <c r="C74" i="20"/>
  <c r="C55" i="20"/>
  <c r="C75" i="20"/>
  <c r="C54" i="20"/>
  <c r="C76" i="20"/>
  <c r="C53" i="20"/>
  <c r="C77" i="20"/>
  <c r="C52" i="20"/>
  <c r="C78" i="20"/>
  <c r="O77" i="20"/>
  <c r="C51" i="20"/>
  <c r="C79" i="20"/>
  <c r="O78" i="20"/>
  <c r="C50" i="20"/>
  <c r="C80" i="20"/>
  <c r="C49" i="20"/>
  <c r="O80" i="20"/>
  <c r="C81" i="20"/>
  <c r="C48" i="20"/>
  <c r="O81" i="20"/>
  <c r="C82" i="20"/>
  <c r="C47" i="20"/>
  <c r="C83" i="20"/>
  <c r="C46" i="20"/>
  <c r="O83" i="20"/>
  <c r="C84" i="20"/>
  <c r="C45" i="20"/>
  <c r="C85" i="20"/>
  <c r="C44" i="20"/>
  <c r="C86" i="20"/>
  <c r="C43" i="20"/>
  <c r="C87" i="20"/>
  <c r="C42" i="20"/>
  <c r="C88" i="20"/>
  <c r="C41" i="20"/>
  <c r="C89" i="20"/>
  <c r="C40" i="20"/>
  <c r="C90" i="20"/>
  <c r="C39" i="20"/>
  <c r="O90" i="20"/>
  <c r="C91" i="20"/>
  <c r="C92" i="20"/>
  <c r="C93" i="20"/>
  <c r="O92" i="20"/>
  <c r="C94" i="20"/>
  <c r="O94" i="20"/>
  <c r="C95" i="20"/>
  <c r="C96" i="20"/>
  <c r="C97" i="20"/>
  <c r="O96" i="20"/>
  <c r="C98" i="20"/>
  <c r="O97" i="20"/>
  <c r="O98" i="20"/>
  <c r="C99" i="20"/>
  <c r="C100" i="20"/>
  <c r="C101" i="20"/>
  <c r="C102" i="20"/>
  <c r="C103" i="20"/>
  <c r="O102" i="20"/>
  <c r="C104" i="20"/>
  <c r="O103" i="20"/>
  <c r="C105" i="20"/>
  <c r="O104" i="20"/>
  <c r="O105" i="20"/>
  <c r="C106" i="20"/>
  <c r="C107" i="20"/>
  <c r="G27" i="25"/>
  <c r="O106" i="20"/>
  <c r="C108" i="20"/>
  <c r="C109" i="20"/>
  <c r="C110" i="20"/>
  <c r="O109" i="20"/>
  <c r="C111" i="20"/>
  <c r="C112" i="20"/>
  <c r="O111" i="20"/>
  <c r="O112" i="20"/>
  <c r="C113" i="20"/>
  <c r="C114" i="20"/>
  <c r="O113" i="20"/>
  <c r="O114" i="20"/>
  <c r="C115" i="20"/>
  <c r="C116" i="20"/>
  <c r="C117" i="20"/>
  <c r="C118" i="20"/>
  <c r="C119" i="20"/>
  <c r="C120" i="20"/>
  <c r="C121" i="20"/>
  <c r="O120" i="20"/>
  <c r="C122" i="20"/>
  <c r="O121" i="20"/>
  <c r="O122" i="20"/>
  <c r="C123" i="20"/>
  <c r="O123" i="20"/>
  <c r="C124" i="20"/>
  <c r="C125" i="20"/>
  <c r="O124" i="20"/>
  <c r="C126" i="20"/>
  <c r="C127" i="20"/>
  <c r="O126" i="20"/>
  <c r="C128" i="20"/>
  <c r="O128" i="20"/>
  <c r="C129" i="20"/>
  <c r="O129" i="20"/>
  <c r="O71" i="20"/>
  <c r="I17" i="17"/>
  <c r="N74" i="20"/>
  <c r="O74" i="20"/>
  <c r="N75" i="20"/>
  <c r="O75" i="20"/>
  <c r="N89" i="20"/>
  <c r="O89" i="20"/>
  <c r="N66" i="20"/>
  <c r="O66" i="20"/>
  <c r="N95" i="20"/>
  <c r="O95" i="20"/>
  <c r="N70" i="20"/>
  <c r="O70" i="20"/>
  <c r="N69" i="20"/>
  <c r="O69" i="20"/>
  <c r="I18" i="17"/>
  <c r="N67" i="20"/>
  <c r="O67" i="20"/>
  <c r="N76" i="20"/>
  <c r="O76" i="20"/>
  <c r="M70" i="20"/>
  <c r="M78" i="20"/>
  <c r="M86" i="20"/>
  <c r="M94" i="20"/>
  <c r="M75" i="20"/>
  <c r="N68" i="20"/>
  <c r="O68" i="20"/>
  <c r="I19" i="17"/>
  <c r="E45" i="22"/>
  <c r="G44" i="22"/>
  <c r="E44" i="22"/>
  <c r="G38" i="22"/>
  <c r="G61" i="22"/>
  <c r="G60" i="22"/>
  <c r="E60" i="22"/>
  <c r="G54" i="22"/>
  <c r="E53" i="22"/>
  <c r="G53" i="22"/>
  <c r="E52" i="22"/>
  <c r="G45" i="22"/>
  <c r="E38" i="22"/>
  <c r="G55" i="22"/>
  <c r="G39" i="22"/>
  <c r="G52" i="22"/>
  <c r="G63" i="22"/>
  <c r="G47" i="22"/>
  <c r="E61" i="22"/>
  <c r="G62" i="22"/>
  <c r="G46" i="22"/>
  <c r="G67" i="22"/>
  <c r="G59" i="22"/>
  <c r="G51" i="22"/>
  <c r="G43" i="22"/>
  <c r="G66" i="22"/>
  <c r="G58" i="22"/>
  <c r="G50" i="22"/>
  <c r="G42" i="22"/>
  <c r="G65" i="22"/>
  <c r="G57" i="22"/>
  <c r="G49" i="22"/>
  <c r="G41" i="22"/>
  <c r="G64" i="22"/>
  <c r="G56" i="22"/>
  <c r="G48" i="22"/>
  <c r="E67" i="22"/>
  <c r="E59" i="22"/>
  <c r="E51" i="22"/>
  <c r="E43" i="22"/>
  <c r="E66" i="22"/>
  <c r="E58" i="22"/>
  <c r="E50" i="22"/>
  <c r="E42" i="22"/>
  <c r="E65" i="22"/>
  <c r="E57" i="22"/>
  <c r="E49" i="22"/>
  <c r="E41" i="22"/>
  <c r="E64" i="22"/>
  <c r="E56" i="22"/>
  <c r="E48" i="22"/>
  <c r="E40" i="22"/>
  <c r="E63" i="22"/>
  <c r="E55" i="22"/>
  <c r="E47" i="22"/>
  <c r="E39" i="22"/>
  <c r="E62" i="22"/>
  <c r="E54" i="22"/>
  <c r="E46" i="22"/>
  <c r="G40" i="22"/>
  <c r="AP18" i="19"/>
  <c r="M41" i="22"/>
  <c r="Q69" i="20"/>
  <c r="R69" i="20"/>
  <c r="D43" i="22"/>
  <c r="F39" i="22"/>
  <c r="D50" i="22"/>
  <c r="D49" i="22"/>
  <c r="D66" i="22"/>
  <c r="D56" i="22"/>
  <c r="D46" i="22"/>
  <c r="F54" i="22"/>
  <c r="D45" i="22"/>
  <c r="F53" i="22"/>
  <c r="D64" i="22"/>
  <c r="D54" i="22"/>
  <c r="D63" i="22"/>
  <c r="D53" i="22"/>
  <c r="D41" i="22"/>
  <c r="F46" i="22"/>
  <c r="M54" i="22"/>
  <c r="Q82" i="20"/>
  <c r="R82" i="20"/>
  <c r="M59" i="22"/>
  <c r="Q87" i="20"/>
  <c r="R87" i="20"/>
  <c r="M42" i="22"/>
  <c r="Q70" i="20"/>
  <c r="R70" i="20"/>
  <c r="M62" i="22"/>
  <c r="Q90" i="20"/>
  <c r="R90" i="20"/>
  <c r="M48" i="22"/>
  <c r="Q76" i="20"/>
  <c r="R76" i="20"/>
  <c r="M40" i="22"/>
  <c r="Q68" i="20"/>
  <c r="R68" i="20"/>
  <c r="M51" i="22"/>
  <c r="Q79" i="20"/>
  <c r="R79" i="20"/>
  <c r="M38" i="22"/>
  <c r="Q66" i="20"/>
  <c r="R66" i="20"/>
  <c r="M46" i="22"/>
  <c r="Q74" i="20"/>
  <c r="R74" i="20"/>
  <c r="M50" i="22"/>
  <c r="Q78" i="20"/>
  <c r="R78" i="20"/>
  <c r="M49" i="22"/>
  <c r="Q77" i="20"/>
  <c r="R77" i="20"/>
  <c r="M58" i="22"/>
  <c r="Q86" i="20"/>
  <c r="R86" i="20"/>
  <c r="M44" i="22"/>
  <c r="Q72" i="20"/>
  <c r="R72" i="20"/>
  <c r="M61" i="22"/>
  <c r="Q89" i="20"/>
  <c r="R89" i="20"/>
  <c r="M57" i="22"/>
  <c r="Q85" i="20"/>
  <c r="R85" i="20"/>
  <c r="M52" i="22"/>
  <c r="Q80" i="20"/>
  <c r="R80" i="20"/>
  <c r="M39" i="22"/>
  <c r="Q67" i="20"/>
  <c r="R67" i="20"/>
  <c r="M45" i="22"/>
  <c r="Q73" i="20"/>
  <c r="R73" i="20"/>
  <c r="M55" i="22"/>
  <c r="Q83" i="20"/>
  <c r="R83" i="20"/>
  <c r="M53" i="22"/>
  <c r="Q81" i="20"/>
  <c r="R81" i="20"/>
  <c r="M56" i="22"/>
  <c r="Q84" i="20"/>
  <c r="R84" i="20"/>
  <c r="M43" i="22"/>
  <c r="Q71" i="20"/>
  <c r="R71" i="20"/>
  <c r="M60" i="22"/>
  <c r="Q88" i="20"/>
  <c r="R88" i="20"/>
  <c r="M47" i="22"/>
  <c r="Q75" i="20"/>
  <c r="R75" i="20"/>
  <c r="H54" i="22"/>
  <c r="T82" i="20"/>
  <c r="U82" i="20"/>
  <c r="H53" i="22"/>
  <c r="T81" i="20"/>
  <c r="U81" i="20"/>
  <c r="F63" i="22"/>
  <c r="H63" i="22"/>
  <c r="T91" i="20"/>
  <c r="U91" i="20"/>
  <c r="F44" i="22"/>
  <c r="F45" i="22"/>
  <c r="H45" i="22"/>
  <c r="T73" i="20"/>
  <c r="U73" i="20"/>
  <c r="H46" i="22"/>
  <c r="T74" i="20"/>
  <c r="U74" i="20"/>
  <c r="F62" i="22"/>
  <c r="D48" i="22"/>
  <c r="F61" i="22"/>
  <c r="D38" i="22"/>
  <c r="D40" i="22"/>
  <c r="F42" i="22"/>
  <c r="D39" i="22"/>
  <c r="H39" i="22"/>
  <c r="T67" i="20"/>
  <c r="U67" i="20"/>
  <c r="F41" i="22"/>
  <c r="H41" i="22"/>
  <c r="T69" i="20"/>
  <c r="U69" i="20"/>
  <c r="D51" i="22"/>
  <c r="F50" i="22"/>
  <c r="H50" i="22"/>
  <c r="T78" i="20"/>
  <c r="U78" i="20"/>
  <c r="D52" i="22"/>
  <c r="F43" i="22"/>
  <c r="H43" i="22"/>
  <c r="T71" i="20"/>
  <c r="U71" i="20"/>
  <c r="F38" i="22"/>
  <c r="D58" i="22"/>
  <c r="D44" i="22"/>
  <c r="F40" i="22"/>
  <c r="F49" i="22"/>
  <c r="H49" i="22"/>
  <c r="T77" i="20"/>
  <c r="U77" i="20"/>
  <c r="D59" i="22"/>
  <c r="F58" i="22"/>
  <c r="D60" i="22"/>
  <c r="F51" i="22"/>
  <c r="D55" i="22"/>
  <c r="D61" i="22"/>
  <c r="D47" i="22"/>
  <c r="D62" i="22"/>
  <c r="F48" i="22"/>
  <c r="F57" i="22"/>
  <c r="D67" i="22"/>
  <c r="F66" i="22"/>
  <c r="H66" i="22"/>
  <c r="T94" i="20"/>
  <c r="U94" i="20"/>
  <c r="F59" i="22"/>
  <c r="F52" i="22"/>
  <c r="D65" i="22"/>
  <c r="F60" i="22"/>
  <c r="D57" i="22"/>
  <c r="F47" i="22"/>
  <c r="F56" i="22"/>
  <c r="H56" i="22"/>
  <c r="T84" i="20"/>
  <c r="U84" i="20"/>
  <c r="F65" i="22"/>
  <c r="F67" i="22"/>
  <c r="F55" i="22"/>
  <c r="F64" i="22"/>
  <c r="H64" i="22"/>
  <c r="T92" i="20"/>
  <c r="U92" i="20"/>
  <c r="D42" i="22"/>
  <c r="H40" i="22"/>
  <c r="T68" i="20"/>
  <c r="U68" i="20"/>
  <c r="H65" i="22"/>
  <c r="T93" i="20"/>
  <c r="U93" i="20"/>
  <c r="H48" i="22"/>
  <c r="T76" i="20"/>
  <c r="U76" i="20"/>
  <c r="H61" i="22"/>
  <c r="T89" i="20"/>
  <c r="U89" i="20"/>
  <c r="H47" i="22"/>
  <c r="T75" i="20"/>
  <c r="U75" i="20"/>
  <c r="H57" i="22"/>
  <c r="T85" i="20"/>
  <c r="U85" i="20"/>
  <c r="H62" i="22"/>
  <c r="T90" i="20"/>
  <c r="U90" i="20"/>
  <c r="H55" i="22"/>
  <c r="T83" i="20"/>
  <c r="U83" i="20"/>
  <c r="H44" i="22"/>
  <c r="T72" i="20"/>
  <c r="U72" i="20"/>
  <c r="H58" i="22"/>
  <c r="T86" i="20"/>
  <c r="U86" i="20"/>
  <c r="M63" i="22"/>
  <c r="Q91" i="20"/>
  <c r="R91" i="20"/>
  <c r="H67" i="22"/>
  <c r="T95" i="20"/>
  <c r="U95" i="20"/>
  <c r="H52" i="22"/>
  <c r="T80" i="20"/>
  <c r="U80" i="20"/>
  <c r="H42" i="22"/>
  <c r="T70" i="20"/>
  <c r="U70" i="20"/>
  <c r="H60" i="22"/>
  <c r="T88" i="20"/>
  <c r="U88" i="20"/>
  <c r="H51" i="22"/>
  <c r="T79" i="20"/>
  <c r="U79" i="20"/>
  <c r="H38" i="22"/>
  <c r="T66" i="20"/>
  <c r="U66" i="20"/>
  <c r="H59" i="22"/>
  <c r="T87" i="20"/>
  <c r="U87" i="20"/>
  <c r="L65" i="22"/>
  <c r="M64" i="22"/>
  <c r="Q92" i="20"/>
  <c r="R92" i="20"/>
  <c r="U29" i="20"/>
  <c r="L66" i="22"/>
  <c r="M65" i="22"/>
  <c r="Q93" i="20"/>
  <c r="R93" i="20"/>
  <c r="G26" i="25"/>
  <c r="L67" i="22"/>
  <c r="M67" i="22"/>
  <c r="Q95" i="20"/>
  <c r="R95" i="20"/>
  <c r="M66" i="22"/>
  <c r="Q94" i="20"/>
  <c r="R94" i="20"/>
  <c r="R29" i="20"/>
  <c r="G25" i="25"/>
  <c r="L20" i="20"/>
  <c r="F6" i="19"/>
  <c r="AE14" i="19"/>
  <c r="P95" i="19"/>
  <c r="P93" i="19"/>
  <c r="AE91" i="19"/>
  <c r="Y81" i="19"/>
  <c r="Y77" i="19"/>
  <c r="S84" i="19"/>
  <c r="AE69" i="19"/>
  <c r="V86" i="19"/>
  <c r="AE100" i="19"/>
  <c r="S91" i="19"/>
  <c r="AH83" i="19"/>
  <c r="V70" i="19"/>
  <c r="AE81" i="19"/>
  <c r="AB51" i="19"/>
  <c r="AE35" i="19"/>
  <c r="AB87" i="19"/>
  <c r="V85" i="19"/>
  <c r="AB65" i="19"/>
  <c r="P73" i="19"/>
  <c r="AB71" i="19"/>
  <c r="AE48" i="19"/>
  <c r="S28" i="19"/>
  <c r="V36" i="19"/>
  <c r="V43" i="19"/>
  <c r="Y50" i="19"/>
  <c r="AB12" i="19"/>
  <c r="V83" i="19"/>
  <c r="P34" i="19"/>
  <c r="P71" i="19"/>
  <c r="AH48" i="19"/>
  <c r="AH17" i="19"/>
  <c r="P24" i="19"/>
  <c r="P61" i="19"/>
  <c r="Y12" i="19"/>
  <c r="AB19" i="19"/>
  <c r="V73" i="19"/>
  <c r="AB39" i="19"/>
  <c r="AB83" i="19"/>
  <c r="P84" i="19"/>
  <c r="AE76" i="19"/>
  <c r="AH26" i="19"/>
  <c r="P33" i="19"/>
  <c r="V14" i="19"/>
  <c r="V45" i="19"/>
  <c r="AH82" i="19"/>
  <c r="Y73" i="19"/>
  <c r="AH67" i="19"/>
  <c r="V91" i="19"/>
  <c r="AH36" i="19"/>
  <c r="S16" i="19"/>
  <c r="V24" i="19"/>
  <c r="Y31" i="19"/>
  <c r="AB38" i="19"/>
  <c r="P70" i="19"/>
  <c r="P21" i="19"/>
  <c r="S66" i="19"/>
  <c r="P77" i="19"/>
  <c r="AE18" i="19"/>
  <c r="AH21" i="19"/>
  <c r="P28" i="19"/>
  <c r="P65" i="19"/>
  <c r="Y16" i="19"/>
  <c r="AB23" i="19"/>
  <c r="V69" i="19"/>
  <c r="AH101" i="19"/>
  <c r="S18" i="19"/>
  <c r="AE16" i="19"/>
  <c r="Y22" i="19"/>
  <c r="P43" i="19"/>
  <c r="AH31" i="19"/>
  <c r="AB33" i="19"/>
  <c r="AE26" i="19"/>
  <c r="S19" i="19"/>
  <c r="V58" i="19"/>
  <c r="P98" i="19"/>
  <c r="AB17" i="19"/>
  <c r="AB92" i="19"/>
  <c r="S67" i="19"/>
  <c r="S31" i="19"/>
  <c r="S79" i="19"/>
  <c r="AB41" i="19"/>
  <c r="P99" i="19"/>
  <c r="AE90" i="19"/>
  <c r="Y85" i="19"/>
  <c r="V87" i="19"/>
  <c r="AB100" i="19"/>
  <c r="Y91" i="19"/>
  <c r="AH69" i="19"/>
  <c r="Y95" i="19"/>
  <c r="S78" i="19"/>
  <c r="AH75" i="19"/>
  <c r="P100" i="19"/>
  <c r="V77" i="19"/>
  <c r="AB90" i="19"/>
  <c r="AH68" i="19"/>
  <c r="AH55" i="19"/>
  <c r="Y98" i="19"/>
  <c r="AB81" i="19"/>
  <c r="AE13" i="19"/>
  <c r="S77" i="19"/>
  <c r="AH52" i="19"/>
  <c r="AE56" i="19"/>
  <c r="S36" i="19"/>
  <c r="S44" i="19"/>
  <c r="V51" i="19"/>
  <c r="Y58" i="19"/>
  <c r="AB36" i="19"/>
  <c r="AE72" i="19"/>
  <c r="AH56" i="19"/>
  <c r="AE78" i="19"/>
  <c r="P102" i="19"/>
  <c r="AH25" i="19"/>
  <c r="P32" i="19"/>
  <c r="V13" i="19"/>
  <c r="Y20" i="19"/>
  <c r="AB35" i="19"/>
  <c r="S81" i="19"/>
  <c r="AE22" i="19"/>
  <c r="AB79" i="19"/>
  <c r="AB40" i="19"/>
  <c r="AB93" i="19"/>
  <c r="AH34" i="19"/>
  <c r="S14" i="19"/>
  <c r="V22" i="19"/>
  <c r="V61" i="19"/>
  <c r="AH62" i="19"/>
  <c r="AB80" i="19"/>
  <c r="AE20" i="19"/>
  <c r="V102" i="19"/>
  <c r="AE44" i="19"/>
  <c r="S24" i="19"/>
  <c r="V32" i="19"/>
  <c r="V39" i="19"/>
  <c r="Y46" i="19"/>
  <c r="AH78" i="19"/>
  <c r="P37" i="19"/>
  <c r="AE37" i="19"/>
  <c r="Y89" i="19"/>
  <c r="S76" i="19"/>
  <c r="AH29" i="19"/>
  <c r="P36" i="19"/>
  <c r="V17" i="19"/>
  <c r="Y24" i="19"/>
  <c r="AB31" i="19"/>
  <c r="S71" i="19"/>
  <c r="V101" i="19"/>
  <c r="P42" i="19"/>
  <c r="AH74" i="19"/>
  <c r="V42" i="19"/>
  <c r="V19" i="19"/>
  <c r="P38" i="19"/>
  <c r="Y56" i="19"/>
  <c r="P67" i="19"/>
  <c r="P51" i="19"/>
  <c r="Y65" i="19"/>
  <c r="AE47" i="19"/>
  <c r="Y40" i="19"/>
  <c r="P89" i="19"/>
  <c r="Y34" i="19"/>
  <c r="Y38" i="19"/>
  <c r="V57" i="19"/>
  <c r="Y45" i="19"/>
  <c r="AH65" i="19"/>
  <c r="V31" i="19"/>
  <c r="S35" i="19"/>
  <c r="AH59" i="19"/>
  <c r="S93" i="19"/>
  <c r="Y82" i="19"/>
  <c r="AE95" i="19"/>
  <c r="AE80" i="19"/>
  <c r="AE86" i="19"/>
  <c r="S94" i="19"/>
  <c r="AB97" i="19"/>
  <c r="AB72" i="19"/>
  <c r="AE97" i="19"/>
  <c r="S73" i="19"/>
  <c r="AE24" i="19"/>
  <c r="P83" i="19"/>
  <c r="AH76" i="19"/>
  <c r="P92" i="19"/>
  <c r="AE98" i="19"/>
  <c r="AB86" i="19"/>
  <c r="Y96" i="19"/>
  <c r="AH49" i="19"/>
  <c r="P79" i="19"/>
  <c r="AH42" i="19"/>
  <c r="AE64" i="19"/>
  <c r="P44" i="19"/>
  <c r="S52" i="19"/>
  <c r="V59" i="19"/>
  <c r="Y66" i="19"/>
  <c r="Y60" i="19"/>
  <c r="P96" i="19"/>
  <c r="AE89" i="19"/>
  <c r="P86" i="19"/>
  <c r="S82" i="19"/>
  <c r="AH33" i="19"/>
  <c r="S13" i="19"/>
  <c r="V21" i="19"/>
  <c r="Y28" i="19"/>
  <c r="Y43" i="19"/>
  <c r="AH51" i="19"/>
  <c r="AH35" i="19"/>
  <c r="AB85" i="19"/>
  <c r="AE96" i="19"/>
  <c r="AH71" i="19"/>
  <c r="AE42" i="19"/>
  <c r="S22" i="19"/>
  <c r="V30" i="19"/>
  <c r="AB20" i="19"/>
  <c r="AH27" i="19"/>
  <c r="AB47" i="19"/>
  <c r="S87" i="19"/>
  <c r="AB96" i="19"/>
  <c r="AE52" i="19"/>
  <c r="S32" i="19"/>
  <c r="S40" i="19"/>
  <c r="V47" i="19"/>
  <c r="Y54" i="19"/>
  <c r="AH89" i="19"/>
  <c r="S26" i="19"/>
  <c r="AH84" i="19"/>
  <c r="AH95" i="19"/>
  <c r="V98" i="19"/>
  <c r="AH37" i="19"/>
  <c r="S17" i="19"/>
  <c r="V25" i="19"/>
  <c r="Y32" i="19"/>
  <c r="Y39" i="19"/>
  <c r="AE36" i="19"/>
  <c r="AH14" i="19"/>
  <c r="P58" i="19"/>
  <c r="AH57" i="19"/>
  <c r="V65" i="19"/>
  <c r="S51" i="19"/>
  <c r="P47" i="19"/>
  <c r="S59" i="19"/>
  <c r="AB25" i="19"/>
  <c r="V27" i="19"/>
  <c r="AB84" i="19"/>
  <c r="S23" i="19"/>
  <c r="Y61" i="19"/>
  <c r="V88" i="19"/>
  <c r="AB16" i="19"/>
  <c r="Y41" i="19"/>
  <c r="V35" i="19"/>
  <c r="AE82" i="19"/>
  <c r="S69" i="19"/>
  <c r="AH41" i="19"/>
  <c r="S102" i="19"/>
  <c r="AB69" i="19"/>
  <c r="Y87" i="19"/>
  <c r="Y97" i="19"/>
  <c r="AE12" i="19"/>
  <c r="P91" i="19"/>
  <c r="V71" i="19"/>
  <c r="Y74" i="19"/>
  <c r="AB50" i="19"/>
  <c r="V100" i="19"/>
  <c r="V94" i="19"/>
  <c r="AB94" i="19"/>
  <c r="P97" i="19"/>
  <c r="AH72" i="19"/>
  <c r="AB99" i="19"/>
  <c r="Y78" i="19"/>
  <c r="Y86" i="19"/>
  <c r="AE28" i="19"/>
  <c r="P15" i="19"/>
  <c r="P52" i="19"/>
  <c r="S60" i="19"/>
  <c r="V67" i="19"/>
  <c r="AB27" i="19"/>
  <c r="AH47" i="19"/>
  <c r="AE99" i="19"/>
  <c r="AE77" i="19"/>
  <c r="AH44" i="19"/>
  <c r="P87" i="19"/>
  <c r="AE41" i="19"/>
  <c r="S21" i="19"/>
  <c r="V29" i="19"/>
  <c r="Y36" i="19"/>
  <c r="Y59" i="19"/>
  <c r="V95" i="19"/>
  <c r="AE51" i="19"/>
  <c r="AB56" i="19"/>
  <c r="P80" i="19"/>
  <c r="AH43" i="19"/>
  <c r="AE50" i="19"/>
  <c r="S30" i="19"/>
  <c r="V38" i="19"/>
  <c r="Y44" i="19"/>
  <c r="AE59" i="19"/>
  <c r="Y68" i="19"/>
  <c r="V82" i="19"/>
  <c r="AE29" i="19"/>
  <c r="AE60" i="19"/>
  <c r="P40" i="19"/>
  <c r="S48" i="19"/>
  <c r="V55" i="19"/>
  <c r="Y62" i="19"/>
  <c r="AH61" i="19"/>
  <c r="S34" i="19"/>
  <c r="AE92" i="19"/>
  <c r="AB63" i="19"/>
  <c r="AH98" i="19"/>
  <c r="AE45" i="19"/>
  <c r="S25" i="19"/>
  <c r="V33" i="19"/>
  <c r="V40" i="19"/>
  <c r="Y47" i="19"/>
  <c r="S90" i="19"/>
  <c r="AH30" i="19"/>
  <c r="V18" i="19"/>
  <c r="AH15" i="19"/>
  <c r="AB29" i="19"/>
  <c r="Y25" i="19"/>
  <c r="V23" i="19"/>
  <c r="V50" i="19"/>
  <c r="AB98" i="19"/>
  <c r="Y30" i="19"/>
  <c r="P14" i="19"/>
  <c r="P55" i="19"/>
  <c r="AB57" i="19"/>
  <c r="AE71" i="19"/>
  <c r="AB21" i="19"/>
  <c r="Y18" i="19"/>
  <c r="AE55" i="19"/>
  <c r="AB76" i="19"/>
  <c r="V89" i="19"/>
  <c r="Y100" i="19"/>
  <c r="AB60" i="19"/>
  <c r="AE101" i="19"/>
  <c r="AE70" i="19"/>
  <c r="P76" i="19"/>
  <c r="V79" i="19"/>
  <c r="AB46" i="19"/>
  <c r="P101" i="19"/>
  <c r="AH92" i="19"/>
  <c r="AB102" i="19"/>
  <c r="AE68" i="19"/>
  <c r="AH97" i="19"/>
  <c r="S70" i="19"/>
  <c r="P74" i="19"/>
  <c r="Y93" i="19"/>
  <c r="AB91" i="19"/>
  <c r="AB61" i="19"/>
  <c r="AH96" i="19"/>
  <c r="AB53" i="19"/>
  <c r="AH16" i="19"/>
  <c r="P23" i="19"/>
  <c r="P60" i="19"/>
  <c r="P68" i="19"/>
  <c r="AB18" i="19"/>
  <c r="Y51" i="19"/>
  <c r="P94" i="19"/>
  <c r="AE19" i="19"/>
  <c r="AB88" i="19"/>
  <c r="Y92" i="19"/>
  <c r="S85" i="19"/>
  <c r="AE49" i="19"/>
  <c r="S29" i="19"/>
  <c r="V37" i="19"/>
  <c r="V44" i="19"/>
  <c r="Y21" i="19"/>
  <c r="AE94" i="19"/>
  <c r="P18" i="19"/>
  <c r="AH40" i="19"/>
  <c r="AH102" i="19"/>
  <c r="AH66" i="19"/>
  <c r="AE58" i="19"/>
  <c r="S38" i="19"/>
  <c r="S46" i="19"/>
  <c r="V68" i="19"/>
  <c r="P26" i="19"/>
  <c r="AE21" i="19"/>
  <c r="AE75" i="19"/>
  <c r="AH58" i="19"/>
  <c r="AB68" i="19"/>
  <c r="P48" i="19"/>
  <c r="S56" i="19"/>
  <c r="V63" i="19"/>
  <c r="P85" i="19"/>
  <c r="AH50" i="19"/>
  <c r="P50" i="19"/>
  <c r="P78" i="19"/>
  <c r="AH93" i="19"/>
  <c r="AB66" i="19"/>
  <c r="AE53" i="19"/>
  <c r="S33" i="19"/>
  <c r="S41" i="19"/>
  <c r="V48" i="19"/>
  <c r="Y55" i="19"/>
  <c r="V80" i="19"/>
  <c r="AH38" i="19"/>
  <c r="V34" i="19"/>
  <c r="P22" i="19"/>
  <c r="Y49" i="19"/>
  <c r="V46" i="19"/>
  <c r="S55" i="19"/>
  <c r="AB37" i="19"/>
  <c r="AB54" i="19"/>
  <c r="P63" i="19"/>
  <c r="P59" i="19"/>
  <c r="S99" i="19"/>
  <c r="AB75" i="19"/>
  <c r="AH70" i="19"/>
  <c r="S100" i="19"/>
  <c r="AB95" i="19"/>
  <c r="Y79" i="19"/>
  <c r="AH100" i="19"/>
  <c r="AH64" i="19"/>
  <c r="S97" i="19"/>
  <c r="AB89" i="19"/>
  <c r="AH88" i="19"/>
  <c r="AH87" i="19"/>
  <c r="V99" i="19"/>
  <c r="AH80" i="19"/>
  <c r="AE34" i="19"/>
  <c r="V97" i="19"/>
  <c r="AE74" i="19"/>
  <c r="Y90" i="19"/>
  <c r="AE73" i="19"/>
  <c r="S83" i="19"/>
  <c r="AH24" i="19"/>
  <c r="P31" i="19"/>
  <c r="V12" i="19"/>
  <c r="Y19" i="19"/>
  <c r="AB26" i="19"/>
  <c r="Y67" i="19"/>
  <c r="AE33" i="19"/>
  <c r="AH19" i="19"/>
  <c r="AH60" i="19"/>
  <c r="Y71" i="19"/>
  <c r="AB48" i="19"/>
  <c r="AE57" i="19"/>
  <c r="S37" i="19"/>
  <c r="S45" i="19"/>
  <c r="V52" i="19"/>
  <c r="V53" i="19"/>
  <c r="AE32" i="19"/>
  <c r="S15" i="19"/>
  <c r="P81" i="19"/>
  <c r="Y72" i="19"/>
  <c r="AE30" i="19"/>
  <c r="AE66" i="19"/>
  <c r="P46" i="19"/>
  <c r="S54" i="19"/>
  <c r="S89" i="19"/>
  <c r="AB43" i="19"/>
  <c r="AH85" i="19"/>
  <c r="Y94" i="19"/>
  <c r="AH12" i="19"/>
  <c r="P19" i="19"/>
  <c r="P56" i="19"/>
  <c r="S64" i="19"/>
  <c r="AB14" i="19"/>
  <c r="AB59" i="19"/>
  <c r="AH22" i="19"/>
  <c r="P66" i="19"/>
  <c r="S75" i="19"/>
  <c r="AH81" i="19"/>
  <c r="AE17" i="19"/>
  <c r="AE61" i="19"/>
  <c r="P41" i="19"/>
  <c r="S49" i="19"/>
  <c r="V56" i="19"/>
  <c r="Y63" i="19"/>
  <c r="V93" i="19"/>
  <c r="AE54" i="19"/>
  <c r="S42" i="19"/>
  <c r="P39" i="19"/>
  <c r="AH53" i="19"/>
  <c r="V66" i="19"/>
  <c r="Y26" i="19"/>
  <c r="V84" i="19"/>
  <c r="P90" i="19"/>
  <c r="Y57" i="19"/>
  <c r="Y48" i="19"/>
  <c r="S63" i="19"/>
  <c r="P72" i="19"/>
  <c r="S27" i="19"/>
  <c r="Y64" i="19"/>
  <c r="V62" i="19"/>
  <c r="AE63" i="19"/>
  <c r="AH79" i="19"/>
  <c r="S92" i="19"/>
  <c r="AB77" i="19"/>
  <c r="Y75" i="19"/>
  <c r="AH45" i="19"/>
  <c r="S86" i="19"/>
  <c r="AB73" i="19"/>
  <c r="G9" i="19"/>
  <c r="AE85" i="19"/>
  <c r="V81" i="19"/>
  <c r="V72" i="19"/>
  <c r="Y88" i="19"/>
  <c r="AE84" i="19"/>
  <c r="AH99" i="19"/>
  <c r="AB55" i="19"/>
  <c r="Y102" i="19"/>
  <c r="P88" i="19"/>
  <c r="S98" i="19"/>
  <c r="AE83" i="19"/>
  <c r="V96" i="19"/>
  <c r="AH32" i="19"/>
  <c r="S12" i="19"/>
  <c r="V20" i="19"/>
  <c r="Y27" i="19"/>
  <c r="AB34" i="19"/>
  <c r="S62" i="19"/>
  <c r="AB101" i="19"/>
  <c r="AE43" i="19"/>
  <c r="AB45" i="19"/>
  <c r="V78" i="19"/>
  <c r="AE38" i="19"/>
  <c r="AE65" i="19"/>
  <c r="P45" i="19"/>
  <c r="S53" i="19"/>
  <c r="V60" i="19"/>
  <c r="AB28" i="19"/>
  <c r="S96" i="19"/>
  <c r="AB52" i="19"/>
  <c r="V75" i="19"/>
  <c r="AB44" i="19"/>
  <c r="AE15" i="19"/>
  <c r="P17" i="19"/>
  <c r="P54" i="19"/>
  <c r="Y13" i="19"/>
  <c r="AB74" i="19"/>
  <c r="Y101" i="19"/>
  <c r="AH73" i="19"/>
  <c r="AE31" i="19"/>
  <c r="AH20" i="19"/>
  <c r="P27" i="19"/>
  <c r="P64" i="19"/>
  <c r="Y15" i="19"/>
  <c r="AB22" i="19"/>
  <c r="V76" i="19"/>
  <c r="AE46" i="19"/>
  <c r="V26" i="19"/>
  <c r="AB42" i="19"/>
  <c r="S88" i="19"/>
  <c r="AH54" i="19"/>
  <c r="P12" i="19"/>
  <c r="P49" i="19"/>
  <c r="S57" i="19"/>
  <c r="V64" i="19"/>
  <c r="AE27" i="19"/>
  <c r="P82" i="19"/>
  <c r="P13" i="19"/>
  <c r="S58" i="19"/>
  <c r="V15" i="19"/>
  <c r="AH23" i="19"/>
  <c r="AB32" i="19"/>
  <c r="V49" i="19"/>
  <c r="S39" i="19"/>
  <c r="AH46" i="19"/>
  <c r="S80" i="19"/>
  <c r="Y83" i="19"/>
  <c r="AH91" i="19"/>
  <c r="V74" i="19"/>
  <c r="AB64" i="19"/>
  <c r="AE93" i="19"/>
  <c r="AH77" i="19"/>
  <c r="AH86" i="19"/>
  <c r="S95" i="19"/>
  <c r="AE102" i="19"/>
  <c r="P75" i="19"/>
  <c r="P69" i="19"/>
  <c r="S72" i="19"/>
  <c r="AE25" i="19"/>
  <c r="AB70" i="19"/>
  <c r="Y69" i="19"/>
  <c r="AE87" i="19"/>
  <c r="Y70" i="19"/>
  <c r="AB49" i="19"/>
  <c r="V92" i="19"/>
  <c r="AE40" i="19"/>
  <c r="S20" i="19"/>
  <c r="V28" i="19"/>
  <c r="Y35" i="19"/>
  <c r="Y42" i="19"/>
  <c r="Y37" i="19"/>
  <c r="AE79" i="19"/>
  <c r="AE67" i="19"/>
  <c r="AE88" i="19"/>
  <c r="AH90" i="19"/>
  <c r="AE23" i="19"/>
  <c r="P16" i="19"/>
  <c r="P53" i="19"/>
  <c r="S61" i="19"/>
  <c r="S68" i="19"/>
  <c r="Y52" i="19"/>
  <c r="Y99" i="19"/>
  <c r="S101" i="19"/>
  <c r="Y80" i="19"/>
  <c r="Y76" i="19"/>
  <c r="AH18" i="19"/>
  <c r="P25" i="19"/>
  <c r="P62" i="19"/>
  <c r="Y29" i="19"/>
  <c r="AH39" i="19"/>
  <c r="Y84" i="19"/>
  <c r="AH94" i="19"/>
  <c r="AB82" i="19"/>
  <c r="AH28" i="19"/>
  <c r="P35" i="19"/>
  <c r="V16" i="19"/>
  <c r="Y23" i="19"/>
  <c r="AB30" i="19"/>
  <c r="AB58" i="19"/>
  <c r="AE62" i="19"/>
  <c r="S50" i="19"/>
  <c r="AH63" i="19"/>
  <c r="AB67" i="19"/>
  <c r="AH13" i="19"/>
  <c r="P20" i="19"/>
  <c r="P57" i="19"/>
  <c r="S65" i="19"/>
  <c r="AB15" i="19"/>
  <c r="AB78" i="19"/>
  <c r="AB62" i="19"/>
  <c r="P29" i="19"/>
  <c r="Y17" i="19"/>
  <c r="S47" i="19"/>
  <c r="P30" i="19"/>
  <c r="Y53" i="19"/>
  <c r="AB13" i="19"/>
  <c r="AB24" i="19"/>
  <c r="AE39" i="19"/>
  <c r="Y14" i="19"/>
  <c r="S74" i="19"/>
  <c r="V54" i="19"/>
  <c r="V41" i="19"/>
  <c r="Y33" i="19"/>
  <c r="S43" i="19"/>
  <c r="V90" i="19"/>
  <c r="E72" i="20"/>
  <c r="E80" i="20"/>
  <c r="E43" i="20"/>
  <c r="E52" i="20"/>
  <c r="D67" i="19"/>
  <c r="D68" i="19"/>
  <c r="D66" i="19"/>
  <c r="E84" i="20"/>
  <c r="E56" i="20"/>
  <c r="F56" i="20"/>
  <c r="E63" i="20"/>
  <c r="F63" i="20"/>
  <c r="E49" i="20"/>
  <c r="F49" i="20"/>
  <c r="E60" i="20"/>
  <c r="E93" i="20"/>
  <c r="E78" i="20"/>
  <c r="G49" i="20"/>
  <c r="E73" i="20"/>
  <c r="E51" i="20"/>
  <c r="E67" i="20"/>
  <c r="G72" i="20"/>
  <c r="H72" i="20"/>
  <c r="F72" i="20"/>
  <c r="E83" i="20"/>
  <c r="G52" i="20"/>
  <c r="F52" i="20"/>
  <c r="E64" i="20"/>
  <c r="E41" i="20"/>
  <c r="E90" i="20"/>
  <c r="E92" i="20"/>
  <c r="E44" i="20"/>
  <c r="E48" i="20"/>
  <c r="E62" i="20"/>
  <c r="E85" i="20"/>
  <c r="E58" i="20"/>
  <c r="E82" i="20"/>
  <c r="E61" i="20"/>
  <c r="E70" i="20"/>
  <c r="G43" i="20"/>
  <c r="F43" i="20"/>
  <c r="E54" i="20"/>
  <c r="E65" i="20"/>
  <c r="E95" i="20"/>
  <c r="E76" i="20"/>
  <c r="E69" i="20"/>
  <c r="E55" i="20"/>
  <c r="E40" i="20"/>
  <c r="E87" i="20"/>
  <c r="E77" i="20"/>
  <c r="E47" i="20"/>
  <c r="E75" i="20"/>
  <c r="E71" i="20"/>
  <c r="G63" i="20"/>
  <c r="E50" i="20"/>
  <c r="E66" i="20"/>
  <c r="E68" i="20"/>
  <c r="E88" i="20"/>
  <c r="H84" i="20"/>
  <c r="G84" i="20"/>
  <c r="F84" i="20"/>
  <c r="E86" i="20"/>
  <c r="E74" i="20"/>
  <c r="E79" i="20"/>
  <c r="E45" i="20"/>
  <c r="H80" i="20"/>
  <c r="G80" i="20"/>
  <c r="F80" i="20"/>
  <c r="E81" i="20"/>
  <c r="E39" i="20"/>
  <c r="E59" i="20"/>
  <c r="E57" i="20"/>
  <c r="E42" i="20"/>
  <c r="E46" i="20"/>
  <c r="E53" i="20"/>
  <c r="E91" i="20"/>
  <c r="E89" i="20"/>
  <c r="E94" i="20"/>
  <c r="G56" i="20"/>
  <c r="G81" i="20"/>
  <c r="F81" i="20"/>
  <c r="H81" i="20"/>
  <c r="F75" i="20"/>
  <c r="G75" i="20"/>
  <c r="H75" i="20"/>
  <c r="F76" i="20"/>
  <c r="G76" i="20"/>
  <c r="H76" i="20"/>
  <c r="G54" i="20"/>
  <c r="F54" i="20"/>
  <c r="H85" i="20"/>
  <c r="G85" i="20"/>
  <c r="F85" i="20"/>
  <c r="G48" i="20"/>
  <c r="F48" i="20"/>
  <c r="G51" i="20"/>
  <c r="F51" i="20"/>
  <c r="F42" i="20"/>
  <c r="G42" i="20"/>
  <c r="G79" i="20"/>
  <c r="H79" i="20"/>
  <c r="F79" i="20"/>
  <c r="F47" i="20"/>
  <c r="G47" i="20"/>
  <c r="F60" i="20"/>
  <c r="G60" i="20"/>
  <c r="H68" i="20"/>
  <c r="G68" i="20"/>
  <c r="F68" i="20"/>
  <c r="G65" i="20"/>
  <c r="F65" i="20"/>
  <c r="H82" i="20"/>
  <c r="F82" i="20"/>
  <c r="G82" i="20"/>
  <c r="F67" i="20"/>
  <c r="G67" i="20"/>
  <c r="H67" i="20"/>
  <c r="AP20" i="19"/>
  <c r="G61" i="20"/>
  <c r="F61" i="20"/>
  <c r="F64" i="20"/>
  <c r="G64" i="20"/>
  <c r="H83" i="20"/>
  <c r="G83" i="20"/>
  <c r="F83" i="20"/>
  <c r="G73" i="20"/>
  <c r="H73" i="20"/>
  <c r="F73" i="20"/>
  <c r="F59" i="20"/>
  <c r="G59" i="20"/>
  <c r="F45" i="20"/>
  <c r="G45" i="20"/>
  <c r="F86" i="20"/>
  <c r="H86" i="20"/>
  <c r="G86" i="20"/>
  <c r="F40" i="20"/>
  <c r="G40" i="20"/>
  <c r="H69" i="20"/>
  <c r="G69" i="20"/>
  <c r="F69" i="20"/>
  <c r="F94" i="20"/>
  <c r="H94" i="20"/>
  <c r="G94" i="20"/>
  <c r="G91" i="20"/>
  <c r="H91" i="20"/>
  <c r="F91" i="20"/>
  <c r="G57" i="20"/>
  <c r="F57" i="20"/>
  <c r="G39" i="20"/>
  <c r="F39" i="20"/>
  <c r="E29" i="20"/>
  <c r="H74" i="20"/>
  <c r="F74" i="20"/>
  <c r="G74" i="20"/>
  <c r="F71" i="20"/>
  <c r="H71" i="20"/>
  <c r="G71" i="20"/>
  <c r="H70" i="20"/>
  <c r="G70" i="20"/>
  <c r="F70" i="20"/>
  <c r="F58" i="20"/>
  <c r="G58" i="20"/>
  <c r="G93" i="20"/>
  <c r="F93" i="20"/>
  <c r="H93" i="20"/>
  <c r="F89" i="20"/>
  <c r="H89" i="20"/>
  <c r="G89" i="20"/>
  <c r="F53" i="20"/>
  <c r="G53" i="20"/>
  <c r="H87" i="20"/>
  <c r="F87" i="20"/>
  <c r="G87" i="20"/>
  <c r="G62" i="20"/>
  <c r="F62" i="20"/>
  <c r="G92" i="20"/>
  <c r="H92" i="20"/>
  <c r="F92" i="20"/>
  <c r="G90" i="20"/>
  <c r="H90" i="20"/>
  <c r="F90" i="20"/>
  <c r="G78" i="20"/>
  <c r="H78" i="20"/>
  <c r="F78" i="20"/>
  <c r="G46" i="20"/>
  <c r="F46" i="20"/>
  <c r="G88" i="20"/>
  <c r="H88" i="20"/>
  <c r="F88" i="20"/>
  <c r="F66" i="20"/>
  <c r="G66" i="20"/>
  <c r="H66" i="20"/>
  <c r="G50" i="20"/>
  <c r="F50" i="20"/>
  <c r="G77" i="20"/>
  <c r="F77" i="20"/>
  <c r="H77" i="20"/>
  <c r="G55" i="20"/>
  <c r="F55" i="20"/>
  <c r="F95" i="20"/>
  <c r="G95" i="20"/>
  <c r="H95" i="20"/>
  <c r="G44" i="20"/>
  <c r="F44" i="20"/>
  <c r="G41" i="20"/>
  <c r="F41" i="20"/>
  <c r="J22" i="14"/>
  <c r="J23" i="14"/>
  <c r="H29" i="20"/>
  <c r="L21" i="20"/>
  <c r="F29" i="20"/>
  <c r="H21" i="20"/>
  <c r="G22" i="25"/>
  <c r="G29" i="20"/>
  <c r="P22" i="14"/>
  <c r="K21" i="20"/>
  <c r="J21" i="20"/>
  <c r="G23" i="25"/>
  <c r="G24" i="25"/>
  <c r="L22" i="20"/>
  <c r="J24" i="14"/>
  <c r="P23" i="14"/>
  <c r="J25" i="14"/>
  <c r="P24" i="14"/>
  <c r="J26" i="14"/>
  <c r="P25" i="14"/>
  <c r="J27" i="14"/>
  <c r="P26" i="14"/>
  <c r="J28" i="14"/>
  <c r="P27" i="14"/>
  <c r="J29" i="14"/>
  <c r="P28" i="14"/>
  <c r="P29" i="14"/>
  <c r="J30" i="14"/>
  <c r="J31" i="14"/>
  <c r="P30" i="14"/>
  <c r="J32" i="14"/>
  <c r="P31" i="14"/>
  <c r="P32" i="14"/>
  <c r="J33" i="14"/>
  <c r="P33" i="14"/>
  <c r="J34" i="14"/>
  <c r="P34" i="14"/>
  <c r="J35" i="14"/>
  <c r="P35" i="14"/>
  <c r="J36" i="14"/>
  <c r="P36" i="14"/>
  <c r="J37" i="14"/>
  <c r="J38" i="14"/>
  <c r="P37" i="14"/>
  <c r="P38" i="14"/>
  <c r="J39" i="14"/>
  <c r="J40" i="14"/>
  <c r="P39" i="14"/>
  <c r="P40" i="14"/>
  <c r="J41" i="14"/>
  <c r="J42" i="14"/>
  <c r="P41" i="14"/>
  <c r="P42" i="14"/>
  <c r="J43" i="14"/>
  <c r="J44" i="14"/>
  <c r="P43" i="14"/>
  <c r="P44" i="14"/>
  <c r="J45" i="14"/>
  <c r="J46" i="14"/>
  <c r="P45" i="14"/>
  <c r="J47" i="14"/>
  <c r="P46" i="14"/>
  <c r="P47" i="14"/>
  <c r="J48" i="14"/>
  <c r="P48" i="14"/>
  <c r="J49" i="14"/>
  <c r="J50" i="14"/>
  <c r="P49" i="14"/>
  <c r="J51" i="14"/>
  <c r="P50" i="14"/>
  <c r="P51" i="14"/>
  <c r="J52" i="14"/>
  <c r="J53" i="14"/>
  <c r="P52" i="14"/>
  <c r="P53" i="14"/>
  <c r="J54" i="14"/>
  <c r="J55" i="14"/>
  <c r="P54" i="14"/>
  <c r="P55" i="14"/>
  <c r="J56" i="14"/>
  <c r="J57" i="14"/>
  <c r="P56" i="14"/>
  <c r="J58" i="14"/>
  <c r="P57" i="14"/>
  <c r="J59" i="14"/>
  <c r="P58" i="14"/>
  <c r="J60" i="14"/>
  <c r="P59" i="14"/>
  <c r="J61" i="14"/>
  <c r="P60" i="14"/>
  <c r="P61" i="14"/>
  <c r="J62" i="14"/>
  <c r="J63" i="14"/>
  <c r="P62" i="14"/>
  <c r="J64" i="14"/>
  <c r="P63" i="14"/>
  <c r="J65" i="14"/>
  <c r="P64" i="14"/>
  <c r="P65" i="14"/>
  <c r="J66" i="14"/>
  <c r="P66" i="14"/>
  <c r="J67" i="14"/>
  <c r="J68" i="14"/>
  <c r="P67" i="14"/>
  <c r="P68" i="14"/>
  <c r="J69" i="14"/>
  <c r="J70" i="14"/>
  <c r="P69" i="14"/>
  <c r="P70" i="14"/>
  <c r="J71" i="14"/>
  <c r="J72" i="14"/>
  <c r="P71" i="14"/>
  <c r="P72" i="14"/>
  <c r="J73" i="14"/>
  <c r="J74" i="14"/>
  <c r="P73" i="14"/>
  <c r="J75" i="14"/>
  <c r="P74" i="14"/>
  <c r="P75" i="14"/>
  <c r="J76" i="14"/>
  <c r="J77" i="14"/>
  <c r="P76" i="14"/>
  <c r="P77" i="14"/>
  <c r="J78" i="14"/>
  <c r="J79" i="14"/>
  <c r="P78" i="14"/>
  <c r="J80" i="14"/>
  <c r="P79" i="14"/>
  <c r="P80" i="14"/>
  <c r="J81" i="14"/>
  <c r="J82" i="14"/>
  <c r="P81" i="14"/>
  <c r="J83" i="14"/>
  <c r="P82" i="14"/>
  <c r="P83" i="14"/>
  <c r="J84" i="14"/>
  <c r="J85" i="14"/>
  <c r="P84" i="14"/>
  <c r="P85" i="14"/>
  <c r="J86" i="14"/>
  <c r="P86" i="14"/>
  <c r="J87" i="14"/>
  <c r="J88" i="14"/>
  <c r="P87" i="14"/>
  <c r="J89" i="14"/>
  <c r="P88" i="14"/>
  <c r="P89" i="14"/>
  <c r="J90" i="14"/>
  <c r="J91" i="14"/>
  <c r="P90" i="14"/>
  <c r="J92" i="14"/>
  <c r="P91" i="14"/>
  <c r="P92" i="14"/>
  <c r="J93" i="14"/>
  <c r="P93" i="14"/>
  <c r="J94" i="14"/>
  <c r="J95" i="14"/>
  <c r="P94" i="14"/>
  <c r="J96" i="14"/>
  <c r="P95" i="14"/>
  <c r="J97" i="14"/>
  <c r="P96" i="14"/>
  <c r="P97" i="14"/>
  <c r="J98" i="14"/>
  <c r="J99" i="14"/>
  <c r="P98" i="14"/>
  <c r="P99" i="14"/>
  <c r="J100" i="14"/>
  <c r="P100" i="14"/>
  <c r="J101" i="14"/>
  <c r="J102" i="14"/>
  <c r="P101" i="14"/>
  <c r="J103" i="14"/>
  <c r="P102" i="14"/>
  <c r="J104" i="14"/>
  <c r="P103" i="14"/>
  <c r="P104" i="14"/>
  <c r="J105" i="14"/>
  <c r="P105" i="14"/>
  <c r="J106" i="14"/>
  <c r="J107" i="14"/>
  <c r="P106" i="14"/>
  <c r="J108" i="14"/>
  <c r="P107" i="14"/>
  <c r="P108" i="14"/>
  <c r="J109" i="14"/>
  <c r="P109" i="14"/>
  <c r="J110" i="14"/>
  <c r="J111" i="14"/>
  <c r="P110" i="14"/>
  <c r="J112" i="14"/>
  <c r="P111" i="14"/>
  <c r="P112" i="14"/>
  <c r="J113" i="14"/>
  <c r="J114" i="14"/>
  <c r="P113" i="14"/>
  <c r="J115" i="14"/>
  <c r="P114" i="14"/>
  <c r="P115" i="14"/>
  <c r="J116" i="14"/>
  <c r="J117" i="14"/>
  <c r="P116" i="14"/>
  <c r="J118" i="14"/>
  <c r="P117" i="14"/>
  <c r="J119" i="14"/>
  <c r="P118" i="14"/>
  <c r="P119" i="14"/>
  <c r="J120" i="14"/>
  <c r="J121" i="14"/>
  <c r="P120" i="14"/>
  <c r="J122" i="14"/>
  <c r="P121" i="14"/>
  <c r="P122" i="14"/>
  <c r="J123" i="14"/>
  <c r="P123" i="14"/>
  <c r="J124" i="14"/>
  <c r="P124" i="14"/>
  <c r="J125" i="14"/>
  <c r="J126" i="14"/>
  <c r="P125" i="14"/>
  <c r="J127" i="14"/>
  <c r="P126" i="14"/>
  <c r="J128" i="14"/>
  <c r="P127" i="14"/>
  <c r="J129" i="14"/>
  <c r="P128" i="14"/>
  <c r="J130" i="14"/>
  <c r="P129" i="14"/>
  <c r="P130" i="14"/>
  <c r="J131" i="14"/>
  <c r="J132" i="14"/>
  <c r="P131" i="14"/>
  <c r="P132" i="14"/>
  <c r="J133" i="14"/>
  <c r="J134" i="14"/>
  <c r="P133" i="14"/>
  <c r="P134" i="14"/>
  <c r="J135" i="14"/>
  <c r="J136" i="14"/>
  <c r="P135" i="14"/>
  <c r="P136" i="14"/>
  <c r="J137" i="14"/>
  <c r="J138" i="14"/>
  <c r="P137" i="14"/>
  <c r="J139" i="14"/>
  <c r="P138" i="14"/>
  <c r="J140" i="14"/>
  <c r="P139" i="14"/>
  <c r="J141" i="14"/>
  <c r="P140" i="14"/>
  <c r="J142" i="14"/>
  <c r="P141" i="14"/>
  <c r="J143" i="14"/>
  <c r="P142" i="14"/>
  <c r="P143" i="14"/>
  <c r="J144" i="14"/>
  <c r="J145" i="14"/>
  <c r="P144" i="14"/>
  <c r="J146" i="14"/>
  <c r="P145" i="14"/>
  <c r="P146" i="14"/>
  <c r="J147" i="14"/>
  <c r="J148" i="14"/>
  <c r="P147" i="14"/>
  <c r="J149" i="14"/>
  <c r="P148" i="14"/>
  <c r="J150" i="14"/>
  <c r="P149" i="14"/>
  <c r="J151" i="14"/>
  <c r="P150" i="14"/>
  <c r="J152" i="14"/>
  <c r="P151" i="14"/>
  <c r="J153" i="14"/>
  <c r="P152" i="14"/>
  <c r="P153" i="14"/>
  <c r="J155" i="14"/>
  <c r="P155" i="14"/>
  <c r="J156" i="14"/>
  <c r="J157" i="14"/>
  <c r="P156" i="14"/>
  <c r="P157" i="14"/>
  <c r="J158" i="14"/>
  <c r="J160" i="14"/>
  <c r="P158" i="14"/>
  <c r="J161" i="14"/>
  <c r="P160" i="14"/>
  <c r="J162" i="14"/>
  <c r="P161" i="14"/>
  <c r="P162" i="14"/>
  <c r="J163" i="14"/>
  <c r="J164" i="14"/>
  <c r="P164" i="14"/>
  <c r="J165" i="14"/>
  <c r="J166" i="14"/>
  <c r="P165" i="14"/>
  <c r="P166" i="14"/>
  <c r="J167" i="14"/>
  <c r="J168" i="14"/>
  <c r="P167" i="14"/>
  <c r="J169" i="14"/>
  <c r="P168" i="14"/>
  <c r="P169" i="14"/>
  <c r="J170" i="14"/>
  <c r="J171" i="14"/>
  <c r="P170" i="14"/>
  <c r="J172" i="14"/>
  <c r="P171" i="14"/>
  <c r="J173" i="14"/>
  <c r="P172" i="14"/>
  <c r="J174" i="14"/>
  <c r="P173" i="14"/>
  <c r="P174" i="14"/>
  <c r="J175" i="14"/>
  <c r="P175" i="14"/>
  <c r="J176" i="14"/>
  <c r="J177" i="14"/>
  <c r="P176" i="14"/>
  <c r="J178" i="14"/>
  <c r="P177" i="14"/>
  <c r="P178" i="14"/>
  <c r="J179" i="14"/>
  <c r="P179" i="14"/>
  <c r="J180" i="14"/>
  <c r="J181" i="14"/>
  <c r="P180" i="14"/>
  <c r="J182" i="14"/>
  <c r="P181" i="14"/>
  <c r="J183" i="14"/>
  <c r="P182" i="14"/>
  <c r="J184" i="14"/>
  <c r="P183" i="14"/>
  <c r="P184" i="14"/>
  <c r="J185" i="14"/>
  <c r="P185" i="14"/>
  <c r="J186" i="14"/>
  <c r="J187" i="14"/>
  <c r="P186" i="14"/>
  <c r="P187" i="14"/>
  <c r="J188" i="14"/>
  <c r="J189" i="14"/>
  <c r="P188" i="14"/>
  <c r="J190" i="14"/>
  <c r="P189" i="14"/>
  <c r="J191" i="14"/>
  <c r="P190" i="14"/>
  <c r="J192" i="14"/>
  <c r="P191" i="14"/>
  <c r="P192" i="14"/>
  <c r="J193" i="14"/>
  <c r="J194" i="14"/>
  <c r="P193" i="14"/>
  <c r="J195" i="14"/>
  <c r="P194" i="14"/>
  <c r="J196" i="14"/>
  <c r="P195" i="14"/>
  <c r="P196" i="14"/>
  <c r="J197" i="14"/>
  <c r="P197" i="14"/>
  <c r="J198" i="14"/>
  <c r="J199" i="14"/>
  <c r="P198" i="14"/>
  <c r="J200" i="14"/>
  <c r="P199" i="14"/>
  <c r="P200" i="14"/>
  <c r="J201" i="14"/>
  <c r="J202" i="14"/>
  <c r="P201" i="14"/>
  <c r="P202" i="14"/>
  <c r="J203" i="14"/>
  <c r="J204" i="14"/>
  <c r="P203" i="14"/>
  <c r="P204" i="14"/>
  <c r="J205" i="14"/>
  <c r="J206" i="14"/>
  <c r="P205" i="14"/>
  <c r="J207" i="14"/>
  <c r="P206" i="14"/>
  <c r="J208" i="14"/>
  <c r="P207" i="14"/>
  <c r="J209" i="14"/>
  <c r="P208" i="14"/>
  <c r="J210" i="14"/>
  <c r="P209" i="14"/>
  <c r="J211" i="14"/>
  <c r="P210" i="14"/>
  <c r="J212" i="14"/>
  <c r="P211" i="14"/>
  <c r="J213" i="14"/>
  <c r="P212" i="14"/>
  <c r="P213" i="14"/>
  <c r="J214" i="14"/>
  <c r="J215" i="14"/>
  <c r="P214" i="14"/>
  <c r="J216" i="14"/>
  <c r="P215" i="14"/>
  <c r="P216" i="14"/>
  <c r="J217" i="14"/>
  <c r="J218" i="14"/>
  <c r="P217" i="14"/>
  <c r="J219" i="14"/>
  <c r="P218" i="14"/>
  <c r="J220" i="14"/>
  <c r="P219" i="14"/>
  <c r="J221" i="14"/>
  <c r="P220" i="14"/>
  <c r="J222" i="14"/>
  <c r="P221" i="14"/>
  <c r="J223" i="14"/>
  <c r="P222" i="14"/>
  <c r="J224" i="14"/>
  <c r="P223" i="14"/>
  <c r="P224" i="14"/>
  <c r="J225" i="14"/>
  <c r="P225" i="14"/>
  <c r="J226" i="14"/>
  <c r="J227" i="14"/>
  <c r="P226" i="14"/>
  <c r="P227" i="14"/>
  <c r="J228" i="14"/>
  <c r="P228" i="14"/>
  <c r="J229" i="14"/>
  <c r="J230" i="14"/>
  <c r="P229" i="14"/>
  <c r="P230" i="14"/>
  <c r="J231" i="14"/>
  <c r="J232" i="14"/>
  <c r="P231" i="14"/>
  <c r="J233" i="14"/>
  <c r="P232" i="14"/>
  <c r="J234" i="14"/>
  <c r="P233" i="14"/>
  <c r="P234" i="14"/>
  <c r="J235" i="14"/>
  <c r="J236" i="14"/>
  <c r="P235" i="14"/>
  <c r="J237" i="14"/>
  <c r="P236" i="14"/>
  <c r="J238" i="14"/>
  <c r="P237" i="14"/>
  <c r="P238" i="14"/>
  <c r="J239" i="14"/>
  <c r="P239" i="14"/>
  <c r="J240" i="14"/>
  <c r="P240" i="14"/>
  <c r="J241" i="14"/>
  <c r="J242" i="14"/>
  <c r="P241" i="14"/>
  <c r="P242" i="14"/>
  <c r="J243" i="14"/>
  <c r="J244" i="14"/>
  <c r="P243" i="14"/>
  <c r="J245" i="14"/>
  <c r="P244" i="14"/>
  <c r="P245" i="14"/>
  <c r="J246" i="14"/>
  <c r="J247" i="14"/>
  <c r="P246" i="14"/>
  <c r="J248" i="14"/>
  <c r="P247" i="14"/>
  <c r="P248" i="14"/>
  <c r="J249" i="14"/>
  <c r="J250" i="14"/>
  <c r="P249" i="14"/>
  <c r="P250" i="14"/>
  <c r="J251" i="14"/>
  <c r="J252" i="14"/>
  <c r="P251" i="14"/>
  <c r="P252" i="14"/>
  <c r="J253" i="14"/>
  <c r="P253" i="14"/>
  <c r="J254" i="14"/>
  <c r="J255" i="14"/>
  <c r="P254" i="14"/>
  <c r="J256" i="14"/>
  <c r="P255" i="14"/>
  <c r="J257" i="14"/>
  <c r="P256" i="14"/>
  <c r="J258" i="14"/>
  <c r="P257" i="14"/>
  <c r="J259" i="14"/>
  <c r="P258" i="14"/>
  <c r="J260" i="14"/>
  <c r="P259" i="14"/>
  <c r="P260" i="14"/>
  <c r="J261" i="14"/>
  <c r="J262" i="14"/>
  <c r="P261" i="14"/>
  <c r="P262" i="14"/>
  <c r="J263" i="14"/>
  <c r="P263" i="14"/>
  <c r="J264" i="14"/>
  <c r="P264" i="14"/>
  <c r="J265" i="14"/>
  <c r="P265" i="14"/>
  <c r="J266" i="14"/>
  <c r="P266" i="14"/>
  <c r="J267" i="14"/>
  <c r="J268" i="14"/>
  <c r="P267" i="14"/>
  <c r="P268" i="14"/>
  <c r="J269" i="14"/>
  <c r="J270" i="14"/>
  <c r="P269" i="14"/>
  <c r="J271" i="14"/>
  <c r="P270" i="14"/>
  <c r="P271" i="14"/>
  <c r="J272" i="14"/>
  <c r="J273" i="14"/>
  <c r="P272" i="14"/>
  <c r="J274" i="14"/>
  <c r="P273" i="14"/>
  <c r="J275" i="14"/>
  <c r="P274" i="14"/>
  <c r="J276" i="14"/>
  <c r="P275" i="14"/>
  <c r="J277" i="14"/>
  <c r="P276" i="14"/>
  <c r="J278" i="14"/>
  <c r="P277" i="14"/>
  <c r="P278" i="14"/>
  <c r="J279" i="14"/>
  <c r="J280" i="14"/>
  <c r="P279" i="14"/>
  <c r="P280" i="14"/>
  <c r="J281" i="14"/>
  <c r="P281" i="14"/>
  <c r="J282" i="14"/>
  <c r="J283" i="14"/>
  <c r="P282" i="14"/>
  <c r="J284" i="14"/>
  <c r="P283" i="14"/>
  <c r="J285" i="14"/>
  <c r="P284" i="14"/>
  <c r="P285" i="14"/>
  <c r="J286" i="14"/>
  <c r="J287" i="14"/>
  <c r="P286" i="14"/>
  <c r="P287" i="14"/>
  <c r="J288" i="14"/>
  <c r="J289" i="14"/>
  <c r="P288" i="14"/>
  <c r="J290" i="14"/>
  <c r="P289" i="14"/>
  <c r="P290" i="14"/>
  <c r="J291" i="14"/>
  <c r="J292" i="14"/>
  <c r="P291" i="14"/>
  <c r="P292" i="14"/>
  <c r="J293" i="14"/>
  <c r="J294" i="14"/>
  <c r="P293" i="14"/>
  <c r="P294" i="14"/>
  <c r="J295" i="14"/>
  <c r="J296" i="14"/>
  <c r="P295" i="14"/>
  <c r="J297" i="14"/>
  <c r="P296" i="14"/>
  <c r="P297" i="14"/>
  <c r="J298" i="14"/>
  <c r="J299" i="14"/>
  <c r="P298" i="14"/>
  <c r="P299" i="14"/>
  <c r="J300" i="14"/>
  <c r="P300" i="14"/>
  <c r="J301" i="14"/>
  <c r="P301" i="14"/>
  <c r="J302" i="14"/>
  <c r="J303" i="14"/>
  <c r="P302" i="14"/>
  <c r="P303" i="14"/>
  <c r="J304" i="14"/>
  <c r="J305" i="14"/>
  <c r="P304" i="14"/>
  <c r="J306" i="14"/>
  <c r="P305" i="14"/>
  <c r="P306" i="14"/>
  <c r="J307" i="14"/>
  <c r="J308" i="14"/>
  <c r="P307" i="14"/>
  <c r="J309" i="14"/>
  <c r="P308" i="14"/>
  <c r="J310" i="14"/>
  <c r="P309" i="14"/>
  <c r="P310" i="14"/>
  <c r="J311" i="14"/>
  <c r="J312" i="14"/>
  <c r="P311" i="14"/>
  <c r="P312" i="14"/>
  <c r="J313" i="14"/>
  <c r="P313" i="14"/>
  <c r="J314" i="14"/>
  <c r="P314" i="14"/>
  <c r="J315" i="14"/>
  <c r="P315" i="14"/>
  <c r="J316" i="14"/>
  <c r="J317" i="14"/>
  <c r="P316" i="14"/>
  <c r="P317" i="14"/>
  <c r="J318" i="14"/>
  <c r="J319" i="14"/>
  <c r="P318" i="14"/>
  <c r="J320" i="14"/>
  <c r="P319" i="14"/>
  <c r="P320" i="14"/>
  <c r="J321" i="14"/>
  <c r="J322" i="14"/>
  <c r="P321" i="14"/>
  <c r="P322" i="14"/>
  <c r="J323" i="14"/>
  <c r="J324" i="14"/>
  <c r="P323" i="14"/>
  <c r="J325" i="14"/>
  <c r="P324" i="14"/>
  <c r="P325" i="14"/>
  <c r="J326" i="14"/>
  <c r="P326" i="14"/>
  <c r="J327" i="14"/>
  <c r="J328" i="14"/>
  <c r="P327" i="14"/>
  <c r="P328" i="14"/>
  <c r="J329" i="14"/>
  <c r="P329" i="14"/>
  <c r="J330" i="14"/>
  <c r="P330" i="14"/>
  <c r="J331" i="14"/>
  <c r="J332" i="14"/>
  <c r="P331" i="14"/>
  <c r="P332" i="14"/>
  <c r="J333" i="14"/>
  <c r="J334" i="14"/>
  <c r="P333" i="14"/>
  <c r="J335" i="14"/>
  <c r="J336" i="14"/>
  <c r="P334" i="14"/>
  <c r="P336" i="14"/>
  <c r="J337" i="14"/>
  <c r="J338" i="14"/>
  <c r="P337" i="14"/>
  <c r="J339" i="14"/>
  <c r="P338" i="14"/>
  <c r="P339" i="14"/>
  <c r="J340" i="14"/>
  <c r="P340" i="14"/>
  <c r="J341" i="14"/>
  <c r="J342" i="14"/>
  <c r="P342" i="14"/>
  <c r="J343" i="14"/>
  <c r="J344" i="14"/>
  <c r="P343" i="14"/>
  <c r="P344" i="14"/>
  <c r="J345" i="14"/>
  <c r="P345" i="14"/>
  <c r="J346" i="14"/>
  <c r="J347" i="14"/>
  <c r="J348" i="14"/>
  <c r="J349" i="14"/>
  <c r="J350" i="14"/>
  <c r="J351" i="14"/>
  <c r="J352" i="14"/>
  <c r="J353" i="14"/>
  <c r="J354" i="14"/>
  <c r="J355" i="14"/>
  <c r="J356" i="14"/>
  <c r="J357" i="14"/>
  <c r="J358" i="14"/>
  <c r="J359" i="14"/>
  <c r="J360" i="14"/>
  <c r="J361" i="14"/>
  <c r="J362" i="14"/>
  <c r="J363" i="14"/>
  <c r="J364" i="14"/>
  <c r="J365" i="14"/>
  <c r="J366" i="14"/>
  <c r="J367" i="14"/>
  <c r="J368" i="14"/>
  <c r="J369" i="14"/>
  <c r="J370" i="14"/>
  <c r="J371" i="14"/>
  <c r="J372" i="14"/>
  <c r="J373" i="14"/>
  <c r="J374" i="14"/>
  <c r="J375" i="14"/>
  <c r="J376" i="14"/>
  <c r="J377" i="14"/>
  <c r="J378" i="14"/>
  <c r="J379" i="14"/>
  <c r="J380" i="14"/>
  <c r="J381" i="14"/>
  <c r="J382" i="14"/>
  <c r="J383" i="14"/>
  <c r="J384" i="14"/>
  <c r="J385" i="14"/>
  <c r="J386" i="14"/>
  <c r="J387" i="14"/>
  <c r="J388" i="14"/>
  <c r="J389" i="14"/>
  <c r="J390" i="14"/>
  <c r="J391" i="14"/>
  <c r="J392" i="14"/>
  <c r="J393" i="14"/>
  <c r="J394" i="14"/>
  <c r="J395" i="14"/>
  <c r="J396" i="14"/>
  <c r="J397" i="14"/>
  <c r="J398" i="14"/>
  <c r="J399" i="14"/>
  <c r="J400" i="14"/>
  <c r="J401" i="14"/>
  <c r="J402" i="14"/>
  <c r="J403" i="14"/>
  <c r="J404" i="14"/>
  <c r="J405" i="14"/>
  <c r="J406" i="14"/>
  <c r="J407" i="14"/>
  <c r="J408" i="14"/>
  <c r="J409" i="14"/>
  <c r="J410" i="14"/>
  <c r="J411" i="14"/>
  <c r="J412" i="14"/>
  <c r="J413" i="14"/>
  <c r="J414" i="14"/>
  <c r="J415" i="14"/>
  <c r="J416" i="14"/>
  <c r="J417" i="14"/>
  <c r="J418" i="14"/>
  <c r="J419" i="14"/>
  <c r="J420" i="14"/>
  <c r="J421" i="14"/>
  <c r="J422" i="14"/>
  <c r="J423" i="14"/>
  <c r="J424" i="14"/>
  <c r="J425" i="14"/>
  <c r="J426" i="14"/>
  <c r="J427" i="14"/>
  <c r="J428" i="14"/>
  <c r="J429" i="14"/>
  <c r="J430" i="14"/>
  <c r="J431" i="14"/>
  <c r="J432" i="14"/>
  <c r="J433" i="14"/>
  <c r="J434" i="14"/>
  <c r="J435" i="14"/>
  <c r="J436" i="14"/>
  <c r="J437" i="14"/>
  <c r="J438" i="14"/>
  <c r="J439" i="14"/>
  <c r="J440" i="14"/>
  <c r="J441" i="14"/>
  <c r="J442" i="14"/>
  <c r="J443" i="14"/>
  <c r="J444" i="14"/>
  <c r="J445" i="14"/>
  <c r="J446" i="14"/>
  <c r="J447" i="14"/>
  <c r="J448" i="14"/>
  <c r="J449" i="14"/>
  <c r="J450" i="14"/>
  <c r="J451" i="14"/>
  <c r="J452" i="14"/>
  <c r="J453" i="14"/>
  <c r="J454" i="14"/>
  <c r="J455" i="14"/>
  <c r="J456" i="14"/>
  <c r="J457" i="14"/>
  <c r="J458" i="14"/>
  <c r="J459" i="14"/>
  <c r="J460" i="14"/>
  <c r="J461" i="14"/>
  <c r="J462" i="14"/>
  <c r="J463" i="14"/>
  <c r="J464" i="14"/>
  <c r="J465" i="14"/>
  <c r="J466" i="14"/>
  <c r="J467" i="14"/>
  <c r="J468" i="14"/>
  <c r="J469" i="14"/>
  <c r="J470" i="14"/>
  <c r="J471" i="14"/>
  <c r="J472" i="14"/>
  <c r="J473" i="14"/>
  <c r="J474" i="14"/>
  <c r="J475" i="14"/>
  <c r="J476" i="14"/>
  <c r="J477" i="14"/>
  <c r="J478" i="14"/>
  <c r="J479" i="14"/>
  <c r="J480" i="14"/>
  <c r="J481" i="14"/>
  <c r="J482" i="14"/>
  <c r="J483" i="14"/>
  <c r="J484" i="14"/>
  <c r="J485" i="14"/>
  <c r="J486" i="14"/>
  <c r="J487" i="14"/>
  <c r="J488" i="14"/>
  <c r="J489" i="14"/>
  <c r="J490" i="14"/>
  <c r="J491" i="14"/>
  <c r="J492" i="14"/>
  <c r="J493" i="14"/>
  <c r="J494" i="14"/>
  <c r="J495" i="14"/>
  <c r="J496" i="14"/>
  <c r="J497" i="14"/>
  <c r="J498" i="14"/>
  <c r="J499" i="14"/>
  <c r="J500" i="14"/>
  <c r="J501" i="14"/>
  <c r="J502" i="14"/>
  <c r="J503" i="14"/>
  <c r="J504" i="14"/>
  <c r="J505" i="14"/>
  <c r="J506" i="14"/>
  <c r="J507" i="14"/>
  <c r="J508" i="14"/>
  <c r="J509" i="14"/>
  <c r="J510" i="14"/>
  <c r="J511" i="14"/>
  <c r="J512" i="14"/>
  <c r="J513" i="14"/>
  <c r="J514" i="14"/>
  <c r="J515" i="14"/>
  <c r="J516" i="14"/>
  <c r="J517" i="14"/>
  <c r="J518" i="14"/>
  <c r="J519" i="14"/>
  <c r="J520" i="14"/>
  <c r="J521" i="14"/>
  <c r="J522" i="14"/>
  <c r="J523" i="14"/>
  <c r="J524" i="14"/>
  <c r="J525" i="14"/>
  <c r="J526" i="14"/>
  <c r="J527" i="14"/>
  <c r="J528" i="14"/>
  <c r="J529" i="14"/>
  <c r="J530" i="14"/>
  <c r="J531" i="14"/>
  <c r="J532" i="14"/>
  <c r="J533" i="14"/>
  <c r="J534" i="14"/>
  <c r="J535" i="14"/>
  <c r="J536" i="14"/>
  <c r="J537" i="14"/>
  <c r="J538" i="14"/>
  <c r="J539" i="14"/>
  <c r="J540" i="14"/>
  <c r="J541" i="14"/>
  <c r="J542" i="14"/>
  <c r="J543" i="14"/>
  <c r="J544" i="14"/>
  <c r="J545" i="14"/>
  <c r="J546" i="14"/>
  <c r="J547" i="14"/>
  <c r="J548" i="14"/>
  <c r="J549" i="14"/>
  <c r="J550" i="14"/>
  <c r="J551" i="14"/>
  <c r="J552" i="14"/>
  <c r="J553" i="14"/>
  <c r="J554" i="14"/>
  <c r="J555" i="14"/>
  <c r="J556" i="14"/>
  <c r="J557" i="14"/>
  <c r="J558" i="14"/>
  <c r="J559" i="14"/>
  <c r="J560" i="14"/>
  <c r="J561" i="14"/>
  <c r="J562" i="14"/>
  <c r="J563" i="14"/>
  <c r="J564" i="14"/>
  <c r="J565" i="14"/>
  <c r="J566" i="14"/>
  <c r="J567" i="14"/>
  <c r="J568" i="14"/>
  <c r="J569" i="14"/>
  <c r="J570" i="14"/>
  <c r="J571" i="14"/>
  <c r="J572" i="14"/>
  <c r="J573" i="14"/>
  <c r="J574" i="14"/>
  <c r="J575" i="14"/>
  <c r="J576" i="14"/>
  <c r="J577" i="14"/>
  <c r="J578" i="14"/>
  <c r="J579" i="14"/>
  <c r="J580" i="14"/>
  <c r="J581" i="14"/>
  <c r="J582" i="14"/>
  <c r="J583" i="14"/>
  <c r="J584" i="14"/>
  <c r="J585" i="14"/>
  <c r="J586" i="14"/>
  <c r="J587" i="14"/>
  <c r="J588" i="14"/>
  <c r="J589" i="14"/>
  <c r="J590" i="14"/>
  <c r="J591" i="14"/>
  <c r="J592" i="14"/>
  <c r="J593" i="14"/>
  <c r="J594" i="14"/>
  <c r="J595" i="14"/>
  <c r="J596" i="14"/>
  <c r="J597" i="14"/>
  <c r="J598" i="14"/>
  <c r="J599" i="14"/>
  <c r="J600" i="14"/>
  <c r="J601" i="14"/>
  <c r="J602" i="14"/>
  <c r="J603" i="14"/>
  <c r="J604" i="14"/>
  <c r="J605" i="14"/>
  <c r="J606" i="14"/>
  <c r="J607" i="14"/>
  <c r="J608" i="14"/>
  <c r="J609" i="14"/>
  <c r="J610" i="14"/>
  <c r="J611" i="14"/>
  <c r="J612" i="14"/>
  <c r="J613" i="14"/>
  <c r="J614" i="14"/>
  <c r="J615" i="14"/>
  <c r="J616" i="14"/>
  <c r="J617" i="14"/>
  <c r="J618" i="14"/>
  <c r="J619" i="14"/>
  <c r="J620" i="14"/>
  <c r="J621" i="14"/>
  <c r="J622" i="14"/>
  <c r="J623" i="14"/>
  <c r="J624" i="14"/>
  <c r="J625" i="14"/>
  <c r="J626" i="14"/>
  <c r="J627" i="14"/>
  <c r="J628" i="14"/>
  <c r="J629" i="14"/>
  <c r="J630" i="14"/>
  <c r="J631" i="14"/>
  <c r="J632" i="14"/>
  <c r="J633" i="14"/>
  <c r="J634" i="14"/>
  <c r="J635" i="14"/>
  <c r="J636" i="14"/>
  <c r="J637" i="14"/>
  <c r="J638" i="14"/>
  <c r="J639" i="14"/>
  <c r="J640" i="14"/>
  <c r="J641" i="14"/>
  <c r="J642" i="14"/>
  <c r="J643" i="14"/>
  <c r="J644" i="14"/>
  <c r="J645" i="14"/>
  <c r="J646" i="14"/>
  <c r="J647" i="14"/>
  <c r="J648" i="14"/>
  <c r="J649" i="14"/>
  <c r="J650" i="14"/>
  <c r="J651" i="14"/>
  <c r="J652" i="14"/>
  <c r="J653" i="14"/>
  <c r="P346" i="14"/>
  <c r="I17" i="14"/>
  <c r="P791" i="14"/>
  <c r="J39" i="20"/>
  <c r="I16" i="14"/>
  <c r="I18" i="14"/>
  <c r="K39" i="20"/>
  <c r="K29" i="20"/>
  <c r="H20" i="20"/>
  <c r="G20" i="25"/>
  <c r="H22" i="20"/>
  <c r="I17" i="16"/>
  <c r="L17" i="16"/>
  <c r="I18" i="16"/>
  <c r="L18" i="16"/>
  <c r="N65" i="20"/>
  <c r="O65" i="20"/>
  <c r="O29" i="20"/>
  <c r="K20" i="20"/>
  <c r="K22" i="20"/>
  <c r="I16" i="16"/>
  <c r="L16" i="16"/>
  <c r="L44" i="20"/>
  <c r="M44" i="20"/>
  <c r="L50" i="20"/>
  <c r="M50" i="20"/>
  <c r="L58" i="20"/>
  <c r="M58" i="20"/>
  <c r="L49" i="20"/>
  <c r="M49" i="20"/>
  <c r="L53" i="20"/>
  <c r="M53" i="20"/>
  <c r="L63" i="20"/>
  <c r="M63" i="20"/>
  <c r="L40" i="20"/>
  <c r="M40" i="20"/>
  <c r="L61" i="20"/>
  <c r="M61" i="20"/>
  <c r="L57" i="20"/>
  <c r="M57" i="20"/>
  <c r="L62" i="20"/>
  <c r="M62" i="20"/>
  <c r="L43" i="20"/>
  <c r="M43" i="20"/>
  <c r="L64" i="20"/>
  <c r="M64" i="20"/>
  <c r="L55" i="20"/>
  <c r="M55" i="20"/>
  <c r="L60" i="20"/>
  <c r="M60" i="20"/>
  <c r="L54" i="20"/>
  <c r="M54" i="20"/>
  <c r="L41" i="20"/>
  <c r="M41" i="20"/>
  <c r="L47" i="20"/>
  <c r="M47" i="20"/>
  <c r="L48" i="20"/>
  <c r="M48" i="20"/>
  <c r="L52" i="20"/>
  <c r="M52" i="20"/>
  <c r="L45" i="20"/>
  <c r="M45" i="20"/>
  <c r="L51" i="20"/>
  <c r="M51" i="20"/>
  <c r="L56" i="20"/>
  <c r="M56" i="20"/>
  <c r="L59" i="20"/>
  <c r="M59" i="20"/>
  <c r="L46" i="20"/>
  <c r="M46" i="20"/>
  <c r="L42" i="20"/>
  <c r="M42" i="20"/>
  <c r="L39" i="20"/>
  <c r="M39" i="20"/>
  <c r="M29" i="20"/>
  <c r="J20" i="20"/>
  <c r="G21" i="25"/>
  <c r="J22" i="20"/>
  <c r="C22" i="20"/>
  <c r="G19" i="25"/>
  <c r="J8" i="25"/>
  <c r="J1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<sst xmlns="http://schemas.openxmlformats.org/spreadsheetml/2006/main" count="12225" uniqueCount="865">
  <si>
    <t>Key outputs</t>
  </si>
  <si>
    <t>MODELLER:</t>
  </si>
  <si>
    <t>email</t>
  </si>
  <si>
    <t>WHAT IS THE PURPOSE OF MODEL?</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</si>
  <si>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</si>
  <si>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</si>
  <si>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</si>
  <si>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</si>
  <si>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</si>
  <si>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Blue font indicates IPART hard-coded values used that should not be changed</t>
  </si>
  <si>
    <t>Pink font indicates calculation checks</t>
  </si>
  <si>
    <t>Red indicates assumptions made in calculations</t>
  </si>
  <si>
    <t>Description</t>
  </si>
  <si>
    <t>Identifier</t>
  </si>
  <si>
    <t>Date commissioned</t>
  </si>
  <si>
    <t>2018-19</t>
  </si>
  <si>
    <t>General inputs</t>
  </si>
  <si>
    <t>Service potential inputs</t>
  </si>
  <si>
    <t>Asset value inputs</t>
  </si>
  <si>
    <t>Single dwelling</t>
  </si>
  <si>
    <t>Multi dwelling</t>
  </si>
  <si>
    <t>ETs</t>
  </si>
  <si>
    <t>Year</t>
  </si>
  <si>
    <t>Forecast period (years)</t>
  </si>
  <si>
    <t>Date check</t>
  </si>
  <si>
    <t>Financial year of commissioning</t>
  </si>
  <si>
    <t>What $ units are used in the model</t>
  </si>
  <si>
    <t>$</t>
  </si>
  <si>
    <t>$'000</t>
  </si>
  <si>
    <t>$M</t>
  </si>
  <si>
    <t>DSP areas serviced by asset</t>
  </si>
  <si>
    <t>Consumption assumption</t>
  </si>
  <si>
    <t>kL/year/ property</t>
  </si>
  <si>
    <t>Sum of new ETs (not discounted)</t>
  </si>
  <si>
    <t>Index</t>
  </si>
  <si>
    <t>Row</t>
  </si>
  <si>
    <t>kL/property/year</t>
  </si>
  <si>
    <t>kL/hectare/year</t>
  </si>
  <si>
    <t>Do not delete section below - this is where the user can enter alternative consumption assumption options for non-residential customer groups.</t>
  </si>
  <si>
    <t>Date range for pre 1996 assets</t>
  </si>
  <si>
    <t>Relevant financial year</t>
  </si>
  <si>
    <t>$ base year for DSP analysis</t>
  </si>
  <si>
    <t>2020-21</t>
  </si>
  <si>
    <t>2021-22</t>
  </si>
  <si>
    <t>2022-23</t>
  </si>
  <si>
    <t>2023-24</t>
  </si>
  <si>
    <t>2024-25</t>
  </si>
  <si>
    <t>2025-26</t>
  </si>
  <si>
    <t>2026-27</t>
  </si>
  <si>
    <t>2027-28</t>
  </si>
  <si>
    <t>2028-29</t>
  </si>
  <si>
    <t>2029-30</t>
  </si>
  <si>
    <t>2030-31</t>
  </si>
  <si>
    <t>Final date where assets can be commissioned</t>
  </si>
  <si>
    <t>Date range for assets</t>
  </si>
  <si>
    <t>First day</t>
  </si>
  <si>
    <t>Last day</t>
  </si>
  <si>
    <t>GENERAL INPUTS</t>
  </si>
  <si>
    <t>Start date</t>
  </si>
  <si>
    <t>End date</t>
  </si>
  <si>
    <t>Where:</t>
  </si>
  <si>
    <t xml:space="preserve"> </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</si>
  <si>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</si>
  <si>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</si>
  <si>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</si>
  <si>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</si>
  <si>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t>=</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</si>
  <si>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</si>
  <si>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Reduction amount</t>
  </si>
  <si>
    <t>Enter analysis below this row.</t>
  </si>
  <si>
    <r>
      <t>K</t>
    </r>
    <r>
      <rPr>
        <vertAlign val="subscript"/>
        <sz val="9"/>
        <rFont val="Arial"/>
        <family val="2"/>
      </rPr>
      <t>1</t>
    </r>
  </si>
  <si>
    <r>
      <t>K</t>
    </r>
    <r>
      <rPr>
        <vertAlign val="subscript"/>
        <sz val="9"/>
        <rFont val="Arial"/>
        <family val="2"/>
      </rPr>
      <t>2</t>
    </r>
  </si>
  <si>
    <r>
      <t>R</t>
    </r>
    <r>
      <rPr>
        <vertAlign val="subscript"/>
        <sz val="9"/>
        <rFont val="Arial"/>
        <family val="2"/>
      </rPr>
      <t>i</t>
    </r>
  </si>
  <si>
    <r>
      <t>C</t>
    </r>
    <r>
      <rPr>
        <vertAlign val="subscript"/>
        <sz val="9"/>
        <rFont val="Arial"/>
        <family val="2"/>
      </rPr>
      <t>i</t>
    </r>
  </si>
  <si>
    <t>n</t>
  </si>
  <si>
    <t>DSP name</t>
  </si>
  <si>
    <t xml:space="preserve">Notes:  </t>
  </si>
  <si>
    <t>Greg McLennan</t>
  </si>
  <si>
    <t>greg_mclennan@ipart.nsw.gov.au</t>
  </si>
  <si>
    <t>The key worksheets requiring inputs to calculate the asset related components are:</t>
  </si>
  <si>
    <t>red double line means formula changes across a row or down a column</t>
  </si>
  <si>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</si>
  <si>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</si>
  <si>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</si>
  <si>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As headwork costs per ET apply to all DSP areas within a system, presenting the headwork calculations separately will provide additional transparency, and ensure consistency between DSP areas in relation to headworks.</t>
  </si>
  <si>
    <t>Discount rates &amp; other</t>
  </si>
  <si>
    <t>Timeframes</t>
  </si>
  <si>
    <t>is the headworks charge</t>
  </si>
  <si>
    <t>Proportion of asset cost to be recovered via this DSP</t>
  </si>
  <si>
    <t>Number of units or length of asset (A)</t>
  </si>
  <si>
    <t>Expected system-wide ETs to be serviced by this asset</t>
  </si>
  <si>
    <t>Total new ETs in DSP area</t>
  </si>
  <si>
    <t>Rate applied to the NPV of expected revenues and costs (real pre-tax WACC)</t>
  </si>
  <si>
    <t>Light industrial</t>
  </si>
  <si>
    <t>Commercial</t>
  </si>
  <si>
    <t>properties</t>
  </si>
  <si>
    <t>hectares</t>
  </si>
  <si>
    <t>New ETs per year for this DSP area</t>
  </si>
  <si>
    <t>2019-20</t>
  </si>
  <si>
    <t>Light grey - inputs not required, cells should be left unchanged.</t>
  </si>
  <si>
    <t>of which:</t>
  </si>
  <si>
    <t>&gt;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</si>
  <si>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</si>
  <si>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</si>
  <si>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</si>
  <si>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</si>
  <si>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Asset inclusions and exclusions</t>
  </si>
  <si>
    <t>The final worksheet provides information from the Determination about asset inclusions and exclusions.</t>
  </si>
  <si>
    <t>'HEADWORK ASSETS' : CALCULATIONS</t>
  </si>
  <si>
    <t>'REDUCTION AMOUNT' : CALCULATIONS</t>
  </si>
  <si>
    <t>Rate applied to pre-1996 assets and ETs</t>
  </si>
  <si>
    <t>Rate applied to post-1996 assets and ETs (real pre-tax WACC)</t>
  </si>
  <si>
    <t xml:space="preserve">An Equivalent Tenement (ET) is a unit that uses X kL/year of water, where X = </t>
  </si>
  <si>
    <t>IPART - Developer charges and backlog sewerage charges for metropolitan water agencies 2017</t>
  </si>
  <si>
    <t>Unit of measure in (A)</t>
  </si>
  <si>
    <t>The plural of the units will only affect headings.</t>
  </si>
  <si>
    <t>EQUIVALENT TENEMENTS (ETs) SINCE 1 JULY 1996 RELATING TO THE DSP UNDER CONSIDERATION</t>
  </si>
  <si>
    <t>ET consumption assumption (kL/year)</t>
  </si>
  <si>
    <t>Non-res 4</t>
  </si>
  <si>
    <t>Non-res 5</t>
  </si>
  <si>
    <t>Non-res 6</t>
  </si>
  <si>
    <t>Non-res 7</t>
  </si>
  <si>
    <t>Non-res 8</t>
  </si>
  <si>
    <t>Regulated Agency (for setting pre-1996 discount rate)</t>
  </si>
  <si>
    <t>Agency name</t>
  </si>
  <si>
    <t>Pre-1996 discount rate</t>
  </si>
  <si>
    <t>Central Coast Council</t>
  </si>
  <si>
    <t>Hunter Water Corporation</t>
  </si>
  <si>
    <t>Sydney Water Corporation</t>
  </si>
  <si>
    <t>Notes:</t>
  </si>
  <si>
    <t>The costs expected to be incurred must be exclusive of all capital costs included in the capital charge calculation.</t>
  </si>
  <si>
    <t>Pre-1996 assets</t>
  </si>
  <si>
    <t>Post-1996 commissioned assets</t>
  </si>
  <si>
    <t>Post-1996 uncommissioned assets</t>
  </si>
  <si>
    <t>Value of pre-1996 assets to be collected through this DSP (undiscounted)</t>
  </si>
  <si>
    <t>Value of post-1996 commissioned assets to be collected through this DSP (undiscounted)</t>
  </si>
  <si>
    <t xml:space="preserve">Service this DSP relates to </t>
  </si>
  <si>
    <t>System name (allows cross checking of headworks costs)</t>
  </si>
  <si>
    <t>System Name</t>
  </si>
  <si>
    <t>Water</t>
  </si>
  <si>
    <t>Sewerage</t>
  </si>
  <si>
    <t>Stormwater</t>
  </si>
  <si>
    <t>Annual take-up of single residential dwellings</t>
  </si>
  <si>
    <t>Annual take-up of multi-dwelling residential units</t>
  </si>
  <si>
    <t>ET values</t>
  </si>
  <si>
    <t>Asset values</t>
  </si>
  <si>
    <t>Revenue values</t>
  </si>
  <si>
    <t>Cost values</t>
  </si>
  <si>
    <t>Costs to be recovered via DSP</t>
  </si>
  <si>
    <t>Headworks costs per ET</t>
  </si>
  <si>
    <t>Value per ET</t>
  </si>
  <si>
    <t>Reduction for expected revenue and operation costs</t>
  </si>
  <si>
    <t>Sum of PV of new ETs (discounted at pre-1996 asset discount rate)</t>
  </si>
  <si>
    <t>Sum of PV of new ETs (discounted at post-1996 asset discount rate)</t>
  </si>
  <si>
    <t>Sum of PV of new ETs (discounted at expected revenue and costs discount rate)</t>
  </si>
  <si>
    <t>Sum of PV of costs for new ETs (discounted at expected future revenue and costs discount rate)</t>
  </si>
  <si>
    <t>Present value of revenues (discounted at expected future revenue and costs discount rate)</t>
  </si>
  <si>
    <t>Present value of operating costs (discounted at expected future revenue and costs discount rate)</t>
  </si>
  <si>
    <t>Revenues expected to be recovered from new customers (undiscounted)</t>
  </si>
  <si>
    <t>Operating costs expected to be incurred in providing service to new customers (undiscounted)</t>
  </si>
  <si>
    <t>Present value of post-1996 commissioned assets (discounted at post-1996 asset discount rate)</t>
  </si>
  <si>
    <t>Present value of pre-1996 assets (discounted at pre-1996 asset discount rate)</t>
  </si>
  <si>
    <t>Present value of new ETs per year (discounted at post-1996 asset discount rate)</t>
  </si>
  <si>
    <t>Present value of new ETs per year (discounted at pre-1996 asset discount rate)</t>
  </si>
  <si>
    <t>Present value of new ETs per year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</si>
  <si>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</si>
  <si>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</si>
  <si>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</si>
  <si>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Please manually enter or link the calculated headwork cost per ET to cell</t>
  </si>
  <si>
    <t>Sum of PV of revenue for new customers (discounted at expected future revenue and costs discount rate)</t>
  </si>
  <si>
    <t>the Capital Charge for the Pre-1996 Assets that will serve the relevant DSP Area, calculated in accordance with clause 2.3(a) of Schedule 5 of the Determination and set out in the DSP.</t>
  </si>
  <si>
    <t>the Capital Charge for the Post-1996 Assets that will serve the relevant DSP Area, calculated in accordance with clause 2.3(b) and 2.3(c) of Schedule 5 of the Determination and set out in the DSP.</t>
  </si>
  <si>
    <t>the Present Value of the Agency’s estimate of the number of Equivalent Tenements in the relevant DSP for Pre-1996 Assets, calculated in accordance with clause 3.2(a) of Schedule 5 of the Determination and set out in the relevant DSP.</t>
  </si>
  <si>
    <t>the Present Value of the Agency’s estimate of the number of Equivalent Tenements for Post-1996 Assets, calculated in accordance with clause 3.2(b) of Schedule 5 of the Determination and set out in the relevant DSP.</t>
  </si>
  <si>
    <t>the Present Value of the Agency’s estimate of the number of Equivalent Tenements for the Reduction Amount, calculated in accordance with clause 3.2(c) of Schedule 5 of the Determination and set out in the relevant DSP.</t>
  </si>
  <si>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</si>
  <si>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</si>
  <si>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</si>
  <si>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</si>
  <si>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</si>
  <si>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</si>
  <si>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</si>
  <si>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</si>
  <si>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</si>
  <si>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</si>
  <si>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</si>
  <si>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(e)</t>
  </si>
  <si>
    <t>(f)</t>
  </si>
  <si>
    <t>Asset exclusions'!A1</t>
  </si>
  <si>
    <t>As explained in IPART's Report (Box 2.4, page 29) , headworks not owned by the agency should also be included in these calculations.</t>
  </si>
  <si>
    <t>Summary of maximum price for a new development</t>
  </si>
  <si>
    <t>Maximum price formula:</t>
  </si>
  <si>
    <t>Maximum price calculations and summary of outputs</t>
  </si>
  <si>
    <t>The maximum price is calculated and the results are summarised in:</t>
  </si>
  <si>
    <t>Details on the maximum price methodology can be found on IPART's website at:</t>
  </si>
  <si>
    <t>Link to Report and Determination:</t>
  </si>
  <si>
    <t>MAXIMUM PRICE TEMPLATE (for connecting to a water supply, sewerage, or drainage system)</t>
  </si>
  <si>
    <t>The separate components for the maximum price equation are presented in both the worksheets.</t>
  </si>
  <si>
    <t>= the Agency’s estimate of the future periodic revenues to be received from new customers in the relevant DSP Area in each financial year i, estimated in accordance with clause 4 of Schedule 5 of the Determination and set out in the relevant DSP.</t>
  </si>
  <si>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</si>
  <si>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t>CALCULATION OF MAXIMUM PRICE</t>
  </si>
  <si>
    <t>Maximum price</t>
  </si>
  <si>
    <t>PRE-1996 ASSETS WITH A NEXUS TO THE SERVICE FOR WHICH THE MAXIMUM PRICE IS BEING CALCULATED</t>
  </si>
  <si>
    <t>POST-1996 COMMISSIONED ASSETS WITH A NEXUS TO THE SERVICE FOR WHICH THE MAXIMUM PRICE IS BEING CALCULATED</t>
  </si>
  <si>
    <t>POST-1996 UNCOMMISSIONED ASSETS WITH A NEXUS TO THE SERVICE FOR WHICH THE MAXIMUM PRICE IS BEING CALCULATED</t>
  </si>
  <si>
    <t>Please present, in this worksheet, the underlying high level data and analysis related to the generation of the Headworks cost per ET for the service for which this maximum price is being calculated.</t>
  </si>
  <si>
    <t>This workbook is a template that agencies can use to calculate the maximum price for connecting to a water supply, sewerage, or drainage system (referred to as maximum price from here).  The use of this template is voluntary.</t>
  </si>
  <si>
    <t>MP</t>
  </si>
  <si>
    <t>Register of pre-1996 assets</t>
  </si>
  <si>
    <t>Register of post-1996 commissioned assets</t>
  </si>
  <si>
    <t>Register of uncommissioned assets</t>
  </si>
  <si>
    <t>HOW DOES THE TEMPLATE WORK?</t>
  </si>
  <si>
    <t>What's in the Template?</t>
  </si>
  <si>
    <t>Scheme cost allocation</t>
  </si>
  <si>
    <t>A separate worksheet has been provided to capture scheme cost allocation:</t>
  </si>
  <si>
    <t>The purpose of this worksheet is to record, at a high level, the underlying data that are used to calculate the Scheme cost allocation per ET.</t>
  </si>
  <si>
    <t>Calculation of the asset component of the maximum price (excluding headworks and scheme cost allocation).</t>
  </si>
  <si>
    <t>'SCHEME COST ALLOCATION' : CALCULATIONS</t>
  </si>
  <si>
    <t>Please present, in this worksheet, the underlying high level data and analysis related to the generation of the scheme cost allocation per ET for the service for which this maximum price is being calculated.</t>
  </si>
  <si>
    <t>Scheme cost allocation per ET</t>
  </si>
  <si>
    <t>Financial year of registration for the DSP</t>
  </si>
  <si>
    <t>Reason for change</t>
  </si>
  <si>
    <t>Description of change</t>
  </si>
  <si>
    <t>Place change made</t>
  </si>
  <si>
    <t>Template Version</t>
  </si>
  <si>
    <t>Align template with Determination</t>
  </si>
  <si>
    <t>Column H, MP Calculations worksheet</t>
  </si>
  <si>
    <t>V1.01</t>
  </si>
  <si>
    <t>Columns N &amp; O, MP Calculations worksheet</t>
  </si>
  <si>
    <t>Date change made</t>
  </si>
  <si>
    <t>Limit ET profile used in calculating reduction amount per ET to 30 forecast years only. Previously extended to 1995-96.</t>
  </si>
  <si>
    <t>Removed the time limit for uncommissioned assets.  Previous time limit was to year 30.</t>
  </si>
  <si>
    <t xml:space="preserve">Include an additional input "Scheme costs allocation per ET" to allow for cost offsets for non-least cost recycled water schemes to be incorporated.  </t>
  </si>
  <si>
    <t>JOURNAL OF CHANGES</t>
  </si>
  <si>
    <t>IPART - Maximum prices for connecting to a recycled water system - July 2019</t>
  </si>
  <si>
    <t>Please refer to the above link for guidance on calculating the scheme cost allocation amount.</t>
  </si>
  <si>
    <t>Expansion to account for the Maximum prices for connecting to a recycled water system Determination July 2019.</t>
  </si>
  <si>
    <t>Value of post-1996 uncommissioned assets to be collected through this DSP (undiscounted)</t>
  </si>
  <si>
    <t>Present value of post-1996 uncommissioned assets (discounted at post-1996 asset discount rate)</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</si>
  <si>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</si>
  <si>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The above two determinations must be read in conjunction to one another.</t>
  </si>
  <si>
    <t>Where the New Development is connecting to a Recycled Water System, the variables may be modified by Schedule 1 or Schedule 2 of the Recycled Water Developer Charges Determination.</t>
  </si>
  <si>
    <t>maximum price per equivalent tenement to be services by the connection.</t>
  </si>
  <si>
    <t>Where this template is being used to calculate the maximum price for connecting to a Recycled Water System, refer to the following provisions of the Recycled Water Developer Charges Determination:</t>
  </si>
  <si>
    <t>These provisions may affect the calculation of the capital charge.</t>
  </si>
  <si>
    <t xml:space="preserve">(b)     Schedule 2, clause 2.2 (where the Recycled Water System is not a Least Cost Servicing Solution). </t>
  </si>
  <si>
    <t>(a)     Schedule 1, clause 2 (where the Recycled Water System is a Least Cost Servicing Solution); and</t>
  </si>
  <si>
    <t xml:space="preserve">Where this spreadsheet is being used to calculate the maximum price for connection of a New Development to a Recycled Water System that is a Least Cost Servicing Solution, </t>
  </si>
  <si>
    <t>revenues from the sale of Recycled Water (see Recycled Water Developer Charges Determination, Sch 1, cl 3).</t>
  </si>
  <si>
    <t>the reduction amount includes the revenues that the Agency would have received had the supply of potable water not been substituted with Recycled Water, but excludes the</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</si>
  <si>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</si>
  <si>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</si>
  <si>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</si>
  <si>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any asset or part of an asset that was unreasonably oversized relative to system and capacity requirements, based on available demographic data at the time it was commissioned;</t>
  </si>
  <si>
    <t>any assets or part of an asset funded by Developers and transferred free of charge to the Agency.</t>
  </si>
  <si>
    <t>For the removal of doubt, the Determination defines assets as:</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</si>
  <si>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</si>
  <si>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</si>
  <si>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</si>
  <si>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</si>
  <si>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</si>
  <si>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</si>
  <si>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any Pre-1970 Assets; and</t>
  </si>
  <si>
    <t>all assets or parts of assets (including headworks), apart from Excluded Assets, allocated to a DSP where there is a nexus (close connection) to the Development they are intended to serve and includes assets that:</t>
  </si>
  <si>
    <t>is the financial year which is 30 years from the financial year in which the relevant DSP was registered with IPART under clause 2(e) of Schedule 4 of the Determination.</t>
  </si>
  <si>
    <r>
      <t>PV(L</t>
    </r>
    <r>
      <rPr>
        <vertAlign val="subscript"/>
        <sz val="9"/>
        <rFont val="Arial"/>
        <family val="2"/>
      </rPr>
      <t>1</t>
    </r>
    <r>
      <rPr>
        <sz val="9"/>
        <rFont val="Arial"/>
        <family val="2"/>
      </rPr>
      <t>)</t>
    </r>
  </si>
  <si>
    <r>
      <t>PV(L</t>
    </r>
    <r>
      <rPr>
        <vertAlign val="subscript"/>
        <sz val="9"/>
        <rFont val="Arial"/>
        <family val="2"/>
      </rPr>
      <t>2</t>
    </r>
    <r>
      <rPr>
        <sz val="9"/>
        <rFont val="Arial"/>
        <family val="2"/>
      </rPr>
      <t>)</t>
    </r>
  </si>
  <si>
    <r>
      <t>PV(L</t>
    </r>
    <r>
      <rPr>
        <vertAlign val="subscript"/>
        <sz val="9"/>
        <rFont val="Arial"/>
        <family val="2"/>
      </rPr>
      <t>3</t>
    </r>
    <r>
      <rPr>
        <sz val="9"/>
        <rFont val="Arial"/>
        <family val="2"/>
      </rPr>
      <t>)</t>
    </r>
  </si>
  <si>
    <t xml:space="preserve"> G22, MP Calculations worksheet
Scheme cost allocation worksheet</t>
  </si>
  <si>
    <t>Non-residential</t>
  </si>
  <si>
    <t>N/A</t>
  </si>
  <si>
    <t>Annual water consumption</t>
  </si>
  <si>
    <t xml:space="preserve">Revene </t>
  </si>
  <si>
    <t>check</t>
  </si>
  <si>
    <t>Discharge volume, kL</t>
  </si>
  <si>
    <t>Usage revenue, $</t>
  </si>
  <si>
    <t>Service revenue, $</t>
  </si>
  <si>
    <t xml:space="preserve">Total revenue,$ </t>
  </si>
  <si>
    <t>Operating costs</t>
  </si>
  <si>
    <t>Treatment fixed</t>
  </si>
  <si>
    <t>Treatment variable</t>
  </si>
  <si>
    <t>% Growth</t>
  </si>
  <si>
    <t>Gravity main</t>
  </si>
  <si>
    <t>Rising main</t>
  </si>
  <si>
    <t>SPS</t>
  </si>
  <si>
    <t>Gravity mains</t>
  </si>
  <si>
    <t>Total in this file</t>
  </si>
  <si>
    <t>Rising mains</t>
  </si>
  <si>
    <t>metres</t>
  </si>
  <si>
    <t>CPI</t>
  </si>
  <si>
    <t>June 2020-21</t>
  </si>
  <si>
    <t>Actual</t>
  </si>
  <si>
    <t>June 2021-22</t>
  </si>
  <si>
    <t>June 2022-23</t>
  </si>
  <si>
    <t>WN 309531</t>
  </si>
  <si>
    <t>WN 307341</t>
  </si>
  <si>
    <t>WN 300527</t>
  </si>
  <si>
    <t>A88161</t>
  </si>
  <si>
    <t>WO 37603</t>
  </si>
  <si>
    <t>A88326</t>
  </si>
  <si>
    <t>A88160</t>
  </si>
  <si>
    <t>WO A88395</t>
  </si>
  <si>
    <t>WO A88159</t>
  </si>
  <si>
    <t>WO A58694</t>
  </si>
  <si>
    <t>WO 37320</t>
  </si>
  <si>
    <t>WO 37319</t>
  </si>
  <si>
    <t>WO 37267/2</t>
  </si>
  <si>
    <t>A87691</t>
  </si>
  <si>
    <t>A87147</t>
  </si>
  <si>
    <t>WO 59854</t>
  </si>
  <si>
    <t>WO 59726</t>
  </si>
  <si>
    <t>WO 99618</t>
  </si>
  <si>
    <t>WO 55977</t>
  </si>
  <si>
    <t>WO 37043</t>
  </si>
  <si>
    <t>WO 52744</t>
  </si>
  <si>
    <t>WO 59341</t>
  </si>
  <si>
    <t>WO 36612</t>
  </si>
  <si>
    <t>WO 53963</t>
  </si>
  <si>
    <t>WO 47603</t>
  </si>
  <si>
    <t>WO 47602</t>
  </si>
  <si>
    <t>WO 47414</t>
  </si>
  <si>
    <t>WO 47255</t>
  </si>
  <si>
    <t>WO 59279</t>
  </si>
  <si>
    <t>WO 58856</t>
  </si>
  <si>
    <t>WO 54281</t>
  </si>
  <si>
    <t>WO 47415</t>
  </si>
  <si>
    <t>WO 36795</t>
  </si>
  <si>
    <t>WO 36794</t>
  </si>
  <si>
    <t>WO 36704</t>
  </si>
  <si>
    <t>WO 36703</t>
  </si>
  <si>
    <t>WO 89951</t>
  </si>
  <si>
    <t>WO 53244</t>
  </si>
  <si>
    <t>WO 47376</t>
  </si>
  <si>
    <t>WO 47081</t>
  </si>
  <si>
    <t>WO 36738</t>
  </si>
  <si>
    <t>WO 36737</t>
  </si>
  <si>
    <t>WO 36630</t>
  </si>
  <si>
    <t>WO 36449</t>
  </si>
  <si>
    <t>WO 89648</t>
  </si>
  <si>
    <t>WO 59028</t>
  </si>
  <si>
    <t>WO 58982</t>
  </si>
  <si>
    <t>WO 52088</t>
  </si>
  <si>
    <t>WO 46898</t>
  </si>
  <si>
    <t>WO 36546</t>
  </si>
  <si>
    <t>WO 89649</t>
  </si>
  <si>
    <t>WO 46893</t>
  </si>
  <si>
    <t>WO 46402</t>
  </si>
  <si>
    <t>WO 36547</t>
  </si>
  <si>
    <t>WO 36520</t>
  </si>
  <si>
    <t>WO 58912</t>
  </si>
  <si>
    <t>WO 58716</t>
  </si>
  <si>
    <t>WO 46628</t>
  </si>
  <si>
    <t>WO 46600</t>
  </si>
  <si>
    <t>WO 46406</t>
  </si>
  <si>
    <t>WO 46294</t>
  </si>
  <si>
    <t>WO 46136</t>
  </si>
  <si>
    <t>WO 36488</t>
  </si>
  <si>
    <t>Blueberry Dr, Colyton - Developer (150mm=$72,930 )</t>
  </si>
  <si>
    <t xml:space="preserve">Tanderra St Carrier - Developer ( 150mm=$5,568) </t>
  </si>
  <si>
    <t>Bounds Creek Carrier Sec 2B</t>
  </si>
  <si>
    <t>(150mm=$41,470)</t>
  </si>
  <si>
    <t xml:space="preserve">Bounds Creek Carrier  Sec 2A </t>
  </si>
  <si>
    <t>Sunflower Dr Carrier - Developer (150mm=$186,000)</t>
  </si>
  <si>
    <t>Peppertree Drive  (150mm=$26,775)</t>
  </si>
  <si>
    <t>Peppertree Dr, Erskine Park - Developer (150mm=$38,316 )</t>
  </si>
  <si>
    <t>Colorado Dr Carrier - Developer (150mm=$ 227,292)</t>
  </si>
  <si>
    <t>Lukes Lane</t>
  </si>
  <si>
    <t>East St Clair Sec 1</t>
  </si>
  <si>
    <t>Ropes Creek Carrier Sec 6</t>
  </si>
  <si>
    <t>Bounds Creek Carrier Sec 1</t>
  </si>
  <si>
    <t>Sterling Rd Carrier - Developer (150mm=$ 212,412)</t>
  </si>
  <si>
    <t>Ophir St Carrier Sec 2</t>
  </si>
  <si>
    <t xml:space="preserve">Woodstock Ave - Developer (150mm=$73,216) </t>
  </si>
  <si>
    <t>Forrester Rd Carrier</t>
  </si>
  <si>
    <t>Windsor Rd Carrier</t>
  </si>
  <si>
    <t>Developer C. Plan - draining into the Moore St Carrier</t>
  </si>
  <si>
    <t>Developer C. Plan - draining into the Moore St Carrier - Developer (150mm=$92,321 )</t>
  </si>
  <si>
    <t>South Creek Carrier LL Submain Extension</t>
  </si>
  <si>
    <t>Carlisle Ave, Mt Druitt  (150mm=$17,160)</t>
  </si>
  <si>
    <t>Developer contribution Lukes Lane Carrier ( 150mm=$130,944)</t>
  </si>
  <si>
    <t>Developer contribution Lukes Lane Carrier</t>
  </si>
  <si>
    <t>Olympus Dr Carrier - Developer ( 150mm=$ 116,160)</t>
  </si>
  <si>
    <t>Olympus Dr Carrier - Developer ( 150mm=$ 111,210)</t>
  </si>
  <si>
    <t>Lukes Lane Carrier</t>
  </si>
  <si>
    <t>Earl St Carrier - Developer (150mm=$142,560 )</t>
  </si>
  <si>
    <t>Durham St Carrier</t>
  </si>
  <si>
    <t>Janet St Carrier</t>
  </si>
  <si>
    <t>Beames Ave Carrier</t>
  </si>
  <si>
    <t>Carlisle Ave Road Crossing</t>
  </si>
  <si>
    <t>Palmerston Rd Carrier Sec 2</t>
  </si>
  <si>
    <t>Moore St Carrier Sec 2 Part B</t>
  </si>
  <si>
    <t>Mt Druitt North Carrier Sec 3 - Developer ( 150mm=$3,630)</t>
  </si>
  <si>
    <t>Mt Druitt North Carrier Sec 3 - Developer (150mm=$ 252,588)</t>
  </si>
  <si>
    <t>Coates St Area - Trunk &amp; Retic Sewer</t>
  </si>
  <si>
    <t>Wainwright Rd Carrier</t>
  </si>
  <si>
    <t>Colyton Carrier</t>
  </si>
  <si>
    <t>Lukes Lane Carrier Pt B</t>
  </si>
  <si>
    <t>Sedgeman Cr Carrier Sec 4- Developer C.Plan (150mm=$116,160)</t>
  </si>
  <si>
    <t>Sedgeman Cr Carrier Sec 4- Developer C.Plan</t>
  </si>
  <si>
    <t>Moore St Carrier Sec 2 Part A</t>
  </si>
  <si>
    <t>Sedgeman Cr Carrier Sec 5 - Developer (150mm=$ 47,600)</t>
  </si>
  <si>
    <t>Sedgeman Cr Carrier Sec 5 - Developer (150mm=$4,389)</t>
  </si>
  <si>
    <t>Sedgeman Cr Carrier Sec 5 - Developer (150mm=$125,826)</t>
  </si>
  <si>
    <t>Mount St, Mt Druitt - Trunk &amp; Retic Sewer</t>
  </si>
  <si>
    <t>Ropes Creek Carrier Sec 4 &amp; 5</t>
  </si>
  <si>
    <t>Jenson St Carrier</t>
  </si>
  <si>
    <t>Mamre Rd Carrier Sec 2</t>
  </si>
  <si>
    <t>Ophir St Carrier Sec 1</t>
  </si>
  <si>
    <t>South Creek Carrier Sec A &amp; B</t>
  </si>
  <si>
    <t>Werrington Downs Carrier</t>
  </si>
  <si>
    <t>Sedgeman Cr Carrier Sec 1</t>
  </si>
  <si>
    <t>Sedgeman Cr Carrier Sec 3- Developer C.Plan (150mm=$296,650)</t>
  </si>
  <si>
    <t>Sedgeman Cr Carrier Sec 3- Developer C.Plan ( 150mm=$21,054)</t>
  </si>
  <si>
    <t>Moore St Carrier Sec1</t>
  </si>
  <si>
    <t>Sedgeman Cr Carrier Sec 2 - Developer (150mm=$ 25,707)</t>
  </si>
  <si>
    <t>Melbourne St Branch</t>
  </si>
  <si>
    <t>Mamre Rd Carrier Sec1</t>
  </si>
  <si>
    <t>Palmyra Ave Carrier</t>
  </si>
  <si>
    <t>Palmerston Rd Carrier Sec 1</t>
  </si>
  <si>
    <t>Manifold Rd Carrier</t>
  </si>
  <si>
    <t>Ropes Creek Carrier Sec 3</t>
  </si>
  <si>
    <t>Ropes Creek Carrier Sec 2</t>
  </si>
  <si>
    <t>Beelong St Carrier - Developer contribution (150mm=$247,752)</t>
  </si>
  <si>
    <t>Beelong St Carrier - Developer contribution</t>
  </si>
  <si>
    <t>St Marys Carrier Sec 3</t>
  </si>
  <si>
    <t>Wattle Ave, North St Marys - Trunk &amp; Retic Sewer</t>
  </si>
  <si>
    <t>Carlisle Ave - Various Trunk &amp; Retic Sewers</t>
  </si>
  <si>
    <t>Boldrewood Rd Area - Trunk &amp; Retic Sewer</t>
  </si>
  <si>
    <t>Extension of Bolrewood Rd Carrier to serve Blackett</t>
  </si>
  <si>
    <t>Boldrewood Rd Carrier</t>
  </si>
  <si>
    <t>Mt Druitt North Carrier Sec 1</t>
  </si>
  <si>
    <t>Mt Druitt North Carrier Sec 2</t>
  </si>
  <si>
    <t>South Creek Submain</t>
  </si>
  <si>
    <t>CASE 59855WW</t>
  </si>
  <si>
    <t>PRO 10004545</t>
  </si>
  <si>
    <t>WO 47412</t>
  </si>
  <si>
    <t>PRO 3003138</t>
  </si>
  <si>
    <t>PRO 3002113</t>
  </si>
  <si>
    <t>PRO 3002699</t>
  </si>
  <si>
    <t>CASE143886WW</t>
  </si>
  <si>
    <t>PRO20026482</t>
  </si>
  <si>
    <t>PRO200229163</t>
  </si>
  <si>
    <t>CASE140687WW</t>
  </si>
  <si>
    <t>CASE119303WW</t>
  </si>
  <si>
    <t>CASE125729WW</t>
  </si>
  <si>
    <t>CASE123839WW</t>
  </si>
  <si>
    <t>CASE123835WW</t>
  </si>
  <si>
    <t>CASE177642WW</t>
  </si>
  <si>
    <t>PRO20029163</t>
  </si>
  <si>
    <t>CASE130811WW</t>
  </si>
  <si>
    <t>CASE134078WW</t>
  </si>
  <si>
    <t>CASE121403WW</t>
  </si>
  <si>
    <t>CASE124817WW</t>
  </si>
  <si>
    <t>CASE162195WW</t>
  </si>
  <si>
    <t>CASE117448WW</t>
  </si>
  <si>
    <t>CASE157048WW</t>
  </si>
  <si>
    <t>PRO3002535</t>
  </si>
  <si>
    <t>Harris St Reticulation Sewer</t>
  </si>
  <si>
    <t>Extending from Mamre Rd Carrier along Erskine Park Rd</t>
  </si>
  <si>
    <t>Beams Ave Reticulation Sewer</t>
  </si>
  <si>
    <t>Meacher St Reticulation main</t>
  </si>
  <si>
    <t>Lemongrove Rd Reticulation main</t>
  </si>
  <si>
    <t>Sewer Relocation Due to development</t>
  </si>
  <si>
    <t>Carrington Rd Reticulation main</t>
  </si>
  <si>
    <t>Section 73</t>
  </si>
  <si>
    <t>Unknown</t>
  </si>
  <si>
    <t>SPS 366 No.2 Rising Main</t>
  </si>
  <si>
    <t>SPS 366 No.1 Rising Main</t>
  </si>
  <si>
    <t>SPS 241 Rising Main</t>
  </si>
  <si>
    <t>SPS 407 Rising Main</t>
  </si>
  <si>
    <t>Serving growth in St Marys</t>
  </si>
  <si>
    <t>Serving growth in Werrington, Kingswood, Claremont Meadows, Oxley Park, St Marys, Colyton, St Clair &amp; Erskine Park</t>
  </si>
  <si>
    <t>Serving growth in Willmot</t>
  </si>
  <si>
    <t>pumping station</t>
  </si>
  <si>
    <t>SPS262 WILMOT REFURBISH ELECT</t>
  </si>
  <si>
    <t>ROPES CROSSING ADI DEVEL AREA</t>
  </si>
  <si>
    <t>SP1157 St Marys Upgrade</t>
  </si>
  <si>
    <t>SP1184InfrastructureServGrowth</t>
  </si>
  <si>
    <t>STP</t>
  </si>
  <si>
    <t>ST0011</t>
  </si>
  <si>
    <t>Plant - General, Preliminary treatment, Primary treatment, Secondary treatment, Tertiary treatment, Pumping, Sludge Processing, Chemical dosing,</t>
  </si>
  <si>
    <t>Plant - Tertiary Treatment</t>
  </si>
  <si>
    <t>Plant - Secondary treatment, Tertiary Treatment, Sludge Processing, Chemical Dosing</t>
  </si>
  <si>
    <t>Plant - Preliminary Treatment</t>
  </si>
  <si>
    <t>RDP Plant</t>
  </si>
  <si>
    <t>treatment</t>
  </si>
  <si>
    <t>SP0898</t>
  </si>
  <si>
    <t>SP1148</t>
  </si>
  <si>
    <t>pumpoing station</t>
  </si>
  <si>
    <t>Transport fixed</t>
  </si>
  <si>
    <t>Transport variable</t>
  </si>
  <si>
    <t>Total opex</t>
  </si>
  <si>
    <t>Fixed transport</t>
  </si>
  <si>
    <t>Variable transport</t>
  </si>
  <si>
    <t>Fixed treatment</t>
  </si>
  <si>
    <t>Variable treatment</t>
  </si>
  <si>
    <t>gravity mains</t>
  </si>
  <si>
    <t>Core opex</t>
  </si>
  <si>
    <t>Growth discharge</t>
  </si>
  <si>
    <t>for opex, kL/yr</t>
  </si>
  <si>
    <t>Growth</t>
  </si>
  <si>
    <t>Solids stream amplification</t>
  </si>
  <si>
    <t>44.9kL Storage at MH1273532</t>
  </si>
  <si>
    <t>2.5kL Storage at MH1282203</t>
  </si>
  <si>
    <t>13.9kL Storage at MH1229454</t>
  </si>
  <si>
    <t>0.1kL Storage at MH1578231</t>
  </si>
  <si>
    <t>23.4kL Storage at MH1281375</t>
  </si>
  <si>
    <t>127.2kL Storage at MH1065286</t>
  </si>
  <si>
    <t>73.5kL Storage at MH1065810</t>
  </si>
  <si>
    <t>6.7kL Storage at MH1062938</t>
  </si>
  <si>
    <t>1.7kL Storage at MH1066066</t>
  </si>
  <si>
    <t>0.2kL Storage at MH1063330</t>
  </si>
  <si>
    <t>2kL Storage at MH1269077</t>
  </si>
  <si>
    <t>200kL Storage at MH1276298</t>
  </si>
  <si>
    <t>408kL Storage at MH1275842</t>
  </si>
  <si>
    <t>1.6kL Storage at MH1273110</t>
  </si>
  <si>
    <t>129.2kL Storage at MH1269545</t>
  </si>
  <si>
    <t>0.6kL Storage at MH1268589</t>
  </si>
  <si>
    <t xml:space="preserve"> 230kL Storage at MH1267653</t>
  </si>
  <si>
    <t>113.4kL Storage at MH1268113</t>
  </si>
  <si>
    <t xml:space="preserve"> 396.5kL Storage at MH1275175</t>
  </si>
  <si>
    <t>153.2kL Storage at MH1275943</t>
  </si>
  <si>
    <t>50.8kL Storage at MH1275062</t>
  </si>
  <si>
    <t xml:space="preserve"> 477.2kL Storage at MH1275443</t>
  </si>
  <si>
    <t>29.9kL Storage at MH1277394</t>
  </si>
  <si>
    <t>164.5kL Storage at MH1275030</t>
  </si>
  <si>
    <t>28.6kL Storage at MH1276691</t>
  </si>
  <si>
    <t xml:space="preserve"> 44.9kL Storage at MH1273035</t>
  </si>
  <si>
    <t xml:space="preserve">190.6kL Storage at MH1275767 </t>
  </si>
  <si>
    <t>SP0241</t>
  </si>
  <si>
    <t>Generator</t>
  </si>
  <si>
    <t>Total ETs by 1970</t>
  </si>
  <si>
    <t>Total ETs at 31 Dec 1995</t>
  </si>
  <si>
    <t>Total ETs at end of review period</t>
  </si>
  <si>
    <t>Utilisation factors</t>
  </si>
  <si>
    <t>ETs 1970 - 1995</t>
  </si>
  <si>
    <t>ETs 1996 - 2022</t>
  </si>
  <si>
    <t>Pre-1996 commissioned assets</t>
  </si>
  <si>
    <t>Asset utilisation</t>
  </si>
  <si>
    <t>Ratio</t>
  </si>
  <si>
    <t>MEERA value per unit/measure of length (B) 
($ as at 1 July 2020)</t>
  </si>
  <si>
    <t>Total MEERA value (A x B)
($, $2020-21)</t>
  </si>
  <si>
    <t>MEERA value to be recovered via DSP ($, $2020-21)</t>
  </si>
  <si>
    <t>45618/2</t>
  </si>
  <si>
    <t>Francis Park Carrier</t>
  </si>
  <si>
    <t>Monash Road Carrier Section 2</t>
  </si>
  <si>
    <t>Patterson Street Branch</t>
  </si>
  <si>
    <t>Public School Carrier - Bessemer St</t>
  </si>
  <si>
    <t>Stephen Street Branch</t>
  </si>
  <si>
    <t>Western Crescent Carrier Section 1</t>
  </si>
  <si>
    <t>Western Crescent Carrier Section 2</t>
  </si>
  <si>
    <t>45618/1</t>
  </si>
  <si>
    <t>Blacktown North Carrier</t>
  </si>
  <si>
    <t>Eastern Creek Carrier Section 1</t>
  </si>
  <si>
    <t>Eastern Creek Carrier Section 1 - vent lines</t>
  </si>
  <si>
    <t>Tattersalls Road Carrier Section 1</t>
  </si>
  <si>
    <t>Vardys Road Carrier Section 1</t>
  </si>
  <si>
    <t>Marayong Carrier</t>
  </si>
  <si>
    <t>Monash Road Carrier Section 3</t>
  </si>
  <si>
    <t>Monash Road Carrier Section 4</t>
  </si>
  <si>
    <t>Monash Road Carrier Extension</t>
  </si>
  <si>
    <t>Public School Carrier - parallel to Sunnyholt Rd</t>
  </si>
  <si>
    <t>Western Crescent Carrier Section 3</t>
  </si>
  <si>
    <t>Western Crescent Carrier Section 4</t>
  </si>
  <si>
    <t>Forge St Branch</t>
  </si>
  <si>
    <t>Vardys Road Carrier Section 2</t>
  </si>
  <si>
    <t>Garden Street Carrier</t>
  </si>
  <si>
    <t>Doonside Carrier Section 1</t>
  </si>
  <si>
    <t>Harvey Road Carrier</t>
  </si>
  <si>
    <t>Western Crescent Carrier</t>
  </si>
  <si>
    <t>Breakfast Creek Submain Extension</t>
  </si>
  <si>
    <t>Doonside Carrier Section 2 - Railway crossing</t>
  </si>
  <si>
    <t>Doonside Carrier Section 2</t>
  </si>
  <si>
    <t>Nellie Stewart Drive Carrier</t>
  </si>
  <si>
    <t>Nyleta Street Carrier Section 1</t>
  </si>
  <si>
    <t>Nyleta Street Carrier Section 1 - Vent line</t>
  </si>
  <si>
    <t>Quakers Hill Carrier Section 1</t>
  </si>
  <si>
    <t>Quakers Hill Carrier Section 1 - Tunnel 990 x 660 square</t>
  </si>
  <si>
    <t>Quakers Hill Carrier Section 2</t>
  </si>
  <si>
    <t>Arnott Road Branch</t>
  </si>
  <si>
    <t>Benalla Crescent Branch</t>
  </si>
  <si>
    <t>Lovegrove Road Carrier</t>
  </si>
  <si>
    <t>Tattersalls Road Carrier</t>
  </si>
  <si>
    <t>Breakfast Creek Submain Extension to SPS 259</t>
  </si>
  <si>
    <t>Tattersalls Rd Carrier</t>
  </si>
  <si>
    <t>Eastern Creek Carrier Section 2</t>
  </si>
  <si>
    <t>Rosenthal Street Carrier Section 1</t>
  </si>
  <si>
    <t>Rosenthal Street Carrier</t>
  </si>
  <si>
    <t>Glendenning Road Carrier</t>
  </si>
  <si>
    <t>Richmond Road Carrier</t>
  </si>
  <si>
    <t>Richmond Road Carrier - Vent Lines</t>
  </si>
  <si>
    <t>Bells Creek Carrier Section 2</t>
  </si>
  <si>
    <t>Bowmans Road Branch Carrier</t>
  </si>
  <si>
    <t>Rooty Hill Carrier Section 1</t>
  </si>
  <si>
    <t>Rooty Hill Carrier Section 2A</t>
  </si>
  <si>
    <t>Bells Creek Carrier Section 1</t>
  </si>
  <si>
    <t>Penfold Street Carrier</t>
  </si>
  <si>
    <t>Bells Creek Carrier</t>
  </si>
  <si>
    <t>Devon Street Carrier</t>
  </si>
  <si>
    <t>North Parade Carrier</t>
  </si>
  <si>
    <t>Rooty Hill West Carrier</t>
  </si>
  <si>
    <t>Cook Road Carrier</t>
  </si>
  <si>
    <t>A58620</t>
  </si>
  <si>
    <t>Doonside Carrier Section 3 and Lead-ins</t>
  </si>
  <si>
    <t>Rooty Hill Carrier Section 2B</t>
  </si>
  <si>
    <t>Symonds Road Carrier</t>
  </si>
  <si>
    <t>A87720</t>
  </si>
  <si>
    <t>Bancroft Street Carrier</t>
  </si>
  <si>
    <t>A87493</t>
  </si>
  <si>
    <t>Rooty Hill Carrier Section 2C</t>
  </si>
  <si>
    <t>A58613</t>
  </si>
  <si>
    <t>Yarramundi Drive Carrier</t>
  </si>
  <si>
    <t>Bungarribee Creek Carrier Section 1A</t>
  </si>
  <si>
    <t>Eskdale Street Carrier</t>
  </si>
  <si>
    <t>Bungarribee Creek Carrier Section 1B</t>
  </si>
  <si>
    <t>A58713</t>
  </si>
  <si>
    <t>Hyatts Road and Winsome Avenue Carrier</t>
  </si>
  <si>
    <t>Pye Road Carrier</t>
  </si>
  <si>
    <t>Quakers Hill Carrier Section 3</t>
  </si>
  <si>
    <t>Bungarribee Creek Carrier Section 2</t>
  </si>
  <si>
    <t>A58808</t>
  </si>
  <si>
    <t>Power Street Carrier</t>
  </si>
  <si>
    <t>A89365</t>
  </si>
  <si>
    <t>Walker Street Carrier</t>
  </si>
  <si>
    <t>A58841</t>
  </si>
  <si>
    <t>Plumpton Road Carrier</t>
  </si>
  <si>
    <t>A58845</t>
  </si>
  <si>
    <t>Power Street East Carrier</t>
  </si>
  <si>
    <t xml:space="preserve">A89723 </t>
  </si>
  <si>
    <t>A58869</t>
  </si>
  <si>
    <t>Reservoir Road Carrier</t>
  </si>
  <si>
    <t>A88061</t>
  </si>
  <si>
    <t>Colebee Cres and Buckwell Drive Carriers</t>
  </si>
  <si>
    <t>A88075</t>
  </si>
  <si>
    <t>Walters Road Carrier Lead in</t>
  </si>
  <si>
    <t>Doonside Rd Carrier Lead-in</t>
  </si>
  <si>
    <t>Arndell Park Carrier</t>
  </si>
  <si>
    <t>Huntingwood Carrier</t>
  </si>
  <si>
    <t>Claybrook Dr Carrier Lead-in Part 1</t>
  </si>
  <si>
    <t>Claybrook Dr Carrier Lead-in Part 2</t>
  </si>
  <si>
    <t>Claybrook Dr Carrier Extension</t>
  </si>
  <si>
    <t>Lakewood Dr Carrier Lead-in Part 1</t>
  </si>
  <si>
    <t>Huntley Dr Carrier</t>
  </si>
  <si>
    <t>Walters Road Carrier Extension Part 1</t>
  </si>
  <si>
    <t>Farnham Rd Carrier upsized from 225</t>
  </si>
  <si>
    <t>Eucumbene Dr Carrier - Richmond Rd crossing</t>
  </si>
  <si>
    <t>SPS421 Rising Main</t>
  </si>
  <si>
    <t>SPS393 Rising Main</t>
  </si>
  <si>
    <t>SPS394 Rising Main</t>
  </si>
  <si>
    <t>SPS395 Rising Main</t>
  </si>
  <si>
    <t>SPS473 Rising Main</t>
  </si>
  <si>
    <t>Clarence St, Doonside</t>
  </si>
  <si>
    <t>Perigee Cl, Doonside</t>
  </si>
  <si>
    <t>Richmond Rd, Dean Park</t>
  </si>
  <si>
    <t>Rooty Hill Rd South, Eastern Creek</t>
  </si>
  <si>
    <t>Manorhouse Bvd, Quakers Hill</t>
  </si>
  <si>
    <t>To serve growth in Southern Blacktown</t>
  </si>
  <si>
    <t>To serve growth in Doonside and Woodcroft</t>
  </si>
  <si>
    <t>To serve growth in  Arndell Park and Huntingwood</t>
  </si>
  <si>
    <t>To serve growth in Huntingwood</t>
  </si>
  <si>
    <t>To serve growth in Blacktown CBD</t>
  </si>
  <si>
    <t>To serve growth in Blacktown North CBD</t>
  </si>
  <si>
    <t>CASE58551WW</t>
  </si>
  <si>
    <t>Reticulation at WOODCROFT</t>
  </si>
  <si>
    <t>Branch at WOODCROFT</t>
  </si>
  <si>
    <t>Branch at COLEBEE</t>
  </si>
  <si>
    <t>CASE136274WW</t>
  </si>
  <si>
    <t>Reticulation Low Infiltration Sewer at COLEBEE</t>
  </si>
  <si>
    <t>CASE127238WW</t>
  </si>
  <si>
    <t>Reticulation Low Infiltration Sewer at PLUMPTON</t>
  </si>
  <si>
    <t>CASE131603WW</t>
  </si>
  <si>
    <t>Reticulation at BUNGARRIBEE</t>
  </si>
  <si>
    <t>CASE124643WW</t>
  </si>
  <si>
    <t>CASE147298WW</t>
  </si>
  <si>
    <t>Branch at EASTERN CREEK</t>
  </si>
  <si>
    <t>Reticulation at EASTERN CREEK</t>
  </si>
  <si>
    <t>CASE123177WW</t>
  </si>
  <si>
    <t>Branch at BUNGARRIBEE</t>
  </si>
  <si>
    <t>CASE129695WW</t>
  </si>
  <si>
    <t>CASE81067WW</t>
  </si>
  <si>
    <t>Branch at BLACKTOWN</t>
  </si>
  <si>
    <t>Reticulation at BLACKTOWN</t>
  </si>
  <si>
    <t>CASE101825WW</t>
  </si>
  <si>
    <t>QUAKERS HL-S-MPEQ</t>
  </si>
  <si>
    <t>SP1181 Colebee 127573WW</t>
  </si>
  <si>
    <t>ST0018</t>
  </si>
  <si>
    <t>Plant - General, Preliminary treatment, Secondary treatment, Tertiary treatment, Pumping, Sludge Processing, Chemical dosing</t>
  </si>
  <si>
    <t>Plant - General, Secondary Treatment, Tertiary Treatment, Sludge Processing</t>
  </si>
  <si>
    <t>Plant - Chemical Dosing</t>
  </si>
  <si>
    <t xml:space="preserve">RDP Plant </t>
  </si>
  <si>
    <t>Plant - Secondary Treatment</t>
  </si>
  <si>
    <t>CASE131707WW</t>
  </si>
  <si>
    <t>Reticulation Low Infiltration Sewer at THE PONDS</t>
  </si>
  <si>
    <t>CASE127300WW</t>
  </si>
  <si>
    <t>CASE127454WW</t>
  </si>
  <si>
    <t>CASE131706WW</t>
  </si>
  <si>
    <t>CASE161560WW</t>
  </si>
  <si>
    <t>Reticulation at MARSDEN PARK</t>
  </si>
  <si>
    <t>CASE160715WW</t>
  </si>
  <si>
    <t>Reticulation at BOX HILL</t>
  </si>
  <si>
    <t>CASE142308WW</t>
  </si>
  <si>
    <t>Reticulation at SCHOFIELDS</t>
  </si>
  <si>
    <t>CASE170396WW</t>
  </si>
  <si>
    <t>Reticulation at MELONBA</t>
  </si>
  <si>
    <t>CASE147004WW</t>
  </si>
  <si>
    <t>CASE138777WW</t>
  </si>
  <si>
    <t>Reticulation Low Infiltration Sewer at TALLAWONG</t>
  </si>
  <si>
    <t>CASE151402WW</t>
  </si>
  <si>
    <t>CASE166328WW</t>
  </si>
  <si>
    <t>CASE160708WW</t>
  </si>
  <si>
    <t>CASE156416WW</t>
  </si>
  <si>
    <t>CASE127455WW</t>
  </si>
  <si>
    <t>CASE148441WW</t>
  </si>
  <si>
    <t>CASE163115WW</t>
  </si>
  <si>
    <t>Reticulation at ROUSE HILL</t>
  </si>
  <si>
    <t>CASE171511WW</t>
  </si>
  <si>
    <t>Reticulation at RIVERSTONE</t>
  </si>
  <si>
    <t>CASE164607WW</t>
  </si>
  <si>
    <t>CASE158583WW</t>
  </si>
  <si>
    <t>CASE162621WW</t>
  </si>
  <si>
    <t>CASE171903WW</t>
  </si>
  <si>
    <t>CASE162372WW</t>
  </si>
  <si>
    <t>CASE148255WW</t>
  </si>
  <si>
    <t>CASE152841WW</t>
  </si>
  <si>
    <t>Reticulation at GRANTHAM FARM</t>
  </si>
  <si>
    <t>CASE171344WW</t>
  </si>
  <si>
    <t>CASE124399WW</t>
  </si>
  <si>
    <t>Reticulation Low Infiltration Sewer at RIVERSTONE</t>
  </si>
  <si>
    <t>Reticulation Low Infiltration Sewer at SCHOFIELDS</t>
  </si>
  <si>
    <t>CASE136809WW</t>
  </si>
  <si>
    <t>CASE143220WW</t>
  </si>
  <si>
    <t>CASE182313WW</t>
  </si>
  <si>
    <t>CASE145814WW</t>
  </si>
  <si>
    <t>CASE146447WW</t>
  </si>
  <si>
    <t>CASE153118WW</t>
  </si>
  <si>
    <t>CASE175123WW</t>
  </si>
  <si>
    <t>CASE139094WW</t>
  </si>
  <si>
    <t>CASE140507WW</t>
  </si>
  <si>
    <t>Reticulation at TALLAWONG</t>
  </si>
  <si>
    <t>CASE139399WW</t>
  </si>
  <si>
    <t>Branch Low Infiltration Sewer at MARSDEN PARK</t>
  </si>
  <si>
    <t>Reticulation Low Infiltration Sewer at MARSDEN PARK</t>
  </si>
  <si>
    <t>CASE167016WW</t>
  </si>
  <si>
    <t>CASE167986WW</t>
  </si>
  <si>
    <t>CASE157835WW</t>
  </si>
  <si>
    <t>CASE166368WW</t>
  </si>
  <si>
    <t>Branch at BOX HILL</t>
  </si>
  <si>
    <t>CASE143196WW</t>
  </si>
  <si>
    <t>CASE140477WW</t>
  </si>
  <si>
    <t>Branch at SCHOFIELDS</t>
  </si>
  <si>
    <t>CASE161407</t>
  </si>
  <si>
    <t>CASE132653WW</t>
  </si>
  <si>
    <t>CASE143410WW</t>
  </si>
  <si>
    <t>CASE128600WW</t>
  </si>
  <si>
    <t>CASE156605WW</t>
  </si>
  <si>
    <t>CASE152994WW</t>
  </si>
  <si>
    <t>CASE128601WW</t>
  </si>
  <si>
    <t>CASE156075WW</t>
  </si>
  <si>
    <t>CASE126034WW</t>
  </si>
  <si>
    <t>Branch Low Infiltration Sewer at SCHOFIELDS</t>
  </si>
  <si>
    <t>Branch Low Infiltration Sewer at THE PONDS</t>
  </si>
  <si>
    <t>CASE176081WW</t>
  </si>
  <si>
    <t>CASE147662WW</t>
  </si>
  <si>
    <t>PRO20026081</t>
  </si>
  <si>
    <t>Trunk at VINEYARD</t>
  </si>
  <si>
    <t>PRO20028451</t>
  </si>
  <si>
    <t>Branch at VINEYARD</t>
  </si>
  <si>
    <t>Reticulation at VINEYARD</t>
  </si>
  <si>
    <t>PRO20030056</t>
  </si>
  <si>
    <t>PRO20033812</t>
  </si>
  <si>
    <t>Branch at ROUSE HILL</t>
  </si>
  <si>
    <t>Branch at TALLAWONG</t>
  </si>
  <si>
    <t>Branch at GRANTHAM FARM</t>
  </si>
  <si>
    <t>Trunk at BOX HILL</t>
  </si>
  <si>
    <t>CASE141964WW</t>
  </si>
  <si>
    <t>Branch at RIVERSTONE</t>
  </si>
  <si>
    <t>CASE143262WW</t>
  </si>
  <si>
    <t>PRO20022157</t>
  </si>
  <si>
    <t>Reticulation at QUAKERS HILL</t>
  </si>
  <si>
    <t>Branch at NIRIMBA FIELDS</t>
  </si>
  <si>
    <t>Reticulation at NIRIMBA FIELDS</t>
  </si>
  <si>
    <t>CASE173126WW</t>
  </si>
  <si>
    <t>Branch at MARSDEN PARK</t>
  </si>
  <si>
    <t>CASE164713WW</t>
  </si>
  <si>
    <t>Branch at MELONBA</t>
  </si>
  <si>
    <t>CASE168385WW</t>
  </si>
  <si>
    <t>PRO20033234</t>
  </si>
  <si>
    <t>CASE137295WW</t>
  </si>
  <si>
    <t>Sewer Pumping Station - Sp1154</t>
  </si>
  <si>
    <t>Pumping Station - Sewage</t>
  </si>
  <si>
    <t>Sewage Pumping Station - Marsden Park</t>
  </si>
  <si>
    <t>Sewage Pumping Station -</t>
  </si>
  <si>
    <t xml:space="preserve"> Riverstone WWTP Upgrade Stage1</t>
  </si>
  <si>
    <t xml:space="preserve"> Riverstone Growth Amplification</t>
  </si>
  <si>
    <t>pumping statioin</t>
  </si>
  <si>
    <t xml:space="preserve"> Pipe Amplification, 360 m DN225 Gravity Sewer, Blacktown</t>
  </si>
  <si>
    <t>SP1153</t>
  </si>
  <si>
    <t>20kW generator</t>
  </si>
  <si>
    <t>SP1181</t>
  </si>
  <si>
    <t>17kW generator</t>
  </si>
  <si>
    <t>Additional mechanical primary screen unit</t>
  </si>
  <si>
    <t>AGS tank duplication and process optimisation, aeration</t>
  </si>
  <si>
    <t>IEPS hydraulic upgrade</t>
  </si>
  <si>
    <t>Additional tertiary clarifiers</t>
  </si>
  <si>
    <t>SEPS additional pump band</t>
  </si>
  <si>
    <t>Additional tertiary filters</t>
  </si>
  <si>
    <t>CCT volume upgrade</t>
  </si>
  <si>
    <t>Pipe size reduction for St Marys sludge transfer pipeline</t>
  </si>
  <si>
    <t>Replace St Marys transfer PS pumps</t>
  </si>
  <si>
    <t>mains</t>
  </si>
  <si>
    <t>gravity main</t>
  </si>
  <si>
    <t>483 ML Storage at O773507</t>
  </si>
  <si>
    <t>345 ML Storage at O773505</t>
  </si>
  <si>
    <t>1158 ML Storage at O768939</t>
  </si>
  <si>
    <t>2669 ML Storage at O768930</t>
  </si>
  <si>
    <t>177 m DN300 pipe amplification</t>
  </si>
  <si>
    <t>959 m DN300 pipe amplification</t>
  </si>
  <si>
    <t>996 m DN375 pipe amplification</t>
  </si>
  <si>
    <t>3385 m DN375 pipe amplification</t>
  </si>
  <si>
    <t>400 m DN300 pipe amplification</t>
  </si>
  <si>
    <t>208 m DN450 pipe amplification</t>
  </si>
  <si>
    <t>66 m DN225 pipe amplification</t>
  </si>
  <si>
    <t>726 m DN300 pipe amplification</t>
  </si>
  <si>
    <t>1668 m DN1200 pipe amplification</t>
  </si>
  <si>
    <t>527 m DN900 pipe amplification</t>
  </si>
  <si>
    <t>30 m DN525 new gravity sewer</t>
  </si>
  <si>
    <t>643 m DN375 new gravity sewer</t>
  </si>
  <si>
    <t>1692 m DN300 new gravity sewer</t>
  </si>
  <si>
    <t>799 m DN375 new gravity sewer</t>
  </si>
  <si>
    <t>2330 m DN450 new gravity sewer</t>
  </si>
  <si>
    <t>669 m DN375 new gravity sewer</t>
  </si>
  <si>
    <t>1862 m DN450 new gravity sewer</t>
  </si>
  <si>
    <t>986 m DN525 new gravity sewer</t>
  </si>
  <si>
    <t>420 m DN600 pressure main</t>
  </si>
  <si>
    <t>5840 m DN560 pressure main</t>
  </si>
  <si>
    <t>3900 m DN560 pressure main</t>
  </si>
  <si>
    <t>3223 m DN560 pressure main</t>
  </si>
  <si>
    <t>1651 m DN560 pressure main</t>
  </si>
  <si>
    <t>1415 m DN375 pressure main</t>
  </si>
  <si>
    <t>2924 m DN150 pressure main</t>
  </si>
  <si>
    <t>355 m DN200 pressure main</t>
  </si>
  <si>
    <t>New Generator at SP1154</t>
  </si>
  <si>
    <t>New Generator at SP0564</t>
  </si>
  <si>
    <t>New Generator at SP1160</t>
  </si>
  <si>
    <t>New Generator at SP1202</t>
  </si>
  <si>
    <t>SP0564 1010 L/s Upgrade</t>
  </si>
  <si>
    <t>SP1154 706 L/s Upgrade</t>
  </si>
  <si>
    <t>SP1160 420 L/s Upgrade</t>
  </si>
  <si>
    <t>New SPS V 63 L/s</t>
  </si>
  <si>
    <t>New SPS C 50 L/s</t>
  </si>
  <si>
    <t>New SPS J 25 L/s</t>
  </si>
  <si>
    <t>New SP1232 254 L/s</t>
  </si>
  <si>
    <t>New SP1231 221 L/s</t>
  </si>
  <si>
    <t>ST0042- Riverstone</t>
  </si>
  <si>
    <t>Stage 2 of WWTP upgrade</t>
  </si>
  <si>
    <t>Lower South Creek Wastewater</t>
  </si>
  <si>
    <t>CASE67130WW</t>
  </si>
  <si>
    <t>CASE110406WW</t>
  </si>
  <si>
    <t>CASE140158WW</t>
  </si>
  <si>
    <t>CASE178871WW</t>
  </si>
  <si>
    <t>Orchard Hills North Lead-in to St Marys
• 1.2km of DN450 wet weather relief (including 150m of 
trenchless)</t>
  </si>
  <si>
    <t xml:space="preserve">Orchard Hills North Lead-in to St Marys
 0.7 km of DN375 </t>
  </si>
  <si>
    <t xml:space="preserve">Within the Developer Precinct
• 0.5km of DN375 
</t>
  </si>
  <si>
    <t xml:space="preserve">Within the Developer Precinct
• 1.9km of DN300
</t>
  </si>
  <si>
    <t xml:space="preserve">Within the Developer Precinct 
• 1.1km of DN225 (including 200m of trenchless)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</si>
</sst>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 numFmtId="175" formatCode="#,##0_ ;[Red]\-#,##0\ "/>
    <numFmt numFmtId="176" formatCode="_-* #,##0.0_-;\-* #,##0.0_-;_-* &quot;-&quot;??_-;_-@_-"/>
    <numFmt numFmtId="177" formatCode="_-* #,##0_-;\-* #,##0_-;_-* &quot;-&quot;??_-;_-@_-"/>
  </numFmts>
  <fonts count="35"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b/>
      <u/>
      <sz val="9"/>
      <name val="Arial"/>
      <family val="2"/>
    </font>
    <font>
      <sz val="10"/>
      <name val="Arial"/>
      <family val="2"/>
    </font>
    <font>
      <b/>
      <sz val="10"/>
      <name val="Arial"/>
      <family val="2"/>
    </font>
    <font>
      <i/>
      <sz val="9"/>
      <color rgb="FFC00000"/>
      <name val="Arial"/>
      <family val="2"/>
    </font>
    <font>
      <i/>
      <sz val="9"/>
      <color theme="0" tint="-0.499984740745262"/>
      <name val="Arial"/>
      <family val="2"/>
    </font>
    <font>
      <sz val="8"/>
      <name val="Arial"/>
      <family val="2"/>
    </font>
    <font>
      <sz val="10"/>
      <name val="Book Antiqua"/>
      <family val="2"/>
      <scheme val="minor"/>
    </font>
    <font>
      <i/>
      <sz val="8"/>
      <color rgb="FFC00000"/>
      <name val="Arial"/>
      <family val="2"/>
    </font>
    <font>
      <sz val="8"/>
      <color rgb="FFC00000"/>
      <name val="Arial"/>
      <family val="2"/>
    </font>
    <font>
      <sz val="8"/>
      <color theme="0" tint="-0.34998626667073579"/>
      <name val="Arial"/>
      <family val="2"/>
    </font>
    <font>
      <sz val="9"/>
      <color theme="0"/>
      <name val="Arial"/>
      <family val="2"/>
    </font>
  </fonts>
  <fills count="18">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8FB8FB"/>
        <bgColor indexed="64"/>
      </patternFill>
    </fill>
    <fill>
      <patternFill patternType="solid">
        <fgColor rgb="FF6EA3FA"/>
        <bgColor indexed="64"/>
      </patternFill>
    </fill>
    <fill>
      <patternFill patternType="solid">
        <fgColor rgb="FFFFFFCC"/>
        <bgColor indexed="64"/>
      </patternFill>
    </fill>
  </fills>
  <borders count="27">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bottom style="thin">
        <color theme="0" tint="-0.34998626667073579"/>
      </bottom>
      <diagonal/>
    </border>
    <border>
      <left/>
      <right/>
      <top/>
      <bottom style="medium">
        <color indexed="64"/>
      </bottom>
      <diagonal/>
    </border>
    <border>
      <left/>
      <right/>
      <top style="thin">
        <color theme="0" tint="-0.34998626667073579"/>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35">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xf numFmtId="0" fontId="25" fillId="0" borderId="0"/>
    <xf numFmtId="0" fontId="30"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5" fillId="5" borderId="0" applyNumberFormat="0" applyBorder="0" applyAlignment="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5" fillId="5" borderId="0" applyNumberFormat="0" applyBorder="0" applyAlignment="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68">
    <xf numFmtId="0" fontId="0" fillId="0" borderId="0" xfId="0"/>
    <xf numFmtId="0" fontId="0" fillId="0" borderId="0" xfId="0" applyBorder="1"/>
    <xf numFmtId="0" fontId="0" fillId="6" borderId="0" xfId="0" applyFill="1"/>
    <xf numFmtId="0" fontId="9" fillId="0" borderId="0" xfId="0" applyFont="1"/>
    <xf numFmtId="166" fontId="1" fillId="3" borderId="0" xfId="16" applyBorder="1" applyAlignment="1">
      <protection locked="0"/>
    </xf>
    <xf numFmtId="0" fontId="0" fillId="0" borderId="0" xfId="0" applyFont="1" applyBorder="1" applyAlignment="1">
      <alignment horizontal="left"/>
    </xf>
    <xf numFmtId="0" fontId="10" fillId="6" borderId="0" xfId="14" applyFont="1" applyFill="1"/>
    <xf numFmtId="0" fontId="0" fillId="0" borderId="0" xfId="0" applyAlignment="1"/>
    <xf numFmtId="0" fontId="0" fillId="0" borderId="0" xfId="0" applyFont="1" applyAlignment="1"/>
    <xf numFmtId="0" fontId="10" fillId="0" borderId="0" xfId="0" applyFont="1" applyAlignment="1"/>
    <xf numFmtId="0" fontId="0" fillId="0" borderId="0" xfId="0" applyFill="1" applyAlignment="1"/>
    <xf numFmtId="0" fontId="0" fillId="0" borderId="0" xfId="0" applyFont="1" applyFill="1" applyAlignment="1"/>
    <xf numFmtId="0" fontId="9" fillId="0" borderId="0" xfId="0" applyFont="1" applyFill="1" applyAlignment="1"/>
    <xf numFmtId="0" fontId="8" fillId="0" borderId="0" xfId="0" applyFont="1" applyFill="1" applyAlignment="1">
      <alignment horizontal="left" vertical="top"/>
    </xf>
    <xf numFmtId="0" fontId="0" fillId="0" borderId="0" xfId="0" applyFont="1" applyFill="1" applyAlignment="1">
      <alignment horizontal="left" vertical="top"/>
    </xf>
    <xf numFmtId="0" fontId="10" fillId="0" borderId="0" xfId="0" applyFont="1" applyFill="1" applyAlignment="1"/>
    <xf numFmtId="0" fontId="0" fillId="0" borderId="4" xfId="0" applyFont="1" applyBorder="1" applyAlignment="1"/>
    <xf numFmtId="0" fontId="0" fillId="0" borderId="0" xfId="0" applyFont="1" applyFill="1" applyBorder="1" applyAlignment="1">
      <alignment horizontal="left" vertical="top"/>
    </xf>
    <xf numFmtId="0" fontId="13" fillId="8" borderId="0" xfId="0" applyFont="1" applyFill="1" applyBorder="1" applyAlignment="1"/>
    <xf numFmtId="0" fontId="0" fillId="8"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8" fillId="8" borderId="0" xfId="0" applyFont="1" applyFill="1" applyBorder="1" applyAlignment="1"/>
    <xf numFmtId="0" fontId="0" fillId="0" borderId="0" xfId="0" applyFont="1" applyAlignment="1">
      <alignment horizontal="left"/>
    </xf>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on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on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0" fontId="0" fillId="0" borderId="5" xfId="0" applyFill="1"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0" fontId="0" fillId="0" borderId="0" xfId="0" applyBorder="1" applyAlignment="1">
      <alignment horizontal="right"/>
    </xf>
    <xf numFmtId="4" fontId="1" fillId="4" borderId="5" xfId="6" applyBorder="1" applyAlignment="1">
      <alignment horizontal="center"/>
      <protection locked="0"/>
    </xf>
    <xf numFmtId="8" fontId="0" fillId="0" borderId="0" xfId="0" applyNumberFormat="1"/>
    <xf numFmtId="170" fontId="0" fillId="0" borderId="0" xfId="0" applyNumberFormat="1" applyBorder="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0" fillId="0" borderId="0" xfId="0" applyAlignmen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Font="1" applyFill="1" applyBorder="1" applyAlignment="1">
      <alignment vertical="top"/>
    </xf>
    <xf numFmtId="0" fontId="0" fillId="0" borderId="0" xfId="0" applyFont="1" applyFill="1" applyBorder="1" applyAlignment="1">
      <alignment wrapText="1"/>
    </xf>
    <xf numFmtId="0" fontId="0" fillId="0" borderId="0" xfId="0" applyAlignment="1"/>
    <xf numFmtId="0" fontId="0" fillId="0" borderId="0" xfId="0" applyFill="1" applyBorder="1"/>
    <xf numFmtId="0" fontId="0" fillId="0" borderId="0" xfId="0" applyFill="1"/>
    <xf numFmtId="0" fontId="0" fillId="0" borderId="11" xfId="0" applyFill="1" applyBorder="1"/>
    <xf numFmtId="0" fontId="0" fillId="0" borderId="2" xfId="0" applyFill="1" applyBorder="1"/>
    <xf numFmtId="0" fontId="0" fillId="0" borderId="19" xfId="0" applyFill="1" applyBorder="1"/>
    <xf numFmtId="0" fontId="0" fillId="0" borderId="3" xfId="0" applyFill="1" applyBorder="1"/>
    <xf numFmtId="0" fontId="7" fillId="0" borderId="0" xfId="0" applyFont="1" applyFill="1"/>
    <xf numFmtId="0" fontId="0" fillId="0" borderId="16" xfId="0" applyFill="1" applyBorder="1"/>
    <xf numFmtId="0" fontId="10" fillId="0" borderId="0" xfId="0" applyFont="1" applyFill="1" applyBorder="1" applyAlignment="1">
      <alignment horizontal="right" wrapText="1"/>
    </xf>
    <xf numFmtId="0" fontId="0" fillId="0" borderId="0" xfId="0" applyFill="1" applyAlignment="1">
      <alignment horizontal="right"/>
    </xf>
    <xf numFmtId="0" fontId="10" fillId="0" borderId="0" xfId="0" applyFont="1" applyFill="1" applyBorder="1"/>
    <xf numFmtId="0" fontId="20" fillId="0" borderId="0" xfId="0" applyFont="1" applyFill="1"/>
    <xf numFmtId="0" fontId="0" fillId="0" borderId="17" xfId="0" applyFill="1" applyBorder="1"/>
    <xf numFmtId="0" fontId="0" fillId="0" borderId="18" xfId="0" applyFill="1" applyBorder="1"/>
    <xf numFmtId="0" fontId="0" fillId="0" borderId="15" xfId="0" applyFill="1" applyBorder="1"/>
    <xf numFmtId="3" fontId="5" fillId="9" borderId="0" xfId="9" applyNumberFormat="1" applyFill="1" applyBorder="1"/>
    <xf numFmtId="170" fontId="0" fillId="0" borderId="0" xfId="0" applyNumberFormat="1" applyFill="1" applyBorder="1" applyAlignment="1">
      <alignment horizontal="right"/>
    </xf>
    <xf numFmtId="0" fontId="7" fillId="0" borderId="3" xfId="0" applyFont="1" applyFill="1" applyBorder="1"/>
    <xf numFmtId="170" fontId="0" fillId="0" borderId="3" xfId="0" applyNumberFormat="1" applyFill="1" applyBorder="1" applyAlignment="1">
      <alignment horizontal="right"/>
    </xf>
    <xf numFmtId="3" fontId="5" fillId="9" borderId="5" xfId="9" applyNumberFormat="1" applyFill="1" applyBorder="1"/>
    <xf numFmtId="0" fontId="0" fillId="0" borderId="0" xfId="0" applyFill="1" applyBorder="1" applyAlignment="1">
      <alignment horizontal="right"/>
    </xf>
    <xf numFmtId="0" fontId="0" fillId="0" borderId="0" xfId="0" applyFill="1" applyBorder="1" applyAlignment="1">
      <alignment horizontal="center"/>
    </xf>
    <xf numFmtId="3" fontId="0" fillId="0" borderId="7" xfId="0" applyNumberFormat="1" applyFill="1" applyBorder="1"/>
    <xf numFmtId="3" fontId="0" fillId="0" borderId="6" xfId="0" applyNumberFormat="1" applyFill="1" applyBorder="1"/>
    <xf numFmtId="0" fontId="0" fillId="0" borderId="7" xfId="0" applyFill="1" applyBorder="1"/>
    <xf numFmtId="0" fontId="0" fillId="0" borderId="12" xfId="0" applyFill="1" applyBorder="1" applyAlignment="1">
      <alignment horizontal="right"/>
    </xf>
    <xf numFmtId="0" fontId="0" fillId="0" borderId="14" xfId="0" applyFill="1" applyBorder="1" applyAlignment="1">
      <alignment horizontal="right"/>
    </xf>
    <xf numFmtId="0" fontId="0" fillId="0" borderId="13" xfId="0" applyFill="1" applyBorder="1" applyAlignment="1">
      <alignment horizontal="right"/>
    </xf>
    <xf numFmtId="3" fontId="1" fillId="11" borderId="7" xfId="6" applyNumberFormat="1" applyFill="1" applyBorder="1" applyAlignment="1">
      <protection locked="0"/>
    </xf>
    <xf numFmtId="3" fontId="1" fillId="4" borderId="7" xfId="6" applyNumberFormat="1" applyFill="1" applyBorder="1" applyAlignment="1">
      <protection locked="0"/>
    </xf>
    <xf numFmtId="170" fontId="0" fillId="0" borderId="0" xfId="0" applyNumberFormat="1" applyFill="1"/>
    <xf numFmtId="0" fontId="10" fillId="0" borderId="0" xfId="0" applyFont="1" applyFill="1"/>
    <xf numFmtId="0" fontId="0" fillId="0" borderId="0" xfId="0" applyFill="1" applyAlignment="1">
      <alignment horizontal="left" indent="1"/>
    </xf>
    <xf numFmtId="170" fontId="0" fillId="0" borderId="6" xfId="0" applyNumberFormat="1" applyFill="1" applyBorder="1"/>
    <xf numFmtId="170" fontId="0" fillId="0" borderId="8" xfId="0" applyNumberFormat="1" applyFill="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Fill="1" applyBorder="1" applyAlignment="1">
      <alignment horizontal="center"/>
    </xf>
    <xf numFmtId="3" fontId="0" fillId="0" borderId="7" xfId="0" applyNumberFormat="1" applyFill="1" applyBorder="1" applyAlignment="1">
      <alignment horizontal="center"/>
    </xf>
    <xf numFmtId="3" fontId="0" fillId="0" borderId="8" xfId="0" applyNumberFormat="1" applyFill="1" applyBorder="1" applyAlignment="1">
      <alignment horizontal="center"/>
    </xf>
    <xf numFmtId="165" fontId="1" fillId="0" borderId="6" xfId="18" applyNumberFormat="1" applyFont="1" applyFill="1" applyBorder="1" applyAlignment="1" applyProtection="1">
      <alignment horizontal="center"/>
      <protection locked="0"/>
    </xf>
    <xf numFmtId="165" fontId="1" fillId="0" borderId="7" xfId="18" applyNumberFormat="1" applyFont="1" applyFill="1" applyBorder="1" applyAlignment="1" applyProtection="1">
      <alignment horizontal="center"/>
      <protection locked="0"/>
    </xf>
    <xf numFmtId="168" fontId="0" fillId="0" borderId="0" xfId="0" applyNumberFormat="1" applyFill="1"/>
    <xf numFmtId="170" fontId="0" fillId="0" borderId="5" xfId="0" applyNumberFormat="1" applyFill="1" applyBorder="1"/>
    <xf numFmtId="0" fontId="0" fillId="0" borderId="0" xfId="0" applyFill="1" applyAlignment="1">
      <alignment horizontal="center" wrapText="1"/>
    </xf>
    <xf numFmtId="0" fontId="0" fillId="0" borderId="0" xfId="0" applyFill="1" applyAlignment="1">
      <alignment horizontal="center"/>
    </xf>
    <xf numFmtId="0" fontId="10" fillId="0" borderId="0" xfId="0" applyFont="1" applyFill="1" applyAlignment="1">
      <alignment horizontal="left"/>
    </xf>
    <xf numFmtId="0" fontId="0" fillId="0" borderId="6" xfId="0" applyFill="1" applyBorder="1"/>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0" fontId="0" fillId="0" borderId="0" xfId="0" applyAlignment="1"/>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applyAlignment="1"/>
    <xf numFmtId="0" fontId="0" fillId="12" borderId="0" xfId="0" applyFont="1" applyFill="1" applyBorder="1" applyAlignment="1">
      <alignment horizontal="left"/>
    </xf>
    <xf numFmtId="0" fontId="0" fillId="12" borderId="7" xfId="0" applyFill="1" applyBorder="1"/>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165" fontId="1" fillId="0" borderId="8" xfId="18" applyNumberFormat="1" applyFont="1" applyFill="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Font="1" applyFill="1" applyBorder="1" applyAlignment="1">
      <alignment horizontal="left" wrapText="1"/>
    </xf>
    <xf numFmtId="0" fontId="0" fillId="0" borderId="0" xfId="0" applyFont="1" applyFill="1" applyBorder="1" applyAlignment="1">
      <alignment horizontal="right" vertical="center"/>
    </xf>
    <xf numFmtId="0" fontId="0" fillId="0" borderId="0" xfId="0" applyFont="1" applyFill="1" applyBorder="1" applyAlignment="1">
      <alignment horizontal="right" vertical="top"/>
    </xf>
    <xf numFmtId="0" fontId="10" fillId="0" borderId="0" xfId="0" applyFont="1" applyFill="1" applyBorder="1" applyAlignment="1">
      <alignment horizontal="left" vertical="top"/>
    </xf>
    <xf numFmtId="0" fontId="0" fillId="0" borderId="0" xfId="0" applyFont="1" applyFill="1" applyBorder="1" applyAlignment="1">
      <alignment horizontal="left"/>
    </xf>
    <xf numFmtId="0" fontId="11" fillId="0" borderId="0" xfId="0" quotePrefix="1" applyFont="1"/>
    <xf numFmtId="0" fontId="0" fillId="0" borderId="0" xfId="0" applyAlignme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applyFill="1"/>
    <xf numFmtId="4" fontId="19" fillId="11" borderId="8" xfId="6" applyFont="1" applyFill="1" applyBorder="1" applyAlignment="1">
      <alignment horizontal="center" wrapText="1"/>
      <protection locked="0"/>
    </xf>
    <xf numFmtId="169" fontId="1" fillId="4" borderId="8" xfId="6" applyNumberFormat="1" applyFill="1" applyBorder="1" applyAlignment="1">
      <alignment horizontal="center"/>
      <protection locked="0"/>
    </xf>
    <xf numFmtId="0" fontId="0" fillId="0" borderId="0" xfId="0" applyFill="1" applyAlignment="1">
      <alignment horizontal="right" wrapText="1"/>
    </xf>
    <xf numFmtId="0" fontId="0" fillId="0" borderId="0" xfId="0" applyFill="1" applyAlignment="1">
      <alignment horizontal="left" indent="4"/>
    </xf>
    <xf numFmtId="4" fontId="1" fillId="4" borderId="8" xfId="6" applyFill="1" applyBorder="1" applyAlignment="1">
      <protection locked="0"/>
    </xf>
    <xf numFmtId="165" fontId="0" fillId="0" borderId="6" xfId="0" applyNumberFormat="1" applyBorder="1"/>
    <xf numFmtId="165" fontId="0" fillId="0" borderId="7" xfId="0" applyNumberFormat="1" applyBorder="1"/>
    <xf numFmtId="165" fontId="0" fillId="0" borderId="8" xfId="0" applyNumberFormat="1" applyBorder="1"/>
    <xf numFmtId="0" fontId="0" fillId="0" borderId="0" xfId="0" applyAlignment="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0" fontId="0" fillId="6" borderId="3" xfId="0" applyFill="1" applyBorder="1" applyAlignment="1">
      <alignment wrapText="1"/>
    </xf>
    <xf numFmtId="0" fontId="0" fillId="6" borderId="0" xfId="0" applyFill="1" applyBorder="1" applyAlignment="1">
      <alignment wrapText="1"/>
    </xf>
    <xf numFmtId="0" fontId="2" fillId="6" borderId="3" xfId="4" applyNumberFormat="1" applyFill="1" applyBorder="1" applyAlignment="1">
      <alignment horizontal="center" wrapText="1"/>
    </xf>
    <xf numFmtId="0" fontId="2" fillId="6" borderId="3" xfId="4" applyNumberFormat="1" applyFon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Border="1" applyAlignment="1">
      <alignment wrapText="1"/>
    </xf>
    <xf numFmtId="0" fontId="0" fillId="0" borderId="7" xfId="0" applyFill="1"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Fill="1" applyBorder="1"/>
    <xf numFmtId="4" fontId="1" fillId="4" borderId="5" xfId="6" applyBorder="1" applyAlignment="1">
      <protection locked="0"/>
    </xf>
    <xf numFmtId="0" fontId="0" fillId="0" borderId="20" xfId="0" applyFill="1" applyBorder="1"/>
    <xf numFmtId="3" fontId="0" fillId="0" borderId="10" xfId="0" applyNumberFormat="1" applyFill="1" applyBorder="1"/>
    <xf numFmtId="3" fontId="5" fillId="9" borderId="10" xfId="9" applyNumberFormat="1" applyFill="1" applyBorder="1"/>
    <xf numFmtId="0" fontId="5" fillId="5" borderId="20" xfId="9" applyNumberFormat="1" applyBorder="1"/>
    <xf numFmtId="0" fontId="7" fillId="0" borderId="0" xfId="0" applyFont="1" applyFill="1" applyBorder="1"/>
    <xf numFmtId="0" fontId="10" fillId="6" borderId="0" xfId="14" applyFont="1" applyFill="1" applyBorder="1" applyAlignment="1">
      <alignment horizontal="center" wrapText="1"/>
    </xf>
    <xf numFmtId="0" fontId="1" fillId="6" borderId="0" xfId="0" applyFont="1" applyFill="1" applyBorder="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4" fillId="0" borderId="0" xfId="0" applyFont="1"/>
    <xf numFmtId="0" fontId="12" fillId="6" borderId="0" xfId="11" quotePrefix="1" applyFill="1"/>
    <xf numFmtId="172" fontId="10" fillId="6" borderId="0" xfId="14" applyNumberFormat="1" applyFont="1" applyFill="1"/>
    <xf numFmtId="0" fontId="0" fillId="6" borderId="0" xfId="0" applyFill="1" applyAlignment="1">
      <alignment wrapText="1"/>
    </xf>
    <xf numFmtId="0" fontId="0" fillId="6" borderId="3" xfId="0" applyFont="1" applyFill="1" applyBorder="1" applyAlignment="1">
      <alignment wrapText="1"/>
    </xf>
    <xf numFmtId="0" fontId="0" fillId="6" borderId="0" xfId="0" applyFont="1" applyFill="1" applyBorder="1" applyAlignment="1">
      <alignment wrapText="1"/>
    </xf>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0" fillId="0" borderId="0" xfId="0" applyAlignment="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9" fillId="0" borderId="0" xfId="0" applyFont="1" applyFill="1"/>
    <xf numFmtId="0" fontId="23" fillId="6" borderId="0" xfId="14" quotePrefix="1" applyFont="1" applyFill="1"/>
    <xf numFmtId="0" fontId="19" fillId="6" borderId="0" xfId="14" applyFont="1" applyFill="1" applyAlignment="1">
      <alignment horizontal="left"/>
    </xf>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0" fillId="0" borderId="0" xfId="0" applyFont="1" applyFill="1" applyBorder="1" applyAlignment="1">
      <alignment wrapText="1"/>
    </xf>
    <xf numFmtId="0" fontId="0" fillId="0" borderId="0" xfId="0" applyAlignment="1">
      <alignment wrapText="1"/>
    </xf>
    <xf numFmtId="0" fontId="0" fillId="0" borderId="0" xfId="0" applyAlignment="1"/>
    <xf numFmtId="0" fontId="12" fillId="0" borderId="0" xfId="11" applyAlignment="1">
      <alignment vertical="top"/>
    </xf>
    <xf numFmtId="0" fontId="19" fillId="0" borderId="0" xfId="0" applyFont="1" applyAlignment="1">
      <alignment horizontal="left" indent="2"/>
    </xf>
    <xf numFmtId="0" fontId="24" fillId="0" borderId="0" xfId="0" applyFont="1"/>
    <xf numFmtId="3" fontId="1" fillId="4" borderId="5" xfId="6" applyNumberFormat="1" applyBorder="1" applyAlignment="1">
      <protection locked="0"/>
    </xf>
    <xf numFmtId="3" fontId="1" fillId="0" borderId="5" xfId="6" applyNumberFormat="1" applyFill="1" applyBorder="1" applyAlignment="1">
      <protection locked="0"/>
    </xf>
    <xf numFmtId="0" fontId="25" fillId="0" borderId="0" xfId="0" applyFont="1"/>
    <xf numFmtId="0" fontId="26" fillId="0" borderId="0" xfId="0" applyFont="1"/>
    <xf numFmtId="4" fontId="25" fillId="0" borderId="0" xfId="0" applyNumberFormat="1" applyFont="1"/>
    <xf numFmtId="0" fontId="0" fillId="0" borderId="0" xfId="0" applyFont="1"/>
    <xf numFmtId="0" fontId="25" fillId="0" borderId="23" xfId="0" applyFont="1" applyBorder="1"/>
    <xf numFmtId="0" fontId="26" fillId="0" borderId="23" xfId="0" applyFont="1" applyBorder="1"/>
    <xf numFmtId="0" fontId="0" fillId="13" borderId="5" xfId="0" applyFill="1" applyBorder="1" applyAlignment="1">
      <alignment horizontal="center"/>
    </xf>
    <xf numFmtId="9" fontId="0" fillId="14" borderId="6" xfId="20" applyFont="1" applyFill="1" applyBorder="1" applyAlignment="1">
      <alignment horizontal="center"/>
    </xf>
    <xf numFmtId="9" fontId="0" fillId="14" borderId="7" xfId="20" applyFont="1" applyFill="1" applyBorder="1" applyAlignment="1">
      <alignment horizontal="center"/>
    </xf>
    <xf numFmtId="49" fontId="1" fillId="4" borderId="6" xfId="6" applyNumberFormat="1" applyBorder="1" applyAlignment="1">
      <alignment horizontal="center"/>
      <protection locked="0"/>
    </xf>
    <xf numFmtId="49" fontId="1" fillId="4" borderId="7" xfId="6" applyNumberFormat="1" applyBorder="1" applyAlignment="1">
      <alignment horizontal="center"/>
      <protection locked="0"/>
    </xf>
    <xf numFmtId="170" fontId="27" fillId="0" borderId="0" xfId="0" applyNumberFormat="1" applyFont="1" applyFill="1" applyBorder="1"/>
    <xf numFmtId="170" fontId="28" fillId="0" borderId="24" xfId="0" applyNumberFormat="1" applyFont="1" applyFill="1" applyBorder="1"/>
    <xf numFmtId="175" fontId="28" fillId="0" borderId="24" xfId="0" applyNumberFormat="1" applyFont="1" applyFill="1" applyBorder="1"/>
    <xf numFmtId="0" fontId="28" fillId="0" borderId="0" xfId="0" applyFont="1" applyFill="1" applyBorder="1"/>
    <xf numFmtId="175" fontId="28" fillId="0" borderId="0" xfId="0" applyNumberFormat="1" applyFont="1" applyFill="1" applyBorder="1"/>
    <xf numFmtId="0" fontId="28" fillId="0" borderId="22" xfId="0" applyFont="1" applyFill="1" applyBorder="1"/>
    <xf numFmtId="175" fontId="28" fillId="0" borderId="22" xfId="0" applyNumberFormat="1" applyFont="1" applyFill="1" applyBorder="1"/>
    <xf numFmtId="176" fontId="28" fillId="0" borderId="0" xfId="1" applyNumberFormat="1" applyFont="1" applyFill="1" applyBorder="1"/>
    <xf numFmtId="0" fontId="28" fillId="0" borderId="0" xfId="0" applyFont="1" applyFill="1" applyBorder="1" applyAlignment="1">
      <alignment horizontal="center"/>
    </xf>
    <xf numFmtId="43" fontId="28" fillId="0" borderId="0" xfId="1" applyFont="1" applyFill="1" applyBorder="1"/>
    <xf numFmtId="0" fontId="25" fillId="0" borderId="0" xfId="0" applyFont="1" applyAlignment="1">
      <alignment horizontal="center"/>
    </xf>
    <xf numFmtId="6" fontId="25" fillId="0" borderId="0" xfId="0" applyNumberFormat="1" applyFont="1"/>
    <xf numFmtId="0" fontId="25" fillId="0" borderId="23" xfId="0" applyFont="1" applyBorder="1" applyAlignment="1">
      <alignment horizontal="right"/>
    </xf>
    <xf numFmtId="0" fontId="25" fillId="0" borderId="0" xfId="0" applyFont="1" applyBorder="1" applyAlignment="1">
      <alignment horizontal="right"/>
    </xf>
    <xf numFmtId="0" fontId="25" fillId="0" borderId="0" xfId="0" applyFont="1" applyBorder="1"/>
    <xf numFmtId="3" fontId="10" fillId="0" borderId="25" xfId="0" applyNumberFormat="1" applyFont="1" applyBorder="1" applyAlignment="1">
      <alignment horizontal="center"/>
    </xf>
    <xf numFmtId="3" fontId="1" fillId="4" borderId="7" xfId="6" applyNumberFormat="1" applyFont="1" applyBorder="1" applyAlignment="1">
      <alignment horizontal="center"/>
      <protection locked="0"/>
    </xf>
    <xf numFmtId="6" fontId="25" fillId="15" borderId="0" xfId="0" applyNumberFormat="1" applyFont="1" applyFill="1"/>
    <xf numFmtId="4" fontId="0" fillId="0" borderId="0" xfId="0" applyNumberFormat="1" applyFont="1" applyAlignment="1">
      <alignment horizontal="right"/>
    </xf>
    <xf numFmtId="9" fontId="0" fillId="0" borderId="0" xfId="20" applyFont="1" applyFill="1"/>
    <xf numFmtId="175" fontId="0" fillId="0" borderId="6" xfId="0" applyNumberFormat="1" applyFill="1" applyBorder="1" applyAlignment="1">
      <alignment horizontal="center"/>
    </xf>
    <xf numFmtId="175" fontId="0" fillId="0" borderId="7" xfId="0" applyNumberFormat="1" applyFill="1" applyBorder="1" applyAlignment="1">
      <alignment horizontal="center"/>
    </xf>
    <xf numFmtId="175" fontId="0" fillId="0" borderId="0" xfId="0" applyNumberFormat="1" applyAlignment="1">
      <alignment horizontal="center"/>
    </xf>
    <xf numFmtId="175" fontId="1" fillId="4" borderId="6" xfId="6" applyNumberFormat="1" applyBorder="1" applyAlignment="1">
      <alignment horizontal="center"/>
      <protection locked="0"/>
    </xf>
    <xf numFmtId="175" fontId="0" fillId="0" borderId="0" xfId="0" applyNumberFormat="1" applyFill="1" applyAlignment="1">
      <alignment horizontal="center"/>
    </xf>
    <xf numFmtId="175" fontId="1" fillId="4" borderId="7" xfId="6" applyNumberFormat="1" applyBorder="1" applyAlignment="1">
      <alignment horizontal="center"/>
      <protection locked="0"/>
    </xf>
    <xf numFmtId="175" fontId="1" fillId="4" borderId="17" xfId="6" applyNumberFormat="1" applyBorder="1" applyAlignment="1">
      <alignment horizontal="center"/>
      <protection locked="0"/>
    </xf>
    <xf numFmtId="165" fontId="0" fillId="0" borderId="5" xfId="0" applyNumberFormat="1" applyBorder="1" applyAlignment="1">
      <alignment horizontal="center"/>
    </xf>
    <xf numFmtId="0" fontId="0" fillId="6" borderId="0" xfId="0" applyFill="1" applyBorder="1" applyAlignment="1">
      <alignment horizontal="centerContinuous"/>
    </xf>
    <xf numFmtId="0" fontId="25" fillId="0" borderId="23" xfId="0" applyFont="1" applyBorder="1" applyAlignment="1">
      <alignment horizontal="center"/>
    </xf>
    <xf numFmtId="6" fontId="25" fillId="0" borderId="0" xfId="0" applyNumberFormat="1" applyFont="1" applyAlignment="1">
      <alignment horizontal="center"/>
    </xf>
    <xf numFmtId="177" fontId="25" fillId="0" borderId="0" xfId="1" applyNumberFormat="1" applyFont="1"/>
    <xf numFmtId="10" fontId="25" fillId="0" borderId="0" xfId="20" applyNumberFormat="1" applyFont="1" applyAlignment="1">
      <alignment horizontal="center"/>
    </xf>
    <xf numFmtId="175" fontId="25" fillId="0" borderId="0" xfId="0" applyNumberFormat="1" applyFont="1" applyAlignment="1">
      <alignment horizontal="center"/>
    </xf>
    <xf numFmtId="166" fontId="1" fillId="4" borderId="5" xfId="6" applyNumberFormat="1" applyBorder="1" applyAlignment="1">
      <alignment horizontal="center"/>
      <protection locked="0"/>
    </xf>
    <xf numFmtId="166" fontId="1" fillId="10" borderId="5" xfId="6" applyNumberFormat="1" applyFill="1" applyBorder="1" applyAlignment="1">
      <alignment horizontal="center"/>
      <protection locked="0"/>
    </xf>
    <xf numFmtId="175" fontId="1" fillId="4" borderId="6" xfId="6" applyNumberFormat="1" applyFont="1" applyBorder="1" applyAlignment="1">
      <alignment horizontal="center"/>
      <protection locked="0"/>
    </xf>
    <xf numFmtId="175" fontId="1" fillId="4" borderId="7" xfId="6" applyNumberFormat="1" applyFont="1" applyBorder="1" applyAlignment="1">
      <alignment horizontal="center"/>
      <protection locked="0"/>
    </xf>
    <xf numFmtId="175" fontId="25" fillId="16" borderId="0" xfId="0" applyNumberFormat="1" applyFont="1" applyFill="1"/>
    <xf numFmtId="49" fontId="1" fillId="0" borderId="0" xfId="6" applyNumberFormat="1" applyFill="1" applyBorder="1" applyAlignment="1">
      <alignment horizontal="center"/>
      <protection locked="0"/>
    </xf>
    <xf numFmtId="0" fontId="25" fillId="0" borderId="0" xfId="0" applyFont="1" applyFill="1" applyAlignment="1">
      <alignment horizontal="left"/>
    </xf>
    <xf numFmtId="0" fontId="25" fillId="0" borderId="26" xfId="0" applyFont="1" applyBorder="1"/>
    <xf numFmtId="165" fontId="0" fillId="6" borderId="5" xfId="0" applyNumberFormat="1" applyFill="1" applyBorder="1" applyAlignment="1">
      <alignment horizontal="center" wrapText="1"/>
    </xf>
    <xf numFmtId="0" fontId="1" fillId="4" borderId="6" xfId="6" applyNumberFormat="1" applyBorder="1" applyAlignment="1">
      <alignment horizontal="center"/>
      <protection locked="0"/>
    </xf>
    <xf numFmtId="0" fontId="1" fillId="4" borderId="7" xfId="6" applyNumberFormat="1" applyBorder="1" applyAlignment="1">
      <alignment horizontal="center"/>
      <protection locked="0"/>
    </xf>
    <xf numFmtId="9" fontId="0" fillId="0" borderId="5" xfId="20" applyFont="1" applyBorder="1"/>
    <xf numFmtId="0" fontId="0" fillId="0" borderId="2" xfId="0" applyFill="1" applyBorder="1" applyAlignment="1">
      <alignment horizontal="right"/>
    </xf>
    <xf numFmtId="175" fontId="0" fillId="0" borderId="8" xfId="0" applyNumberFormat="1" applyFill="1" applyBorder="1" applyAlignment="1">
      <alignment horizontal="center"/>
    </xf>
    <xf numFmtId="175" fontId="0" fillId="0" borderId="2" xfId="0" applyNumberFormat="1" applyFill="1" applyBorder="1" applyAlignment="1">
      <alignment horizontal="center"/>
    </xf>
    <xf numFmtId="175" fontId="1" fillId="4" borderId="8" xfId="6" applyNumberFormat="1" applyBorder="1" applyAlignment="1">
      <alignment horizontal="center"/>
      <protection locked="0"/>
    </xf>
    <xf numFmtId="175" fontId="1" fillId="4" borderId="8" xfId="6" applyNumberFormat="1" applyFont="1" applyBorder="1" applyAlignment="1">
      <alignment horizontal="center"/>
      <protection locked="0"/>
    </xf>
    <xf numFmtId="175" fontId="0" fillId="17" borderId="7" xfId="0" applyNumberFormat="1" applyFill="1" applyBorder="1" applyAlignment="1">
      <alignment horizontal="center"/>
    </xf>
    <xf numFmtId="0" fontId="25" fillId="0" borderId="0" xfId="0" applyFont="1" applyFill="1" applyBorder="1" applyAlignment="1">
      <alignment horizontal="left"/>
    </xf>
    <xf numFmtId="0" fontId="10" fillId="0" borderId="0" xfId="0" applyFont="1" applyFill="1" applyBorder="1" applyAlignment="1">
      <alignment horizontal="right"/>
    </xf>
    <xf numFmtId="10" fontId="0" fillId="0" borderId="0" xfId="0" applyNumberFormat="1" applyFill="1" applyBorder="1" applyAlignment="1">
      <alignment horizontal="center"/>
    </xf>
    <xf numFmtId="0" fontId="0" fillId="0" borderId="0" xfId="0" applyBorder="1" applyAlignment="1">
      <alignment horizontal="center"/>
    </xf>
    <xf numFmtId="43" fontId="25" fillId="0" borderId="0" xfId="1" applyFont="1" applyFill="1" applyAlignment="1"/>
    <xf numFmtId="177" fontId="0" fillId="0" borderId="0" xfId="1" applyNumberFormat="1" applyFont="1" applyFill="1"/>
    <xf numFmtId="0" fontId="0" fillId="0" borderId="0" xfId="0" applyFont="1" applyBorder="1"/>
    <xf numFmtId="6" fontId="25" fillId="0" borderId="0" xfId="0" applyNumberFormat="1" applyFont="1" applyBorder="1" applyAlignment="1">
      <alignment horizontal="center"/>
    </xf>
    <xf numFmtId="175" fontId="25" fillId="16" borderId="0" xfId="0" applyNumberFormat="1" applyFont="1" applyFill="1" applyBorder="1"/>
    <xf numFmtId="6" fontId="25" fillId="15" borderId="0" xfId="0" applyNumberFormat="1" applyFont="1" applyFill="1" applyBorder="1"/>
    <xf numFmtId="6" fontId="25" fillId="0" borderId="0" xfId="0" applyNumberFormat="1" applyFont="1" applyBorder="1"/>
    <xf numFmtId="4" fontId="0" fillId="0" borderId="0" xfId="0" applyNumberFormat="1" applyFont="1" applyBorder="1" applyAlignment="1">
      <alignment horizontal="right"/>
    </xf>
    <xf numFmtId="177" fontId="25" fillId="0" borderId="0" xfId="1" applyNumberFormat="1" applyFont="1" applyBorder="1"/>
    <xf numFmtId="43" fontId="25" fillId="0" borderId="0" xfId="1" applyFont="1" applyFill="1" applyBorder="1" applyAlignment="1"/>
    <xf numFmtId="10" fontId="25" fillId="0" borderId="0" xfId="20" applyNumberFormat="1" applyFont="1" applyBorder="1" applyAlignment="1">
      <alignment horizontal="center"/>
    </xf>
    <xf numFmtId="175" fontId="25" fillId="0" borderId="0" xfId="0" applyNumberFormat="1" applyFont="1" applyBorder="1" applyAlignment="1">
      <alignment horizontal="center"/>
    </xf>
    <xf numFmtId="0" fontId="0" fillId="0" borderId="0" xfId="0"/>
    <xf numFmtId="3" fontId="1" fillId="4" borderId="7"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xf>
    <xf numFmtId="3" fontId="1" fillId="10" borderId="7" xfId="6" applyNumberFormat="1" applyFill="1" applyBorder="1" applyAlignment="1">
      <alignment horizontal="center"/>
      <protection locked="0"/>
    </xf>
    <xf numFmtId="171" fontId="1" fillId="10" borderId="7" xfId="13" applyNumberFormat="1" applyFill="1" applyBorder="1" applyAlignment="1">
      <alignment horizontal="center"/>
      <protection locked="0"/>
    </xf>
    <xf numFmtId="4" fontId="1" fillId="4" borderId="7" xfId="6" applyBorder="1" applyAlignment="1">
      <alignment horizontal="left" wrapText="1" indent="1"/>
      <protection locked="0"/>
    </xf>
    <xf numFmtId="4" fontId="0" fillId="4" borderId="7" xfId="6" applyFont="1" applyBorder="1" applyAlignment="1">
      <alignment horizontal="center" wrapText="1"/>
      <protection locked="0"/>
    </xf>
    <xf numFmtId="9" fontId="0" fillId="14" borderId="7" xfId="20" applyFont="1" applyFill="1" applyBorder="1" applyAlignment="1">
      <alignment horizontal="center"/>
    </xf>
    <xf numFmtId="49" fontId="1" fillId="4" borderId="7" xfId="6" applyNumberFormat="1" applyBorder="1" applyAlignment="1">
      <alignment horizontal="center"/>
      <protection locked="0"/>
    </xf>
    <xf numFmtId="0" fontId="0" fillId="0" borderId="0" xfId="0"/>
    <xf numFmtId="3" fontId="1" fillId="4" borderId="7"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xf>
    <xf numFmtId="0" fontId="1" fillId="10" borderId="7" xfId="13" applyNumberFormat="1" applyFill="1" applyBorder="1" applyAlignment="1">
      <alignment horizontal="center"/>
      <protection locked="0"/>
    </xf>
    <xf numFmtId="3" fontId="1" fillId="10" borderId="7" xfId="6" applyNumberFormat="1" applyFill="1" applyBorder="1" applyAlignment="1">
      <alignment horizontal="center"/>
      <protection locked="0"/>
    </xf>
    <xf numFmtId="165" fontId="1" fillId="0" borderId="7" xfId="18" applyNumberFormat="1" applyFont="1" applyBorder="1" applyAlignment="1" applyProtection="1">
      <alignment horizontal="center"/>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9" fontId="1" fillId="4" borderId="7" xfId="6" applyNumberFormat="1" applyBorder="1" applyAlignment="1">
      <alignment horizontal="center"/>
      <protection locked="0"/>
    </xf>
    <xf numFmtId="0" fontId="27" fillId="0" borderId="0" xfId="0" applyFont="1" applyBorder="1"/>
    <xf numFmtId="0" fontId="34" fillId="0" borderId="0" xfId="0" applyFont="1"/>
    <xf numFmtId="0" fontId="34" fillId="0" borderId="0" xfId="0" applyFont="1" applyFill="1"/>
    <xf numFmtId="0" fontId="27" fillId="0" borderId="0" xfId="0" applyFont="1" applyFill="1" applyBorder="1"/>
    <xf numFmtId="3" fontId="1" fillId="0" borderId="0" xfId="6" applyNumberFormat="1" applyFill="1" applyBorder="1" applyAlignment="1">
      <protection locked="0"/>
    </xf>
    <xf numFmtId="0" fontId="31" fillId="0" borderId="0" xfId="0" applyFont="1" applyFill="1" applyBorder="1" applyAlignment="1">
      <alignment horizontal="right"/>
    </xf>
    <xf numFmtId="0" fontId="32" fillId="0" borderId="0" xfId="0" applyFont="1" applyBorder="1"/>
    <xf numFmtId="175" fontId="33" fillId="0" borderId="0" xfId="0" applyNumberFormat="1" applyFont="1" applyFill="1" applyBorder="1"/>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35">
    <cellStyle name="Change in Formula" xfId="3" xr:uid="{00000000-0005-0000-0000-000000000000}"/>
    <cellStyle name="Comma" xfId="1" builtinId="3" customBuiltin="1"/>
    <cellStyle name="Comma [0]" xfId="2" builtinId="6" customBuiltin="1"/>
    <cellStyle name="Comma [0] 2" xfId="29" xr:uid="{40A2CFF6-94F2-4FF2-9973-9322E1F14F6D}"/>
    <cellStyle name="Comma [0] 3" xfId="24" xr:uid="{885B412C-829E-42FE-9A09-9F51ACD478F8}"/>
    <cellStyle name="Comma 2" xfId="28" xr:uid="{2793DE4A-378A-4684-A276-4CECC011DC43}"/>
    <cellStyle name="Comma 3" xfId="32" xr:uid="{680415E6-3164-48BF-B96F-47350C2B3A2D}"/>
    <cellStyle name="Comma 4" xfId="30" xr:uid="{29742B4C-759B-49E6-84BF-6FBF05435919}"/>
    <cellStyle name="Comma 5" xfId="33" xr:uid="{363421E7-0F98-4BD7-860C-FC331FDF6D89}"/>
    <cellStyle name="Comma 6" xfId="34" xr:uid="{4664FB38-C3A9-4B5A-A840-08E5F92A538A}"/>
    <cellStyle name="Comma 7" xfId="23" xr:uid="{24DD84ED-538F-4E34-B686-55D1B0483031}"/>
    <cellStyle name="Comma 8" xfId="27" xr:uid="{9DC13A50-7180-4EE1-AA2A-0994E762B4BD}"/>
    <cellStyle name="Comma 9" xfId="25" xr:uid="{8BAB019C-644A-468A-8247-DC671CD65BC0}"/>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Key Outputs 2" xfId="31" xr:uid="{89AD032A-7FD2-4CE9-93EE-CA2C2DED9CFE}"/>
    <cellStyle name="Key Outputs 3" xfId="26" xr:uid="{13D5E39E-23F2-47FF-A646-CB4039E54A67}"/>
    <cellStyle name="Links from other files (green) style" xfId="10" xr:uid="{00000000-0005-0000-0000-00000F000000}"/>
    <cellStyle name="Normal" xfId="0" builtinId="0" customBuiltin="1"/>
    <cellStyle name="Normal 2" xfId="22" xr:uid="{4225A961-A2BF-4279-BEED-96294C8038E6}"/>
    <cellStyle name="Normal 2 2" xfId="21" xr:uid="{FCC21B74-89FB-456F-AFD0-29BD3F2E22E9}"/>
    <cellStyle name="Percent" xfId="20" builtinId="5"/>
    <cellStyle name="Percent 2" xfId="18" xr:uid="{00000000-0005-0000-0000-000011000000}"/>
    <cellStyle name="Percent 2 2" xfId="19" xr:uid="{00000000-0005-0000-0000-000012000000}"/>
    <cellStyle name="QA" xfId="14" xr:uid="{00000000-0005-0000-0000-000013000000}"/>
  </cellStyles>
  <dxfs count="42">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8"/>
      </font>
    </dxf>
    <dxf>
      <font>
        <color theme="8"/>
      </font>
    </dxf>
    <dxf>
      <font>
        <color theme="8"/>
      </font>
    </dxf>
    <dxf>
      <font>
        <color theme="8"/>
      </font>
    </dxf>
    <dxf>
      <font>
        <b/>
        <i val="0"/>
        <color rgb="FFFF0000"/>
      </font>
    </dxf>
    <dxf>
      <font>
        <b/>
        <i val="0"/>
        <color rgb="FFFF0000"/>
      </font>
    </dxf>
    <dxf>
      <font>
        <color theme="8"/>
      </font>
    </dxf>
    <dxf>
      <font>
        <b/>
        <i val="0"/>
        <color rgb="FFFF0000"/>
      </font>
    </dxf>
    <dxf>
      <font>
        <color theme="8"/>
      </font>
    </dxf>
    <dxf>
      <font>
        <color theme="8"/>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FFFFCC"/>
      <color rgb="FF8FB8FB"/>
      <color rgb="FFFF9933"/>
      <color rgb="FFDDDDDD"/>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editAs="oneCell">
    <xdr:from>
      <xdr:col>40</xdr:col>
      <xdr:colOff>0</xdr:colOff>
      <xdr:row>69</xdr:row>
      <xdr:rowOff>0</xdr:rowOff>
    </xdr:from>
    <xdr:to>
      <xdr:col>56</xdr:col>
      <xdr:colOff>5450</xdr:colOff>
      <xdr:row>120</xdr:row>
      <xdr:rowOff>5212</xdr:rowOff>
    </xdr:to>
    <xdr:pic>
      <xdr:nvPicPr>
        <xdr:cNvPr id="4" name="Picture 3">
          <a:extLst>
            <a:ext uri="{FF2B5EF4-FFF2-40B4-BE49-F238E27FC236}">
              <a16:creationId xmlns:a16="http://schemas.microsoft.com/office/drawing/2014/main" id="{D1AFD109-5349-9B82-CCDC-72A249049DD9}"/>
            </a:ext>
          </a:extLst>
        </xdr:cNvPr>
        <xdr:cNvPicPr>
          <a:picLocks noChangeAspect="1"/>
        </xdr:cNvPicPr>
      </xdr:nvPicPr>
      <xdr:blipFill>
        <a:blip xmlns:r="http://schemas.openxmlformats.org/officeDocument/2006/relationships" r:embed="rId1"/>
        <a:stretch>
          <a:fillRect/>
        </a:stretch>
      </xdr:blipFill>
      <xdr:spPr>
        <a:xfrm>
          <a:off x="9471660" y="10454640"/>
          <a:ext cx="10132430" cy="7388992"/>
        </a:xfrm>
        <a:prstGeom prst="rect">
          <a:avLst/>
        </a:prstGeom>
      </xdr:spPr>
    </xdr:pic>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C133"/>
  <sheetViews>
    <sheetView showGridLines="0" zoomScaleNormal="100" workbookViewId="0"/>
  </sheetViews>
  <sheetFormatPr defaultColWidth="9.09765625" defaultRowHeight="11.5" x14ac:dyDescent="0.25"/>
  <cols>
    <col min="1" max="1" width="2.69921875" style="227" customWidth="1"/>
    <col min="2" max="3" width="2.69921875" style="7" customWidth="1"/>
    <col min="4" max="4" width="10.19921875" style="7" customWidth="1"/>
    <col min="5" max="5" width="139.69921875" style="7" customWidth="1"/>
    <col min="6" max="23" width="9.09765625" style="11"/>
    <col min="24" max="29" width="9.09765625" style="10"/>
    <col min="30" max="16384" width="9.09765625" style="7"/>
  </cols>
  <sheetData>
    <row r="1" spans="2:29" ht="12" customHeight="1" x14ac:dyDescent="0.25">
      <c r="B1" s="184"/>
      <c r="C1" s="184"/>
      <c r="D1" s="184"/>
      <c r="E1" s="10"/>
      <c r="J1" s="7"/>
      <c r="K1" s="7"/>
      <c r="L1" s="7"/>
      <c r="M1" s="7"/>
      <c r="N1" s="7"/>
      <c r="O1" s="7"/>
      <c r="P1" s="7"/>
      <c r="Q1" s="7"/>
      <c r="R1" s="7"/>
      <c r="S1" s="7"/>
      <c r="T1" s="7"/>
      <c r="U1" s="7"/>
      <c r="V1" s="7"/>
      <c r="W1" s="7"/>
      <c r="X1" s="7"/>
      <c r="Y1" s="7"/>
      <c r="Z1" s="7"/>
      <c r="AA1" s="7"/>
      <c r="AB1" s="7"/>
      <c r="AC1" s="7"/>
    </row>
    <row r="2" spans="2:29" ht="12" customHeight="1" x14ac:dyDescent="0.35">
      <c r="B2" s="10"/>
      <c r="D2" s="12"/>
      <c r="E2" s="12"/>
      <c r="J2" s="7"/>
      <c r="K2" s="7"/>
      <c r="L2" s="7"/>
      <c r="M2" s="7"/>
      <c r="N2" s="7"/>
      <c r="O2" s="7"/>
      <c r="P2" s="7"/>
      <c r="Q2" s="7"/>
      <c r="R2" s="7"/>
      <c r="S2" s="7"/>
      <c r="T2" s="7"/>
      <c r="U2" s="7"/>
      <c r="V2" s="7"/>
      <c r="W2" s="7"/>
      <c r="X2" s="7"/>
      <c r="Y2" s="7"/>
      <c r="Z2" s="7"/>
      <c r="AA2" s="7"/>
      <c r="AB2" s="7"/>
      <c r="AC2" s="7"/>
    </row>
    <row r="3" spans="2:29" ht="20.25" customHeight="1" x14ac:dyDescent="0.35">
      <c r="B3" s="10"/>
      <c r="C3" s="12" t="s">
        <v>196</v>
      </c>
      <c r="D3" s="13"/>
      <c r="E3" s="13"/>
      <c r="F3" s="14"/>
      <c r="G3" s="14"/>
      <c r="H3" s="14"/>
      <c r="I3" s="14"/>
      <c r="J3" s="7"/>
      <c r="K3" s="7"/>
      <c r="L3" s="7"/>
      <c r="M3" s="7"/>
      <c r="N3" s="7"/>
      <c r="O3" s="7"/>
      <c r="P3" s="7"/>
      <c r="Q3" s="7"/>
      <c r="R3" s="7"/>
      <c r="S3" s="7"/>
      <c r="T3" s="7"/>
      <c r="U3" s="7"/>
      <c r="V3" s="7"/>
      <c r="W3" s="7"/>
      <c r="X3" s="7"/>
      <c r="Y3" s="7"/>
      <c r="Z3" s="7"/>
      <c r="AA3" s="7"/>
      <c r="AB3" s="7"/>
      <c r="AC3" s="7"/>
    </row>
    <row r="4" spans="2:29" ht="12" customHeight="1" x14ac:dyDescent="0.25">
      <c r="B4" s="10"/>
      <c r="C4" s="13"/>
      <c r="D4" s="13"/>
      <c r="E4" s="13"/>
      <c r="F4" s="14"/>
      <c r="G4" s="14"/>
      <c r="H4" s="14"/>
      <c r="I4" s="14"/>
      <c r="J4" s="7"/>
      <c r="K4" s="7"/>
      <c r="L4" s="7"/>
      <c r="M4" s="7"/>
      <c r="N4" s="7"/>
      <c r="O4" s="7"/>
      <c r="P4" s="7"/>
      <c r="Q4" s="7"/>
      <c r="R4" s="7"/>
      <c r="S4" s="7"/>
      <c r="T4" s="7"/>
      <c r="U4" s="7"/>
      <c r="V4" s="7"/>
      <c r="W4" s="7"/>
      <c r="X4" s="7"/>
      <c r="Y4" s="7"/>
      <c r="Z4" s="7"/>
      <c r="AA4" s="7"/>
      <c r="AB4" s="7"/>
      <c r="AC4" s="7"/>
    </row>
    <row r="5" spans="2:29" x14ac:dyDescent="0.25">
      <c r="B5" s="10"/>
      <c r="C5" s="15" t="s">
        <v>1</v>
      </c>
      <c r="D5" s="15"/>
      <c r="E5" s="16" t="s">
        <v>77</v>
      </c>
      <c r="F5" s="17"/>
      <c r="G5" s="17"/>
      <c r="H5"/>
      <c r="I5" s="17"/>
      <c r="J5" s="7"/>
      <c r="K5" s="7"/>
      <c r="L5" s="7"/>
      <c r="M5" s="7"/>
      <c r="N5" s="7"/>
      <c r="O5" s="7"/>
      <c r="P5" s="7"/>
      <c r="Q5" s="7"/>
      <c r="R5" s="7"/>
      <c r="S5" s="7"/>
      <c r="T5" s="7"/>
      <c r="U5" s="7"/>
      <c r="V5" s="7"/>
      <c r="W5" s="7"/>
      <c r="X5" s="7"/>
      <c r="Y5" s="7"/>
      <c r="Z5" s="7"/>
      <c r="AA5" s="7"/>
      <c r="AB5" s="7"/>
      <c r="AC5" s="7"/>
    </row>
    <row r="6" spans="2:29" x14ac:dyDescent="0.25">
      <c r="B6" s="10"/>
      <c r="C6" s="11" t="s">
        <v>2</v>
      </c>
      <c r="D6" s="11"/>
      <c r="E6" s="87" t="s">
        <v>78</v>
      </c>
      <c r="F6" s="17"/>
      <c r="G6" s="17"/>
      <c r="H6"/>
      <c r="I6" s="17"/>
      <c r="J6" s="7"/>
      <c r="K6" s="7"/>
      <c r="L6" s="7"/>
      <c r="M6" s="7"/>
      <c r="N6" s="7"/>
      <c r="O6" s="7"/>
      <c r="P6" s="7"/>
      <c r="Q6" s="7"/>
      <c r="R6" s="7"/>
      <c r="S6" s="7"/>
      <c r="T6" s="7"/>
      <c r="U6" s="7"/>
      <c r="V6" s="7"/>
      <c r="W6" s="7"/>
      <c r="X6" s="7"/>
      <c r="Y6" s="7"/>
      <c r="Z6" s="7"/>
      <c r="AA6" s="7"/>
      <c r="AB6" s="7"/>
      <c r="AC6" s="7"/>
    </row>
    <row r="7" spans="2:29" x14ac:dyDescent="0.25">
      <c r="B7" s="10"/>
      <c r="D7" s="11"/>
      <c r="H7"/>
      <c r="J7" s="7"/>
      <c r="K7" s="7"/>
      <c r="L7" s="7"/>
      <c r="M7" s="7"/>
      <c r="N7" s="7"/>
      <c r="O7" s="7"/>
      <c r="P7" s="7"/>
      <c r="Q7" s="7"/>
      <c r="R7" s="7"/>
      <c r="S7" s="7"/>
      <c r="T7" s="7"/>
      <c r="U7" s="7"/>
      <c r="V7" s="7"/>
      <c r="W7" s="7"/>
      <c r="X7" s="7"/>
      <c r="Y7" s="7"/>
      <c r="Z7" s="7"/>
      <c r="AA7" s="7"/>
      <c r="AB7" s="7"/>
      <c r="AC7" s="7"/>
    </row>
    <row r="8" spans="2:29" ht="15.9" customHeight="1" x14ac:dyDescent="0.25">
      <c r="B8" s="10"/>
      <c r="C8" s="13"/>
      <c r="D8" s="13"/>
      <c r="E8" s="13"/>
      <c r="F8" s="14"/>
      <c r="G8" s="14"/>
      <c r="H8"/>
      <c r="J8" s="7"/>
      <c r="K8" s="7"/>
      <c r="L8" s="7"/>
      <c r="M8" s="7"/>
      <c r="N8" s="7"/>
      <c r="O8" s="7"/>
      <c r="P8" s="7"/>
      <c r="Q8" s="7"/>
      <c r="R8" s="7"/>
      <c r="S8" s="7"/>
      <c r="T8" s="7"/>
      <c r="U8" s="7"/>
      <c r="V8" s="7"/>
      <c r="W8" s="7"/>
      <c r="X8" s="7"/>
      <c r="Y8" s="7"/>
      <c r="Z8" s="7"/>
      <c r="AA8" s="7"/>
      <c r="AB8" s="7"/>
      <c r="AC8" s="7"/>
    </row>
    <row r="9" spans="2:29" x14ac:dyDescent="0.25">
      <c r="H9"/>
    </row>
    <row r="10" spans="2:29" ht="14" x14ac:dyDescent="0.3">
      <c r="B10" s="10"/>
      <c r="C10" s="18" t="s">
        <v>3</v>
      </c>
      <c r="D10" s="18"/>
      <c r="E10" s="19"/>
      <c r="F10" s="20"/>
      <c r="G10" s="20"/>
      <c r="H10"/>
      <c r="I10" s="20"/>
      <c r="J10" s="7"/>
      <c r="K10" s="7"/>
      <c r="L10" s="7"/>
      <c r="M10" s="7"/>
      <c r="N10" s="7"/>
      <c r="O10" s="7"/>
      <c r="P10" s="7"/>
      <c r="Q10" s="7"/>
      <c r="R10" s="7"/>
      <c r="S10" s="7"/>
      <c r="T10" s="7"/>
      <c r="U10" s="7"/>
      <c r="V10" s="7"/>
      <c r="W10" s="7"/>
      <c r="X10" s="7"/>
      <c r="Y10" s="7"/>
      <c r="Z10" s="7"/>
      <c r="AA10" s="7"/>
      <c r="AB10" s="7"/>
      <c r="AC10" s="7"/>
    </row>
    <row r="11" spans="2:29" x14ac:dyDescent="0.25">
      <c r="B11" s="10"/>
      <c r="C11" s="20"/>
      <c r="D11" s="20"/>
      <c r="E11" s="20"/>
      <c r="F11" s="20"/>
      <c r="G11" s="20"/>
      <c r="H11"/>
      <c r="I11" s="20"/>
      <c r="J11" s="7"/>
      <c r="K11" s="7"/>
      <c r="L11" s="7"/>
      <c r="M11" s="7"/>
      <c r="N11" s="7"/>
      <c r="O11" s="7"/>
      <c r="P11" s="7"/>
      <c r="Q11" s="7"/>
      <c r="R11" s="7"/>
      <c r="S11" s="7"/>
      <c r="T11" s="7"/>
      <c r="U11" s="7"/>
      <c r="V11" s="7"/>
      <c r="W11" s="7"/>
      <c r="X11" s="7"/>
      <c r="Y11" s="7"/>
      <c r="Z11" s="7"/>
      <c r="AA11" s="7"/>
      <c r="AB11" s="7"/>
      <c r="AC11" s="7"/>
    </row>
    <row r="12" spans="2:29" ht="27.15" customHeight="1" x14ac:dyDescent="0.25">
      <c r="B12" s="10"/>
      <c r="C12" s="360" t="s">
        <v>206</v>
      </c>
      <c r="D12" s="361"/>
      <c r="E12" s="361"/>
      <c r="F12" s="17"/>
      <c r="G12" s="17"/>
      <c r="H12"/>
      <c r="I12" s="17"/>
      <c r="J12" s="7"/>
      <c r="K12" s="7"/>
      <c r="L12" s="7"/>
      <c r="M12" s="7"/>
      <c r="N12" s="7"/>
      <c r="O12" s="7"/>
      <c r="P12" s="7"/>
      <c r="Q12" s="7"/>
      <c r="R12" s="7"/>
      <c r="S12" s="7"/>
      <c r="T12" s="7"/>
      <c r="U12" s="7"/>
      <c r="V12" s="7"/>
      <c r="W12" s="7"/>
      <c r="X12" s="7"/>
      <c r="Y12" s="7"/>
      <c r="Z12" s="7"/>
      <c r="AA12" s="7"/>
      <c r="AB12" s="7"/>
      <c r="AC12" s="7"/>
    </row>
    <row r="13" spans="2:29" s="247" customFormat="1" x14ac:dyDescent="0.25">
      <c r="B13" s="10"/>
      <c r="C13" s="245"/>
      <c r="D13" s="246"/>
      <c r="E13" s="246"/>
      <c r="F13" s="17"/>
      <c r="G13" s="17"/>
      <c r="H13"/>
      <c r="I13" s="17"/>
    </row>
    <row r="14" spans="2:29" s="247" customFormat="1" ht="35.4" customHeight="1" x14ac:dyDescent="0.25">
      <c r="B14" s="10"/>
      <c r="C14" s="360" t="s">
        <v>239</v>
      </c>
      <c r="D14" s="361"/>
      <c r="E14" s="361"/>
      <c r="F14" s="17"/>
      <c r="G14" s="17"/>
      <c r="H14"/>
      <c r="I14" s="17"/>
    </row>
    <row r="15" spans="2:29" ht="15" customHeight="1" x14ac:dyDescent="0.25">
      <c r="B15" s="10"/>
      <c r="C15" s="21"/>
      <c r="D15" s="21"/>
      <c r="E15" s="17"/>
      <c r="F15" s="17"/>
      <c r="G15" s="17"/>
      <c r="H15"/>
      <c r="I15" s="17"/>
      <c r="J15" s="7"/>
      <c r="K15" s="7"/>
      <c r="L15" s="7"/>
      <c r="M15" s="7"/>
      <c r="N15" s="7"/>
      <c r="O15" s="7"/>
      <c r="P15" s="7"/>
      <c r="Q15" s="7"/>
      <c r="R15" s="7"/>
      <c r="S15" s="7"/>
      <c r="T15" s="7"/>
      <c r="U15" s="7"/>
      <c r="V15" s="7"/>
      <c r="W15" s="7"/>
      <c r="X15" s="7"/>
      <c r="Y15" s="7"/>
      <c r="Z15" s="7"/>
      <c r="AA15" s="7"/>
      <c r="AB15" s="7"/>
      <c r="AC15" s="7"/>
    </row>
    <row r="16" spans="2:29" ht="15" customHeight="1" x14ac:dyDescent="0.3">
      <c r="B16" s="10"/>
      <c r="C16" s="18" t="s">
        <v>211</v>
      </c>
      <c r="D16" s="18"/>
      <c r="E16" s="22"/>
      <c r="F16" s="17"/>
      <c r="G16" s="17"/>
      <c r="H16"/>
      <c r="I16" s="17"/>
      <c r="J16" s="7"/>
      <c r="K16" s="7"/>
      <c r="L16" s="7"/>
      <c r="M16" s="7"/>
      <c r="N16" s="7"/>
      <c r="O16" s="7"/>
      <c r="P16" s="7"/>
      <c r="Q16" s="7"/>
      <c r="R16" s="7"/>
      <c r="S16" s="7"/>
      <c r="T16" s="7"/>
      <c r="U16" s="7"/>
      <c r="V16" s="7"/>
      <c r="W16" s="7"/>
      <c r="X16" s="7"/>
      <c r="Y16" s="7"/>
      <c r="Z16" s="7"/>
      <c r="AA16" s="7"/>
      <c r="AB16" s="7"/>
      <c r="AC16" s="7"/>
    </row>
    <row r="17" spans="1:29" ht="15" customHeight="1" x14ac:dyDescent="0.25">
      <c r="B17" s="10"/>
      <c r="C17" s="21"/>
      <c r="D17" s="21"/>
      <c r="E17" s="17"/>
      <c r="F17" s="17"/>
      <c r="G17" s="17"/>
      <c r="H17"/>
      <c r="I17" s="17"/>
      <c r="J17" s="7"/>
      <c r="K17" s="7"/>
      <c r="L17" s="7"/>
      <c r="M17" s="7"/>
      <c r="N17" s="7"/>
      <c r="O17" s="7"/>
      <c r="P17" s="7"/>
      <c r="Q17" s="7"/>
      <c r="R17" s="7"/>
      <c r="S17" s="7"/>
      <c r="T17" s="7"/>
      <c r="U17" s="7"/>
      <c r="V17" s="7"/>
      <c r="W17" s="7"/>
      <c r="X17" s="7"/>
      <c r="Y17" s="7"/>
      <c r="Z17" s="7"/>
      <c r="AA17" s="7"/>
      <c r="AB17" s="7"/>
      <c r="AC17" s="7"/>
    </row>
    <row r="18" spans="1:29" s="84" customFormat="1" ht="37.65" customHeight="1" x14ac:dyDescent="0.25">
      <c r="A18" s="227"/>
      <c r="B18" s="10"/>
      <c r="C18" s="360"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361"/>
      <c r="E18" s="361"/>
      <c r="F18" s="17"/>
      <c r="G18" s="17"/>
      <c r="H18"/>
      <c r="I18" s="17"/>
    </row>
    <row r="19" spans="1:29" s="84" customFormat="1" ht="6" customHeight="1" x14ac:dyDescent="0.25">
      <c r="A19" s="227"/>
      <c r="B19" s="10"/>
      <c r="C19" s="20"/>
      <c r="D19" s="21"/>
      <c r="E19" s="17"/>
      <c r="F19" s="17"/>
      <c r="G19" s="17"/>
      <c r="H19"/>
      <c r="I19" s="17"/>
    </row>
    <row r="20" spans="1:29" s="155" customFormat="1" ht="37.65" customHeight="1" x14ac:dyDescent="0.25">
      <c r="A20" s="227"/>
      <c r="B20" s="164"/>
      <c r="C20" s="360"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361"/>
      <c r="E20" s="361"/>
      <c r="F20" s="17"/>
      <c r="G20" s="17"/>
      <c r="H20"/>
      <c r="I20" s="17"/>
    </row>
    <row r="21" spans="1:29" s="237" customFormat="1" x14ac:dyDescent="0.25">
      <c r="B21" s="164"/>
      <c r="C21" s="234"/>
      <c r="D21" s="235"/>
      <c r="E21" s="235"/>
      <c r="F21" s="17"/>
      <c r="G21" s="17"/>
      <c r="H21"/>
      <c r="I21" s="17"/>
    </row>
    <row r="22" spans="1:29" s="237" customFormat="1" ht="14" x14ac:dyDescent="0.3">
      <c r="B22" s="164"/>
      <c r="C22" s="18" t="s">
        <v>212</v>
      </c>
      <c r="D22" s="18"/>
      <c r="E22" s="22"/>
      <c r="F22" s="17"/>
      <c r="G22" s="17"/>
      <c r="H22"/>
      <c r="I22" s="17"/>
    </row>
    <row r="23" spans="1:29" s="155" customFormat="1" x14ac:dyDescent="0.25">
      <c r="A23" s="227"/>
      <c r="B23" s="10"/>
      <c r="C23" s="154"/>
      <c r="D23" s="21"/>
      <c r="E23" s="17"/>
      <c r="F23" s="17"/>
      <c r="G23" s="17"/>
      <c r="H23"/>
      <c r="I23" s="17"/>
    </row>
    <row r="24" spans="1:29" s="155" customFormat="1" x14ac:dyDescent="0.25">
      <c r="A24" s="227"/>
      <c r="B24" s="10"/>
      <c r="C24" s="9" t="s">
        <v>216</v>
      </c>
      <c r="D24" s="21"/>
      <c r="E24" s="17"/>
      <c r="F24" s="17"/>
      <c r="G24" s="17"/>
      <c r="H24"/>
      <c r="I24" s="17"/>
    </row>
    <row r="25" spans="1:29" s="155" customFormat="1" ht="6" customHeight="1" x14ac:dyDescent="0.25">
      <c r="A25" s="227"/>
      <c r="B25" s="10"/>
      <c r="C25" s="154"/>
      <c r="D25" s="21"/>
      <c r="E25" s="17"/>
      <c r="F25" s="17"/>
      <c r="G25" s="17"/>
      <c r="H25"/>
      <c r="I25" s="17"/>
    </row>
    <row r="26" spans="1:29" s="84" customFormat="1" ht="15" customHeight="1" x14ac:dyDescent="0.25">
      <c r="A26" s="227"/>
      <c r="B26" s="10"/>
      <c r="C26" s="362" t="s">
        <v>79</v>
      </c>
      <c r="D26" s="363"/>
      <c r="E26" s="363"/>
      <c r="F26" s="17"/>
      <c r="G26" s="17"/>
      <c r="H26" s="17"/>
      <c r="I26" s="17"/>
    </row>
    <row r="27" spans="1:29" s="84" customFormat="1" ht="6" customHeight="1" x14ac:dyDescent="0.25">
      <c r="A27" s="227"/>
      <c r="B27" s="10"/>
      <c r="C27" s="20"/>
      <c r="D27" s="21"/>
      <c r="E27" s="17"/>
      <c r="F27" s="17"/>
      <c r="G27" s="17"/>
      <c r="H27" s="17"/>
      <c r="I27" s="17"/>
    </row>
    <row r="28" spans="1:29" s="84" customFormat="1" ht="15" customHeight="1" x14ac:dyDescent="0.25">
      <c r="A28" s="227"/>
      <c r="B28" s="10"/>
      <c r="C28" s="165" t="s">
        <v>101</v>
      </c>
      <c r="D28" s="88" t="str">
        <f ca="1">MID(CELL("filename",'General inputs'!$A$1),FIND("]",CELL("filename",'General inputs'!$A$1))+1,255)</f>
        <v>General inputs</v>
      </c>
      <c r="E28" s="17"/>
      <c r="F28" s="17"/>
      <c r="G28" s="17"/>
      <c r="H28" s="17"/>
      <c r="I28" s="17"/>
    </row>
    <row r="29" spans="1:29" s="84" customFormat="1" ht="15" customHeight="1" x14ac:dyDescent="0.25">
      <c r="A29" s="227"/>
      <c r="B29" s="10"/>
      <c r="C29" s="165" t="s">
        <v>101</v>
      </c>
      <c r="D29" s="17" t="str">
        <f ca="1">MID(CELL("filename",'Pre-1996 assets'!$A$1),FIND("]",CELL("filename",'Pre-1996 assets'!$A$1))+1,255)</f>
        <v>Pre-1996 assets</v>
      </c>
      <c r="E29" s="17"/>
      <c r="F29" s="17"/>
      <c r="G29" s="17"/>
      <c r="H29" s="17"/>
      <c r="I29" s="17"/>
    </row>
    <row r="30" spans="1:29" s="84" customFormat="1" ht="15" customHeight="1" x14ac:dyDescent="0.25">
      <c r="A30" s="227"/>
      <c r="B30" s="10"/>
      <c r="C30" s="165" t="s">
        <v>101</v>
      </c>
      <c r="D30" s="17" t="str">
        <f ca="1">MID(CELL("filename",'Post-1996 commissioned assets'!$A$1),FIND("]",CELL("filename",'Post-1996 commissioned assets'!$A$1))+1,255)</f>
        <v>Post-1996 commissioned assets</v>
      </c>
      <c r="E30" s="17"/>
      <c r="F30" s="17"/>
      <c r="G30" s="17"/>
      <c r="H30" s="17"/>
      <c r="I30" s="17"/>
    </row>
    <row r="31" spans="1:29" s="84" customFormat="1" ht="15" customHeight="1" x14ac:dyDescent="0.25">
      <c r="A31" s="227"/>
      <c r="B31" s="10"/>
      <c r="C31" s="165" t="s">
        <v>101</v>
      </c>
      <c r="D31" s="17" t="str">
        <f ca="1">MID(CELL("filename",'Uncommissioned assets'!$A$1),FIND("]",CELL("filename",'Uncommissioned assets'!$A$1))+1,255)</f>
        <v>Uncommissioned assets</v>
      </c>
      <c r="E31" s="17"/>
      <c r="F31" s="17"/>
      <c r="G31" s="17"/>
      <c r="H31" s="17"/>
      <c r="I31" s="17"/>
    </row>
    <row r="32" spans="1:29" s="84" customFormat="1" ht="15" customHeight="1" x14ac:dyDescent="0.25">
      <c r="A32" s="227"/>
      <c r="B32" s="10"/>
      <c r="C32" s="165" t="s">
        <v>101</v>
      </c>
      <c r="D32" s="17" t="str">
        <f ca="1">MID(CELL("filename",'ET inputs'!$A$1),FIND("]",CELL("filename",'ET inputs'!$A$1))+1,255)</f>
        <v>ET inputs</v>
      </c>
      <c r="E32" s="17"/>
      <c r="F32" s="17"/>
      <c r="G32" s="17"/>
      <c r="H32" s="17"/>
      <c r="I32" s="17"/>
    </row>
    <row r="33" spans="1:9" s="84" customFormat="1" ht="15" customHeight="1" x14ac:dyDescent="0.25">
      <c r="A33" s="227"/>
      <c r="B33" s="10"/>
      <c r="C33" s="20"/>
      <c r="D33" s="17"/>
      <c r="E33" s="17"/>
      <c r="F33" s="17"/>
      <c r="G33" s="17"/>
      <c r="H33" s="17"/>
      <c r="I33" s="17"/>
    </row>
    <row r="34" spans="1:9" s="84" customFormat="1" x14ac:dyDescent="0.25">
      <c r="A34" s="227"/>
      <c r="B34" s="10"/>
      <c r="C34" s="9" t="s">
        <v>68</v>
      </c>
      <c r="F34" s="17"/>
      <c r="G34" s="17"/>
      <c r="H34" s="17"/>
      <c r="I34" s="17"/>
    </row>
    <row r="35" spans="1:9" s="90" customFormat="1" ht="6" customHeight="1" x14ac:dyDescent="0.25">
      <c r="A35" s="227"/>
      <c r="B35" s="10"/>
      <c r="C35" s="89"/>
      <c r="D35" s="50"/>
      <c r="E35" s="50"/>
      <c r="F35" s="17"/>
      <c r="G35" s="17"/>
      <c r="H35" s="17"/>
      <c r="I35" s="17"/>
    </row>
    <row r="36" spans="1:9" s="84" customFormat="1" ht="15" customHeight="1" x14ac:dyDescent="0.25">
      <c r="A36" s="227"/>
      <c r="B36" s="10"/>
      <c r="C36" s="360" t="s">
        <v>102</v>
      </c>
      <c r="D36" s="361"/>
      <c r="E36" s="361"/>
      <c r="F36" s="17"/>
      <c r="G36" s="17"/>
      <c r="H36" s="17"/>
      <c r="I36" s="17"/>
    </row>
    <row r="37" spans="1:9" s="84" customFormat="1" ht="6" customHeight="1" x14ac:dyDescent="0.25">
      <c r="A37" s="227"/>
      <c r="B37" s="10"/>
      <c r="C37" s="154"/>
      <c r="D37" s="21"/>
      <c r="E37" s="17"/>
      <c r="F37" s="17"/>
      <c r="G37" s="17"/>
      <c r="H37" s="17"/>
      <c r="I37" s="17"/>
    </row>
    <row r="38" spans="1:9" s="84" customFormat="1" ht="15" customHeight="1" x14ac:dyDescent="0.25">
      <c r="A38" s="227"/>
      <c r="B38" s="10"/>
      <c r="C38" s="166" t="s">
        <v>101</v>
      </c>
      <c r="D38" s="17" t="str">
        <f ca="1">MID(CELL("filename",'Reduction amount'!$A$1),FIND("]",CELL("filename",'Reduction amount'!$A$1))+1,255)</f>
        <v>Reduction amount</v>
      </c>
      <c r="E38" s="17"/>
      <c r="F38" s="17"/>
      <c r="G38" s="17"/>
      <c r="H38" s="17"/>
      <c r="I38" s="17"/>
    </row>
    <row r="39" spans="1:9" s="84" customFormat="1" ht="6" customHeight="1" x14ac:dyDescent="0.25">
      <c r="A39" s="227"/>
      <c r="B39" s="10"/>
      <c r="C39" s="20"/>
      <c r="D39" s="21"/>
      <c r="E39" s="17"/>
      <c r="F39" s="17"/>
      <c r="G39" s="17"/>
      <c r="H39" s="17"/>
      <c r="I39" s="17"/>
    </row>
    <row r="40" spans="1:9" s="84" customFormat="1" ht="39" customHeight="1" x14ac:dyDescent="0.25">
      <c r="A40" s="227"/>
      <c r="B40" s="10"/>
      <c r="C40" s="360"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361"/>
      <c r="E40" s="361"/>
      <c r="F40" s="17"/>
      <c r="G40" s="17"/>
      <c r="H40" s="17"/>
      <c r="I40" s="17"/>
    </row>
    <row r="41" spans="1:9" s="84" customFormat="1" ht="6" customHeight="1" x14ac:dyDescent="0.25">
      <c r="A41" s="227"/>
      <c r="B41" s="10"/>
      <c r="C41" s="20"/>
      <c r="D41" s="17"/>
      <c r="E41" s="17"/>
      <c r="F41" s="17"/>
      <c r="G41" s="17"/>
      <c r="H41" s="17"/>
      <c r="I41" s="17"/>
    </row>
    <row r="42" spans="1:9" s="84" customFormat="1" ht="15" customHeight="1" x14ac:dyDescent="0.25">
      <c r="A42" s="227"/>
      <c r="B42" s="10"/>
      <c r="C42" s="154"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21"/>
      <c r="E42" s="17"/>
      <c r="F42" s="17"/>
      <c r="G42" s="17"/>
      <c r="H42" s="17"/>
      <c r="I42" s="17"/>
    </row>
    <row r="43" spans="1:9" s="155" customFormat="1" ht="15" customHeight="1" x14ac:dyDescent="0.25">
      <c r="A43" s="227"/>
      <c r="B43" s="10"/>
      <c r="C43" s="154"/>
      <c r="D43" s="21"/>
      <c r="E43" s="17"/>
      <c r="F43" s="17"/>
      <c r="G43" s="17"/>
      <c r="H43" s="17"/>
      <c r="I43" s="17"/>
    </row>
    <row r="44" spans="1:9" s="155" customFormat="1" ht="15" customHeight="1" x14ac:dyDescent="0.25">
      <c r="A44" s="227"/>
      <c r="B44" s="10"/>
      <c r="C44" s="9" t="s">
        <v>103</v>
      </c>
      <c r="D44" s="17"/>
      <c r="E44" s="17"/>
      <c r="F44" s="17"/>
      <c r="G44" s="17"/>
      <c r="H44" s="17"/>
      <c r="I44" s="17"/>
    </row>
    <row r="45" spans="1:9" s="155" customFormat="1" ht="6" customHeight="1" x14ac:dyDescent="0.25">
      <c r="A45" s="227"/>
      <c r="B45" s="10"/>
      <c r="C45" s="9"/>
      <c r="D45" s="17"/>
      <c r="E45" s="17"/>
      <c r="F45" s="17"/>
      <c r="G45" s="17"/>
      <c r="H45" s="17"/>
      <c r="I45" s="17"/>
    </row>
    <row r="46" spans="1:9" s="155" customFormat="1" ht="15" customHeight="1" x14ac:dyDescent="0.25">
      <c r="A46" s="227"/>
      <c r="B46" s="10"/>
      <c r="C46" s="360" t="s">
        <v>104</v>
      </c>
      <c r="D46" s="361"/>
      <c r="E46" s="361"/>
      <c r="F46" s="17"/>
      <c r="G46" s="17"/>
      <c r="H46" s="17"/>
      <c r="I46" s="17"/>
    </row>
    <row r="47" spans="1:9" s="155" customFormat="1" ht="6" customHeight="1" x14ac:dyDescent="0.25">
      <c r="A47" s="227"/>
      <c r="B47" s="10"/>
      <c r="C47" s="152"/>
      <c r="D47" s="153"/>
      <c r="E47" s="153"/>
      <c r="F47" s="17"/>
      <c r="G47" s="17"/>
      <c r="H47" s="17"/>
      <c r="I47" s="17"/>
    </row>
    <row r="48" spans="1:9" s="155" customFormat="1" ht="15" customHeight="1" x14ac:dyDescent="0.25">
      <c r="A48" s="227"/>
      <c r="B48" s="10"/>
      <c r="C48" s="166" t="s">
        <v>101</v>
      </c>
      <c r="D48" s="17" t="str">
        <f ca="1">MID(CELL("filename",'Headwork assets'!$A$1),FIND("]",CELL("filename",'Headwork assets'!$A$1))+1,255)</f>
        <v>Headwork assets</v>
      </c>
      <c r="E48" s="17"/>
      <c r="F48" s="17"/>
      <c r="G48" s="17"/>
      <c r="H48" s="17"/>
      <c r="I48" s="17"/>
    </row>
    <row r="49" spans="1:9" s="155" customFormat="1" ht="6" customHeight="1" x14ac:dyDescent="0.25">
      <c r="A49" s="227"/>
      <c r="B49" s="10"/>
      <c r="C49" s="166"/>
      <c r="D49" s="17"/>
      <c r="E49" s="17"/>
      <c r="F49" s="17"/>
      <c r="G49" s="17"/>
      <c r="H49" s="17"/>
      <c r="I49" s="17"/>
    </row>
    <row r="50" spans="1:9" s="155" customFormat="1" ht="15" customHeight="1" x14ac:dyDescent="0.25">
      <c r="A50" s="227"/>
      <c r="B50" s="10"/>
      <c r="C50" s="362" t="s">
        <v>105</v>
      </c>
      <c r="D50" s="363"/>
      <c r="E50" s="363"/>
      <c r="F50" s="17"/>
      <c r="G50" s="17"/>
      <c r="H50" s="17"/>
      <c r="I50" s="17"/>
    </row>
    <row r="51" spans="1:9" s="155" customFormat="1" ht="6" customHeight="1" x14ac:dyDescent="0.25">
      <c r="A51" s="227"/>
      <c r="B51" s="10"/>
      <c r="C51" s="154"/>
      <c r="F51" s="17"/>
      <c r="G51" s="17"/>
      <c r="H51" s="17"/>
      <c r="I51" s="17"/>
    </row>
    <row r="52" spans="1:9" s="155" customFormat="1" ht="24" customHeight="1" x14ac:dyDescent="0.25">
      <c r="A52" s="227"/>
      <c r="B52" s="10"/>
      <c r="C52" s="360" t="s">
        <v>84</v>
      </c>
      <c r="D52" s="361"/>
      <c r="E52" s="361"/>
      <c r="F52" s="17"/>
      <c r="G52" s="17"/>
      <c r="H52" s="17"/>
      <c r="I52" s="17"/>
    </row>
    <row r="53" spans="1:9" s="155" customFormat="1" ht="15" customHeight="1" x14ac:dyDescent="0.25">
      <c r="A53" s="227"/>
      <c r="B53" s="10"/>
      <c r="C53" s="152"/>
      <c r="D53" s="153"/>
      <c r="E53" s="153"/>
      <c r="F53" s="17"/>
      <c r="G53" s="17"/>
      <c r="H53" s="17"/>
      <c r="I53" s="17"/>
    </row>
    <row r="54" spans="1:9" s="155" customFormat="1" ht="15" customHeight="1" x14ac:dyDescent="0.25">
      <c r="A54" s="227"/>
      <c r="B54" s="10"/>
      <c r="C54" s="1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153"/>
      <c r="E54" s="153"/>
      <c r="F54" s="17"/>
      <c r="G54" s="17"/>
      <c r="H54" s="17"/>
      <c r="I54" s="17"/>
    </row>
    <row r="55" spans="1:9" s="155" customFormat="1" ht="15" customHeight="1" x14ac:dyDescent="0.25">
      <c r="A55" s="227"/>
      <c r="B55" s="10"/>
      <c r="C55" s="152"/>
      <c r="D55" s="153"/>
      <c r="E55" s="153"/>
      <c r="F55" s="17"/>
      <c r="G55" s="17"/>
      <c r="H55" s="17"/>
      <c r="I55" s="17"/>
    </row>
    <row r="56" spans="1:9" s="237" customFormat="1" ht="15" customHeight="1" x14ac:dyDescent="0.25">
      <c r="B56" s="10"/>
      <c r="C56" s="9" t="s">
        <v>213</v>
      </c>
      <c r="D56" s="17"/>
      <c r="E56" s="17"/>
      <c r="F56" s="17"/>
      <c r="G56" s="17"/>
      <c r="H56" s="17"/>
      <c r="I56" s="17"/>
    </row>
    <row r="57" spans="1:9" s="237" customFormat="1" ht="6" customHeight="1" x14ac:dyDescent="0.25">
      <c r="B57" s="10"/>
      <c r="C57" s="9"/>
      <c r="D57" s="17"/>
      <c r="E57" s="17"/>
      <c r="F57" s="17"/>
      <c r="G57" s="17"/>
      <c r="H57" s="17"/>
      <c r="I57" s="17"/>
    </row>
    <row r="58" spans="1:9" s="237" customFormat="1" ht="15" customHeight="1" x14ac:dyDescent="0.25">
      <c r="B58" s="10"/>
      <c r="C58" s="360" t="s">
        <v>214</v>
      </c>
      <c r="D58" s="361"/>
      <c r="E58" s="361"/>
      <c r="F58" s="17"/>
      <c r="G58" s="17"/>
      <c r="H58" s="17"/>
      <c r="I58" s="17"/>
    </row>
    <row r="59" spans="1:9" s="237" customFormat="1" ht="6" customHeight="1" x14ac:dyDescent="0.25">
      <c r="B59" s="10"/>
      <c r="C59" s="234"/>
      <c r="D59" s="235"/>
      <c r="E59" s="235"/>
      <c r="F59" s="17"/>
      <c r="G59" s="17"/>
      <c r="H59" s="17"/>
      <c r="I59" s="17"/>
    </row>
    <row r="60" spans="1:9" s="237" customFormat="1" ht="15" customHeight="1" x14ac:dyDescent="0.25">
      <c r="B60" s="10"/>
      <c r="C60" s="166" t="s">
        <v>101</v>
      </c>
      <c r="D60" s="17" t="str">
        <f ca="1">MID(CELL("filename",'Scheme cost allocation'!$A$1),FIND("]",CELL("filename",'Scheme cost allocation'!$A$1))+1,255)</f>
        <v>Scheme cost allocation</v>
      </c>
      <c r="E60" s="17"/>
      <c r="F60" s="17"/>
      <c r="G60" s="17"/>
      <c r="H60" s="17"/>
      <c r="I60" s="17"/>
    </row>
    <row r="61" spans="1:9" s="237" customFormat="1" ht="6" customHeight="1" x14ac:dyDescent="0.25">
      <c r="B61" s="10"/>
      <c r="C61" s="166"/>
      <c r="D61" s="17"/>
      <c r="E61" s="17"/>
      <c r="F61" s="17"/>
      <c r="G61" s="17"/>
      <c r="H61" s="17"/>
      <c r="I61" s="17"/>
    </row>
    <row r="62" spans="1:9" s="237" customFormat="1" ht="15" customHeight="1" x14ac:dyDescent="0.25">
      <c r="B62" s="10"/>
      <c r="C62" s="362" t="s">
        <v>215</v>
      </c>
      <c r="D62" s="363"/>
      <c r="E62" s="363"/>
      <c r="F62" s="17"/>
      <c r="G62" s="17"/>
      <c r="H62" s="17"/>
      <c r="I62" s="17"/>
    </row>
    <row r="63" spans="1:9" s="237" customFormat="1" ht="6" customHeight="1" x14ac:dyDescent="0.25">
      <c r="B63" s="10"/>
      <c r="C63" s="236"/>
      <c r="F63" s="17"/>
      <c r="G63" s="17"/>
      <c r="H63" s="17"/>
      <c r="I63" s="17"/>
    </row>
    <row r="64" spans="1:9" s="237" customFormat="1" ht="24" customHeight="1" x14ac:dyDescent="0.25">
      <c r="B64" s="10"/>
      <c r="C64" s="360" t="s">
        <v>84</v>
      </c>
      <c r="D64" s="361"/>
      <c r="E64" s="361"/>
      <c r="F64" s="17"/>
      <c r="G64" s="17"/>
      <c r="H64" s="17"/>
      <c r="I64" s="17"/>
    </row>
    <row r="65" spans="1:9" s="237" customFormat="1" ht="6" customHeight="1" x14ac:dyDescent="0.25">
      <c r="B65" s="10"/>
      <c r="C65" s="234"/>
      <c r="D65" s="235"/>
      <c r="E65" s="235"/>
      <c r="F65" s="17"/>
      <c r="G65" s="17"/>
      <c r="H65" s="17"/>
      <c r="I65" s="17"/>
    </row>
    <row r="66" spans="1:9" s="237" customFormat="1" ht="15" customHeight="1" x14ac:dyDescent="0.25">
      <c r="B66" s="10"/>
      <c r="C66" s="23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235"/>
      <c r="E66" s="235"/>
      <c r="F66" s="17"/>
      <c r="G66" s="17"/>
      <c r="H66" s="17"/>
      <c r="I66" s="17"/>
    </row>
    <row r="67" spans="1:9" s="237" customFormat="1" ht="15" customHeight="1" x14ac:dyDescent="0.25">
      <c r="B67" s="10"/>
      <c r="C67" s="234"/>
      <c r="D67" s="235"/>
      <c r="E67" s="235"/>
      <c r="F67" s="17"/>
      <c r="G67" s="17"/>
      <c r="H67" s="17"/>
      <c r="I67" s="17"/>
    </row>
    <row r="68" spans="1:9" s="155" customFormat="1" ht="15" customHeight="1" x14ac:dyDescent="0.25">
      <c r="A68" s="227"/>
      <c r="B68" s="10"/>
      <c r="C68" s="9" t="s">
        <v>192</v>
      </c>
      <c r="D68" s="9"/>
      <c r="E68" s="167"/>
      <c r="F68" s="17"/>
      <c r="G68" s="17"/>
      <c r="H68" s="17"/>
      <c r="I68" s="17"/>
    </row>
    <row r="69" spans="1:9" s="155" customFormat="1" ht="6" customHeight="1" x14ac:dyDescent="0.25">
      <c r="A69" s="227"/>
      <c r="B69" s="10"/>
      <c r="C69" s="9"/>
      <c r="D69" s="9"/>
      <c r="E69" s="167"/>
      <c r="F69" s="17"/>
      <c r="G69" s="17"/>
      <c r="H69" s="17"/>
      <c r="I69" s="17"/>
    </row>
    <row r="70" spans="1:9" s="155" customFormat="1" ht="15" customHeight="1" x14ac:dyDescent="0.25">
      <c r="A70" s="227"/>
      <c r="B70" s="10"/>
      <c r="C70" s="168" t="s">
        <v>193</v>
      </c>
      <c r="D70" s="9"/>
      <c r="E70" s="167"/>
      <c r="F70" s="17"/>
      <c r="G70" s="17"/>
      <c r="H70" s="17"/>
      <c r="I70" s="17"/>
    </row>
    <row r="71" spans="1:9" s="155" customFormat="1" ht="6" customHeight="1" x14ac:dyDescent="0.25">
      <c r="A71" s="227"/>
      <c r="B71" s="10"/>
      <c r="C71" s="168"/>
      <c r="D71" s="9"/>
      <c r="E71" s="167"/>
      <c r="F71" s="17"/>
      <c r="G71" s="17"/>
      <c r="H71" s="17"/>
      <c r="I71" s="17"/>
    </row>
    <row r="72" spans="1:9" s="84" customFormat="1" x14ac:dyDescent="0.25">
      <c r="A72" s="227"/>
      <c r="B72" s="10"/>
      <c r="C72" s="166" t="s">
        <v>101</v>
      </c>
      <c r="D72" s="88" t="str">
        <f ca="1">MID(CELL("filename",'MP Calculations'!A8),FIND("]",CELL("filename",'MP Calculations'!A8))+1,255)</f>
        <v>MP Calculations</v>
      </c>
      <c r="E72" s="167"/>
      <c r="F72" s="17"/>
      <c r="G72" s="17"/>
      <c r="H72" s="17"/>
      <c r="I72" s="17"/>
    </row>
    <row r="73" spans="1:9" s="84" customFormat="1" x14ac:dyDescent="0.25">
      <c r="A73" s="227"/>
      <c r="B73" s="10"/>
      <c r="C73" s="166" t="s">
        <v>101</v>
      </c>
      <c r="D73" s="88" t="str">
        <f ca="1">MID(CELL("filename",'Summary of result'!A11),FIND("]",CELL("filename",'Summary of result'!A11))+1,255)</f>
        <v>Summary of result</v>
      </c>
      <c r="E73" s="167"/>
      <c r="F73" s="17"/>
      <c r="G73" s="17"/>
      <c r="H73" s="17"/>
      <c r="I73" s="17"/>
    </row>
    <row r="74" spans="1:9" s="155" customFormat="1" ht="6" customHeight="1" x14ac:dyDescent="0.25">
      <c r="A74" s="227"/>
      <c r="B74" s="10"/>
      <c r="C74" s="166"/>
      <c r="D74" s="88"/>
      <c r="E74" s="167"/>
      <c r="F74" s="17"/>
      <c r="G74" s="17"/>
      <c r="H74" s="17"/>
      <c r="I74" s="17"/>
    </row>
    <row r="75" spans="1:9" s="90" customFormat="1" x14ac:dyDescent="0.25">
      <c r="A75" s="227"/>
      <c r="B75" s="10"/>
      <c r="C75" s="360" t="s">
        <v>197</v>
      </c>
      <c r="D75" s="361"/>
      <c r="E75" s="361"/>
      <c r="F75" s="17"/>
      <c r="G75" s="17"/>
      <c r="H75" s="17"/>
      <c r="I75" s="17"/>
    </row>
    <row r="76" spans="1:9" s="84" customFormat="1" ht="15" customHeight="1" x14ac:dyDescent="0.25">
      <c r="A76" s="227"/>
      <c r="B76" s="10"/>
      <c r="C76" s="154"/>
      <c r="D76" s="21"/>
      <c r="E76" s="17"/>
      <c r="F76" s="17"/>
      <c r="G76" s="17"/>
      <c r="H76" s="17"/>
      <c r="I76" s="17"/>
    </row>
    <row r="77" spans="1:9" s="155" customFormat="1" ht="15" customHeight="1" x14ac:dyDescent="0.25">
      <c r="A77" s="227"/>
      <c r="B77" s="10"/>
      <c r="C77" s="9" t="s">
        <v>106</v>
      </c>
      <c r="D77" s="21"/>
      <c r="E77" s="17"/>
      <c r="F77" s="17"/>
      <c r="G77" s="17"/>
      <c r="H77" s="17"/>
      <c r="I77" s="17"/>
    </row>
    <row r="78" spans="1:9" s="155" customFormat="1" ht="6" customHeight="1" x14ac:dyDescent="0.25">
      <c r="A78" s="227"/>
      <c r="B78" s="10"/>
      <c r="C78" s="154"/>
      <c r="D78" s="21"/>
      <c r="E78" s="17"/>
      <c r="F78" s="17"/>
      <c r="G78" s="17"/>
      <c r="H78" s="17"/>
      <c r="I78" s="17"/>
    </row>
    <row r="79" spans="1:9" s="155" customFormat="1" ht="15" customHeight="1" x14ac:dyDescent="0.25">
      <c r="A79" s="227"/>
      <c r="B79" s="10"/>
      <c r="C79" s="17" t="s">
        <v>107</v>
      </c>
      <c r="D79" s="21"/>
      <c r="E79" s="17"/>
      <c r="F79" s="17"/>
      <c r="G79" s="17"/>
      <c r="H79" s="17"/>
      <c r="I79" s="17"/>
    </row>
    <row r="80" spans="1:9" s="155" customFormat="1" ht="6" customHeight="1" x14ac:dyDescent="0.25">
      <c r="A80" s="227"/>
      <c r="B80" s="10"/>
      <c r="C80" s="17"/>
      <c r="D80" s="21"/>
      <c r="E80" s="17"/>
      <c r="F80" s="17"/>
      <c r="G80" s="17"/>
      <c r="H80" s="17"/>
      <c r="I80" s="17"/>
    </row>
    <row r="81" spans="1:29" s="84" customFormat="1" ht="15" customHeight="1" x14ac:dyDescent="0.25">
      <c r="A81" s="227"/>
      <c r="B81" s="10"/>
      <c r="C81" s="166" t="s">
        <v>101</v>
      </c>
      <c r="D81" s="88" t="str">
        <f ca="1">MID(CELL("filename",'Asset exclusions'!A14),FIND("]",CELL("filename",'Asset exclusions'!A14))+1,255)</f>
        <v>Asset exclusions</v>
      </c>
      <c r="E81" s="17"/>
      <c r="F81" s="17"/>
      <c r="G81" s="17"/>
      <c r="H81" s="17"/>
      <c r="I81" s="17"/>
    </row>
    <row r="82" spans="1:29" s="84" customFormat="1" ht="15" customHeight="1" x14ac:dyDescent="0.25">
      <c r="A82" s="227"/>
      <c r="B82" s="10"/>
      <c r="C82" s="21"/>
      <c r="D82" s="21"/>
      <c r="E82" s="17"/>
      <c r="F82" s="17"/>
      <c r="G82" s="17"/>
      <c r="H82" s="17"/>
      <c r="I82" s="17"/>
    </row>
    <row r="83" spans="1:29" s="170" customFormat="1" ht="15" customHeight="1" x14ac:dyDescent="0.25">
      <c r="A83" s="227"/>
      <c r="B83" s="10"/>
      <c r="C83" s="167" t="s">
        <v>194</v>
      </c>
      <c r="D83" s="21"/>
      <c r="E83" s="17"/>
      <c r="F83" s="17"/>
      <c r="G83" s="17"/>
      <c r="H83" s="17"/>
      <c r="I83" s="17"/>
    </row>
    <row r="84" spans="1:29" s="170" customFormat="1" ht="15" customHeight="1" x14ac:dyDescent="0.25">
      <c r="A84" s="227"/>
      <c r="B84" s="10"/>
      <c r="C84" s="166" t="s">
        <v>101</v>
      </c>
      <c r="D84" s="172" t="s">
        <v>113</v>
      </c>
      <c r="F84" s="17"/>
      <c r="G84" s="17"/>
      <c r="H84" s="17"/>
      <c r="I84" s="17"/>
    </row>
    <row r="85" spans="1:29" s="247" customFormat="1" ht="15" customHeight="1" x14ac:dyDescent="0.25">
      <c r="B85" s="10"/>
      <c r="C85" s="166" t="s">
        <v>101</v>
      </c>
      <c r="D85" s="248" t="s">
        <v>234</v>
      </c>
      <c r="F85" s="17"/>
      <c r="G85" s="17"/>
      <c r="H85" s="17"/>
      <c r="I85" s="17"/>
    </row>
    <row r="86" spans="1:29" s="247" customFormat="1" ht="15" customHeight="1" x14ac:dyDescent="0.25">
      <c r="B86" s="10"/>
      <c r="C86" s="166"/>
      <c r="D86" s="248"/>
      <c r="F86" s="17"/>
      <c r="G86" s="17"/>
      <c r="H86" s="17"/>
      <c r="I86" s="17"/>
    </row>
    <row r="87" spans="1:29" s="247" customFormat="1" ht="15" customHeight="1" x14ac:dyDescent="0.25">
      <c r="B87" s="10"/>
      <c r="C87" s="17" t="s">
        <v>240</v>
      </c>
      <c r="D87" s="248"/>
      <c r="F87" s="17"/>
      <c r="G87" s="17"/>
      <c r="H87" s="17"/>
      <c r="I87" s="17"/>
    </row>
    <row r="88" spans="1:29" s="247" customFormat="1" ht="15" customHeight="1" x14ac:dyDescent="0.25">
      <c r="B88" s="10"/>
      <c r="C88" s="17"/>
      <c r="D88" s="248"/>
      <c r="F88" s="17"/>
      <c r="G88" s="17"/>
      <c r="H88" s="17"/>
      <c r="I88" s="17"/>
    </row>
    <row r="89" spans="1:29" ht="15" customHeight="1" x14ac:dyDescent="0.25">
      <c r="B89" s="10"/>
      <c r="C89" s="21"/>
      <c r="D89" s="21"/>
      <c r="E89" s="17"/>
      <c r="F89" s="17"/>
      <c r="G89" s="17"/>
      <c r="H89" s="17"/>
      <c r="I89" s="17"/>
      <c r="J89" s="7"/>
      <c r="K89" s="7"/>
      <c r="L89" s="7"/>
      <c r="M89" s="7"/>
      <c r="N89" s="7"/>
      <c r="O89" s="7"/>
      <c r="P89" s="7"/>
      <c r="Q89" s="7"/>
      <c r="R89" s="7"/>
      <c r="S89" s="7"/>
      <c r="T89" s="7"/>
      <c r="U89" s="7"/>
      <c r="V89" s="7"/>
      <c r="W89" s="7"/>
      <c r="X89" s="7"/>
      <c r="Y89" s="7"/>
      <c r="Z89" s="7"/>
      <c r="AA89" s="7"/>
      <c r="AB89" s="7"/>
      <c r="AC89" s="7"/>
    </row>
    <row r="90" spans="1:29" ht="15" customHeight="1" x14ac:dyDescent="0.3">
      <c r="B90" s="10"/>
      <c r="C90" s="18" t="s">
        <v>4</v>
      </c>
      <c r="D90" s="18"/>
      <c r="E90" s="22"/>
      <c r="F90" s="17"/>
      <c r="G90" s="17"/>
      <c r="H90" s="17"/>
      <c r="I90" s="17"/>
      <c r="J90" s="7"/>
      <c r="K90" s="7"/>
      <c r="L90" s="7"/>
      <c r="M90" s="7"/>
      <c r="N90" s="7"/>
      <c r="O90" s="7"/>
      <c r="P90" s="7"/>
      <c r="Q90" s="7"/>
      <c r="R90" s="7"/>
      <c r="S90" s="7"/>
      <c r="T90" s="7"/>
      <c r="U90" s="7"/>
      <c r="V90" s="7"/>
      <c r="W90" s="7"/>
      <c r="X90" s="7"/>
      <c r="Y90" s="7"/>
      <c r="Z90" s="7"/>
      <c r="AA90" s="7"/>
      <c r="AB90" s="7"/>
      <c r="AC90" s="7"/>
    </row>
    <row r="91" spans="1:29" ht="15" customHeight="1" x14ac:dyDescent="0.25">
      <c r="B91" s="10"/>
      <c r="C91" s="23" t="s">
        <v>5</v>
      </c>
      <c r="D91" s="23"/>
      <c r="E91" s="17"/>
      <c r="F91" s="17"/>
      <c r="G91" s="17"/>
      <c r="H91" s="17"/>
      <c r="I91" s="17"/>
      <c r="J91" s="7"/>
      <c r="K91" s="7"/>
      <c r="L91" s="7"/>
      <c r="M91" s="7"/>
      <c r="N91" s="7"/>
      <c r="O91" s="7"/>
      <c r="P91" s="7"/>
      <c r="Q91" s="7"/>
      <c r="R91" s="7"/>
      <c r="S91" s="7"/>
      <c r="T91" s="7"/>
      <c r="U91" s="7"/>
      <c r="V91" s="7"/>
      <c r="W91" s="7"/>
      <c r="X91" s="7"/>
      <c r="Y91" s="7"/>
      <c r="Z91" s="7"/>
      <c r="AA91" s="7"/>
      <c r="AB91" s="7"/>
      <c r="AC91" s="7"/>
    </row>
    <row r="92" spans="1:29" ht="15" customHeight="1" x14ac:dyDescent="0.25">
      <c r="B92" s="10"/>
      <c r="C92" s="24" t="s">
        <v>6</v>
      </c>
      <c r="D92" s="24"/>
      <c r="E92" s="24"/>
      <c r="F92" s="17"/>
      <c r="G92" s="17"/>
      <c r="H92" s="17"/>
      <c r="I92" s="17"/>
      <c r="J92" s="7"/>
      <c r="K92" s="7"/>
      <c r="L92" s="7"/>
      <c r="M92" s="7"/>
      <c r="N92" s="7"/>
      <c r="O92" s="7"/>
      <c r="P92" s="7"/>
      <c r="Q92" s="7"/>
      <c r="R92" s="7"/>
      <c r="S92" s="7"/>
      <c r="T92" s="7"/>
      <c r="U92" s="7"/>
      <c r="V92" s="7"/>
      <c r="W92" s="7"/>
      <c r="X92" s="7"/>
      <c r="Y92" s="7"/>
      <c r="Z92" s="7"/>
      <c r="AA92" s="7"/>
      <c r="AB92" s="7"/>
      <c r="AC92" s="7"/>
    </row>
    <row r="93" spans="1:29" ht="15" customHeight="1" x14ac:dyDescent="0.25">
      <c r="B93" s="10"/>
      <c r="C93" s="4" t="s">
        <v>7</v>
      </c>
      <c r="D93" s="25"/>
      <c r="E93" s="25"/>
      <c r="F93" s="17"/>
      <c r="G93" s="17"/>
      <c r="H93" s="17"/>
      <c r="I93" s="17"/>
      <c r="J93" s="7"/>
      <c r="K93" s="7"/>
      <c r="L93" s="7"/>
      <c r="M93" s="7"/>
      <c r="N93" s="7"/>
      <c r="O93" s="7"/>
      <c r="P93" s="7"/>
      <c r="Q93" s="7"/>
      <c r="R93" s="7"/>
      <c r="S93" s="7"/>
      <c r="T93" s="7"/>
      <c r="U93" s="7"/>
      <c r="V93" s="7"/>
      <c r="W93" s="7"/>
      <c r="X93" s="7"/>
      <c r="Y93" s="7"/>
      <c r="Z93" s="7"/>
      <c r="AA93" s="7"/>
      <c r="AB93" s="7"/>
      <c r="AC93" s="7"/>
    </row>
    <row r="94" spans="1:29" ht="15" customHeight="1" x14ac:dyDescent="0.3">
      <c r="B94" s="10"/>
      <c r="C94" s="5"/>
      <c r="D94" s="5"/>
      <c r="E94" s="5" t="s">
        <v>8</v>
      </c>
      <c r="F94" s="17"/>
      <c r="G94" s="17"/>
      <c r="H94" s="17"/>
      <c r="I94" s="17"/>
      <c r="J94" s="7"/>
      <c r="K94" s="7"/>
      <c r="L94" s="7"/>
      <c r="M94" s="7"/>
      <c r="N94" s="7"/>
      <c r="O94" s="7"/>
      <c r="P94" s="7"/>
      <c r="Q94" s="7"/>
      <c r="R94" s="7"/>
      <c r="S94" s="7"/>
      <c r="T94" s="7"/>
      <c r="U94" s="7"/>
      <c r="V94" s="7"/>
      <c r="W94" s="7"/>
      <c r="X94" s="7"/>
      <c r="Y94" s="7"/>
      <c r="Z94" s="7"/>
      <c r="AA94" s="7"/>
      <c r="AB94" s="7"/>
      <c r="AC94" s="7"/>
    </row>
    <row r="95" spans="1:29" s="145" customFormat="1" ht="15" customHeight="1" x14ac:dyDescent="0.25">
      <c r="A95" s="227"/>
      <c r="B95" s="10"/>
      <c r="C95" s="149" t="s">
        <v>99</v>
      </c>
      <c r="D95" s="150"/>
      <c r="E95" s="150"/>
      <c r="F95" s="17"/>
      <c r="G95" s="17"/>
      <c r="H95" s="17"/>
      <c r="I95" s="17"/>
    </row>
    <row r="96" spans="1:29" ht="15" customHeight="1" x14ac:dyDescent="0.25">
      <c r="B96" s="10"/>
      <c r="C96" s="26" t="s">
        <v>9</v>
      </c>
      <c r="D96" s="26"/>
      <c r="E96" s="26"/>
      <c r="F96" s="17"/>
      <c r="G96" s="17"/>
      <c r="H96" s="17"/>
      <c r="I96" s="17"/>
      <c r="J96" s="7"/>
      <c r="K96" s="7"/>
      <c r="L96" s="7"/>
      <c r="M96" s="7"/>
      <c r="N96" s="7"/>
      <c r="O96" s="7"/>
      <c r="P96" s="7"/>
      <c r="Q96" s="7"/>
      <c r="R96" s="7"/>
      <c r="S96" s="7"/>
      <c r="T96" s="7"/>
      <c r="U96" s="7"/>
      <c r="V96" s="7"/>
      <c r="W96" s="7"/>
      <c r="X96" s="7"/>
      <c r="Y96" s="7"/>
      <c r="Z96" s="7"/>
      <c r="AA96" s="7"/>
      <c r="AB96" s="7"/>
      <c r="AC96" s="7"/>
    </row>
    <row r="97" spans="2:29" ht="15" customHeight="1" x14ac:dyDescent="0.25">
      <c r="B97" s="10"/>
      <c r="C97" s="27" t="s">
        <v>0</v>
      </c>
      <c r="D97" s="27"/>
      <c r="E97" s="27"/>
      <c r="F97" s="17"/>
      <c r="G97" s="17"/>
      <c r="H97" s="17"/>
      <c r="I97" s="17"/>
      <c r="J97" s="7"/>
      <c r="K97" s="7"/>
      <c r="L97" s="7"/>
      <c r="M97" s="7"/>
      <c r="N97" s="7"/>
      <c r="O97" s="7"/>
      <c r="P97" s="7"/>
      <c r="Q97" s="7"/>
      <c r="R97" s="7"/>
      <c r="S97" s="7"/>
      <c r="T97" s="7"/>
      <c r="U97" s="7"/>
      <c r="V97" s="7"/>
      <c r="W97" s="7"/>
      <c r="X97" s="7"/>
      <c r="Y97" s="7"/>
      <c r="Z97" s="7"/>
      <c r="AA97" s="7"/>
      <c r="AB97" s="7"/>
      <c r="AC97" s="7"/>
    </row>
    <row r="98" spans="2:29" ht="15" customHeight="1" x14ac:dyDescent="0.25">
      <c r="B98" s="10"/>
      <c r="C98" s="28" t="s">
        <v>10</v>
      </c>
      <c r="D98" s="28"/>
      <c r="E98" s="29"/>
      <c r="F98" s="17"/>
      <c r="G98" s="17"/>
      <c r="H98" s="17"/>
      <c r="I98" s="17"/>
      <c r="J98" s="7"/>
      <c r="K98" s="7"/>
      <c r="L98" s="7"/>
      <c r="M98" s="7"/>
      <c r="N98" s="7"/>
      <c r="O98" s="7"/>
      <c r="P98" s="7"/>
      <c r="Q98" s="7"/>
      <c r="R98" s="7"/>
      <c r="S98" s="7"/>
      <c r="T98" s="7"/>
      <c r="U98" s="7"/>
      <c r="V98" s="7"/>
      <c r="W98" s="7"/>
      <c r="X98" s="7"/>
      <c r="Y98" s="7"/>
      <c r="Z98" s="7"/>
      <c r="AA98" s="7"/>
      <c r="AB98" s="7"/>
      <c r="AC98" s="7"/>
    </row>
    <row r="99" spans="2:29" ht="15" customHeight="1" x14ac:dyDescent="0.25">
      <c r="B99" s="10"/>
      <c r="C99" s="30" t="s">
        <v>11</v>
      </c>
      <c r="D99" s="30"/>
      <c r="E99" s="31"/>
      <c r="F99" s="17"/>
      <c r="G99" s="17"/>
      <c r="H99" s="17"/>
      <c r="I99" s="17"/>
      <c r="J99" s="7"/>
      <c r="K99" s="7"/>
      <c r="L99" s="7"/>
      <c r="M99" s="7"/>
      <c r="N99" s="7"/>
      <c r="O99" s="7"/>
      <c r="P99" s="7"/>
      <c r="Q99" s="7"/>
      <c r="R99" s="7"/>
      <c r="S99" s="7"/>
      <c r="T99" s="7"/>
      <c r="U99" s="7"/>
      <c r="V99" s="7"/>
      <c r="W99" s="7"/>
      <c r="X99" s="7"/>
      <c r="Y99" s="7"/>
      <c r="Z99" s="7"/>
      <c r="AA99" s="7"/>
      <c r="AB99" s="7"/>
      <c r="AC99" s="7"/>
    </row>
    <row r="100" spans="2:29" ht="15" customHeight="1" x14ac:dyDescent="0.25">
      <c r="B100" s="10"/>
      <c r="C100" s="32" t="s">
        <v>80</v>
      </c>
      <c r="D100" s="33"/>
      <c r="E100" s="33"/>
      <c r="F100" s="17"/>
      <c r="G100" s="17"/>
      <c r="H100" s="17"/>
      <c r="I100" s="17"/>
      <c r="J100" s="7"/>
      <c r="K100" s="7"/>
      <c r="L100" s="7"/>
      <c r="M100" s="7"/>
      <c r="N100" s="7"/>
      <c r="O100" s="7"/>
      <c r="P100" s="7"/>
      <c r="Q100" s="7"/>
      <c r="R100" s="7"/>
      <c r="S100" s="7"/>
      <c r="T100" s="7"/>
      <c r="U100" s="7"/>
      <c r="V100" s="7"/>
      <c r="W100" s="7"/>
      <c r="X100" s="7"/>
      <c r="Y100" s="7"/>
      <c r="Z100" s="7"/>
      <c r="AA100" s="7"/>
      <c r="AB100" s="7"/>
      <c r="AC100" s="7"/>
    </row>
    <row r="101" spans="2:29" ht="15" customHeight="1" x14ac:dyDescent="0.25">
      <c r="B101" s="10"/>
      <c r="C101" s="21"/>
      <c r="D101" s="21"/>
      <c r="E101" s="17"/>
      <c r="F101" s="17"/>
      <c r="G101" s="17"/>
      <c r="H101" s="17"/>
      <c r="I101" s="17"/>
      <c r="J101" s="7"/>
      <c r="K101" s="7"/>
      <c r="L101" s="7"/>
      <c r="M101" s="7"/>
      <c r="N101" s="7"/>
      <c r="O101" s="7"/>
      <c r="P101" s="7"/>
      <c r="Q101" s="7"/>
      <c r="R101" s="7"/>
      <c r="S101" s="7"/>
      <c r="T101" s="7"/>
      <c r="U101" s="7"/>
      <c r="V101" s="7"/>
      <c r="W101" s="7"/>
      <c r="X101" s="7"/>
      <c r="Y101" s="7"/>
      <c r="Z101" s="7"/>
      <c r="AA101" s="7"/>
      <c r="AB101" s="7"/>
      <c r="AC101" s="7"/>
    </row>
    <row r="102" spans="2:29" x14ac:dyDescent="0.25">
      <c r="B102" s="10"/>
      <c r="C102" s="21"/>
      <c r="D102" s="21"/>
      <c r="E102" s="17"/>
      <c r="F102" s="17"/>
      <c r="G102" s="17"/>
      <c r="H102" s="17"/>
      <c r="I102" s="17"/>
      <c r="J102" s="7"/>
      <c r="K102" s="7"/>
      <c r="L102" s="7"/>
      <c r="M102" s="7"/>
      <c r="N102" s="7"/>
      <c r="O102" s="7"/>
      <c r="P102" s="7"/>
      <c r="Q102" s="7"/>
      <c r="R102" s="7"/>
      <c r="S102" s="7"/>
      <c r="T102" s="7"/>
      <c r="U102" s="7"/>
      <c r="V102" s="7"/>
      <c r="W102" s="7"/>
      <c r="X102" s="7"/>
      <c r="Y102" s="7"/>
      <c r="Z102" s="7"/>
      <c r="AA102" s="7"/>
      <c r="AB102" s="7"/>
      <c r="AC102" s="7"/>
    </row>
    <row r="106" spans="2:29" x14ac:dyDescent="0.25">
      <c r="B106" s="10"/>
      <c r="C106" s="11"/>
      <c r="D106" s="11"/>
      <c r="E106" s="11"/>
      <c r="J106" s="7"/>
      <c r="K106" s="7"/>
      <c r="L106" s="7"/>
      <c r="M106" s="7"/>
      <c r="N106" s="7"/>
      <c r="O106" s="7"/>
      <c r="P106" s="7"/>
      <c r="Q106" s="7"/>
      <c r="R106" s="7"/>
      <c r="S106" s="7"/>
      <c r="T106" s="7"/>
      <c r="U106" s="7"/>
      <c r="V106" s="7"/>
      <c r="W106" s="7"/>
      <c r="X106" s="7"/>
      <c r="Y106" s="7"/>
      <c r="Z106" s="7"/>
      <c r="AA106" s="7"/>
      <c r="AB106" s="7"/>
      <c r="AC106" s="7"/>
    </row>
    <row r="107" spans="2:29" x14ac:dyDescent="0.25">
      <c r="C107" s="8"/>
      <c r="D107" s="8"/>
      <c r="E107" s="8"/>
      <c r="J107" s="7"/>
      <c r="K107" s="7"/>
      <c r="L107" s="7"/>
      <c r="M107" s="7"/>
      <c r="N107" s="7"/>
      <c r="O107" s="7"/>
      <c r="P107" s="7"/>
      <c r="Q107" s="7"/>
      <c r="R107" s="7"/>
      <c r="S107" s="7"/>
      <c r="T107" s="7"/>
      <c r="U107" s="7"/>
      <c r="V107" s="7"/>
      <c r="W107" s="7"/>
      <c r="X107" s="7"/>
      <c r="Y107" s="7"/>
      <c r="Z107" s="7"/>
      <c r="AA107" s="7"/>
      <c r="AB107" s="7"/>
      <c r="AC107" s="7"/>
    </row>
    <row r="108" spans="2:29" x14ac:dyDescent="0.25">
      <c r="C108" s="8"/>
      <c r="D108" s="8"/>
      <c r="E108" s="8"/>
      <c r="J108" s="7"/>
      <c r="K108" s="7"/>
      <c r="L108" s="7"/>
      <c r="M108" s="7"/>
      <c r="N108" s="7"/>
      <c r="O108" s="7"/>
      <c r="P108" s="7"/>
      <c r="Q108" s="7"/>
      <c r="R108" s="7"/>
      <c r="S108" s="7"/>
      <c r="T108" s="7"/>
      <c r="U108" s="7"/>
      <c r="V108" s="7"/>
      <c r="W108" s="7"/>
      <c r="X108" s="7"/>
      <c r="Y108" s="7"/>
      <c r="Z108" s="7"/>
      <c r="AA108" s="7"/>
      <c r="AB108" s="7"/>
      <c r="AC108" s="7"/>
    </row>
    <row r="109" spans="2:29" x14ac:dyDescent="0.25">
      <c r="C109" s="8"/>
      <c r="D109" s="8"/>
      <c r="E109" s="8"/>
      <c r="F109" s="7"/>
      <c r="G109" s="7"/>
      <c r="H109" s="7"/>
      <c r="I109" s="7"/>
      <c r="J109" s="7"/>
      <c r="K109" s="7"/>
      <c r="L109" s="7"/>
      <c r="M109" s="7"/>
      <c r="N109" s="7"/>
      <c r="O109" s="7"/>
      <c r="P109" s="7"/>
      <c r="Q109" s="7"/>
      <c r="R109" s="7"/>
      <c r="S109" s="7"/>
      <c r="T109" s="7"/>
      <c r="U109" s="7"/>
      <c r="V109" s="7"/>
      <c r="W109" s="7"/>
      <c r="X109" s="7"/>
      <c r="Y109" s="7"/>
      <c r="Z109" s="7"/>
      <c r="AA109" s="7"/>
      <c r="AB109" s="7"/>
      <c r="AC109" s="7"/>
    </row>
    <row r="110" spans="2:29" x14ac:dyDescent="0.25">
      <c r="C110" s="8"/>
      <c r="D110" s="8"/>
      <c r="E110" s="8"/>
      <c r="F110" s="7"/>
      <c r="G110" s="7"/>
      <c r="H110" s="7"/>
      <c r="I110" s="7"/>
      <c r="J110" s="7"/>
      <c r="K110" s="7"/>
      <c r="L110" s="7"/>
      <c r="M110" s="7"/>
      <c r="N110" s="7"/>
      <c r="O110" s="7"/>
      <c r="P110" s="7"/>
      <c r="Q110" s="7"/>
      <c r="R110" s="7"/>
      <c r="S110" s="7"/>
      <c r="T110" s="7"/>
      <c r="U110" s="7"/>
      <c r="V110" s="7"/>
      <c r="W110" s="7"/>
      <c r="X110" s="7"/>
      <c r="Y110" s="7"/>
      <c r="Z110" s="7"/>
      <c r="AA110" s="7"/>
      <c r="AB110" s="7"/>
      <c r="AC110" s="7"/>
    </row>
    <row r="111" spans="2:29" x14ac:dyDescent="0.25">
      <c r="C111" s="8"/>
      <c r="D111" s="8"/>
      <c r="E111" s="8"/>
      <c r="F111" s="7"/>
      <c r="G111" s="7"/>
      <c r="H111" s="7"/>
      <c r="I111" s="7"/>
      <c r="J111" s="7"/>
      <c r="K111" s="7"/>
      <c r="L111" s="7"/>
      <c r="M111" s="7"/>
      <c r="N111" s="7"/>
      <c r="O111" s="7"/>
      <c r="P111" s="7"/>
      <c r="Q111" s="7"/>
      <c r="R111" s="7"/>
      <c r="S111" s="7"/>
      <c r="T111" s="7"/>
      <c r="U111" s="7"/>
      <c r="V111" s="7"/>
      <c r="W111" s="7"/>
      <c r="X111" s="7"/>
      <c r="Y111" s="7"/>
      <c r="Z111" s="7"/>
      <c r="AA111" s="7"/>
      <c r="AB111" s="7"/>
      <c r="AC111" s="7"/>
    </row>
    <row r="112" spans="2:29" x14ac:dyDescent="0.25">
      <c r="C112" s="8"/>
      <c r="D112" s="8"/>
      <c r="E112" s="8"/>
      <c r="F112" s="7"/>
      <c r="G112" s="7"/>
      <c r="H112" s="7"/>
      <c r="I112" s="7"/>
      <c r="J112" s="7"/>
      <c r="K112" s="7"/>
      <c r="L112" s="7"/>
      <c r="M112" s="7"/>
      <c r="N112" s="7"/>
      <c r="O112" s="7"/>
      <c r="P112" s="7"/>
      <c r="Q112" s="7"/>
      <c r="R112" s="7"/>
      <c r="S112" s="7"/>
      <c r="T112" s="7"/>
      <c r="U112" s="7"/>
      <c r="V112" s="7"/>
      <c r="W112" s="7"/>
      <c r="X112" s="7"/>
      <c r="Y112" s="7"/>
      <c r="Z112" s="7"/>
      <c r="AA112" s="7"/>
      <c r="AB112" s="7"/>
      <c r="AC112" s="7"/>
    </row>
    <row r="113" spans="3:29" x14ac:dyDescent="0.25">
      <c r="C113" s="8"/>
      <c r="D113" s="8"/>
      <c r="E113" s="8"/>
      <c r="F113" s="7"/>
      <c r="G113" s="7"/>
      <c r="H113" s="7"/>
      <c r="I113" s="7"/>
      <c r="J113" s="7"/>
      <c r="K113" s="7"/>
      <c r="L113" s="7"/>
      <c r="M113" s="7"/>
      <c r="N113" s="7"/>
      <c r="O113" s="7"/>
      <c r="P113" s="7"/>
      <c r="Q113" s="7"/>
      <c r="R113" s="7"/>
      <c r="S113" s="7"/>
      <c r="T113" s="7"/>
      <c r="U113" s="7"/>
      <c r="V113" s="7"/>
      <c r="W113" s="7"/>
      <c r="X113" s="7"/>
      <c r="Y113" s="7"/>
      <c r="Z113" s="7"/>
      <c r="AA113" s="7"/>
      <c r="AB113" s="7"/>
      <c r="AC113" s="7"/>
    </row>
    <row r="114" spans="3:29" x14ac:dyDescent="0.25">
      <c r="C114" s="8"/>
      <c r="D114" s="8"/>
      <c r="E114" s="8"/>
      <c r="F114" s="7"/>
      <c r="G114" s="7"/>
      <c r="H114" s="7"/>
      <c r="I114" s="7"/>
      <c r="J114" s="7"/>
      <c r="K114" s="7"/>
      <c r="L114" s="7"/>
      <c r="M114" s="7"/>
      <c r="N114" s="7"/>
      <c r="O114" s="7"/>
      <c r="P114" s="7"/>
      <c r="Q114" s="7"/>
      <c r="R114" s="7"/>
      <c r="S114" s="7"/>
      <c r="T114" s="7"/>
      <c r="U114" s="7"/>
      <c r="V114" s="7"/>
      <c r="W114" s="7"/>
      <c r="X114" s="7"/>
      <c r="Y114" s="7"/>
      <c r="Z114" s="7"/>
      <c r="AA114" s="7"/>
      <c r="AB114" s="7"/>
      <c r="AC114" s="7"/>
    </row>
    <row r="115" spans="3:29" x14ac:dyDescent="0.25">
      <c r="C115" s="8"/>
      <c r="D115" s="8"/>
      <c r="E115" s="8"/>
      <c r="F115" s="7"/>
      <c r="G115" s="7"/>
      <c r="H115" s="7"/>
      <c r="I115" s="7"/>
      <c r="J115" s="7"/>
      <c r="K115" s="7"/>
      <c r="L115" s="7"/>
      <c r="M115" s="7"/>
      <c r="N115" s="7"/>
      <c r="O115" s="7"/>
      <c r="P115" s="7"/>
      <c r="Q115" s="7"/>
      <c r="R115" s="7"/>
      <c r="S115" s="7"/>
      <c r="T115" s="7"/>
      <c r="U115" s="7"/>
      <c r="V115" s="7"/>
      <c r="W115" s="7"/>
      <c r="X115" s="7"/>
      <c r="Y115" s="7"/>
      <c r="Z115" s="7"/>
      <c r="AA115" s="7"/>
      <c r="AB115" s="7"/>
      <c r="AC115" s="7"/>
    </row>
    <row r="116" spans="3:29" x14ac:dyDescent="0.25">
      <c r="C116" s="8"/>
      <c r="D116" s="8"/>
      <c r="E116" s="8"/>
      <c r="F116" s="7"/>
      <c r="G116" s="7"/>
      <c r="H116" s="7"/>
      <c r="I116" s="7"/>
      <c r="J116" s="7"/>
      <c r="K116" s="7"/>
      <c r="L116" s="7"/>
      <c r="M116" s="7"/>
      <c r="N116" s="7"/>
      <c r="O116" s="7"/>
      <c r="P116" s="7"/>
      <c r="Q116" s="7"/>
      <c r="R116" s="7"/>
      <c r="S116" s="7"/>
      <c r="T116" s="7"/>
      <c r="U116" s="7"/>
      <c r="V116" s="7"/>
      <c r="W116" s="7"/>
      <c r="X116" s="7"/>
      <c r="Y116" s="7"/>
      <c r="Z116" s="7"/>
      <c r="AA116" s="7"/>
      <c r="AB116" s="7"/>
      <c r="AC116" s="7"/>
    </row>
    <row r="117" spans="3:29" x14ac:dyDescent="0.25">
      <c r="C117" s="8"/>
      <c r="D117" s="8"/>
      <c r="E117" s="8"/>
      <c r="F117" s="7"/>
      <c r="G117" s="7"/>
      <c r="H117" s="7"/>
      <c r="I117" s="7"/>
      <c r="J117" s="7"/>
      <c r="K117" s="7"/>
      <c r="L117" s="7"/>
      <c r="M117" s="7"/>
      <c r="N117" s="7"/>
      <c r="O117" s="7"/>
      <c r="P117" s="7"/>
      <c r="Q117" s="7"/>
      <c r="R117" s="7"/>
      <c r="S117" s="7"/>
      <c r="T117" s="7"/>
      <c r="U117" s="7"/>
      <c r="V117" s="7"/>
      <c r="W117" s="7"/>
      <c r="X117" s="7"/>
      <c r="Y117" s="7"/>
      <c r="Z117" s="7"/>
      <c r="AA117" s="7"/>
      <c r="AB117" s="7"/>
      <c r="AC117" s="7"/>
    </row>
    <row r="118" spans="3:29" x14ac:dyDescent="0.25">
      <c r="C118" s="8"/>
      <c r="D118" s="8"/>
      <c r="E118" s="8"/>
      <c r="F118" s="7"/>
      <c r="G118" s="7"/>
      <c r="H118" s="7"/>
      <c r="I118" s="7"/>
      <c r="J118" s="7"/>
      <c r="K118" s="7"/>
      <c r="L118" s="7"/>
      <c r="M118" s="7"/>
      <c r="N118" s="7"/>
      <c r="O118" s="7"/>
      <c r="P118" s="7"/>
      <c r="Q118" s="7"/>
      <c r="R118" s="7"/>
      <c r="S118" s="7"/>
      <c r="T118" s="7"/>
      <c r="U118" s="7"/>
      <c r="V118" s="7"/>
      <c r="W118" s="7"/>
      <c r="X118" s="7"/>
      <c r="Y118" s="7"/>
      <c r="Z118" s="7"/>
      <c r="AA118" s="7"/>
      <c r="AB118" s="7"/>
      <c r="AC118" s="7"/>
    </row>
    <row r="119" spans="3:29" x14ac:dyDescent="0.25">
      <c r="C119" s="8"/>
      <c r="D119" s="8"/>
      <c r="E119" s="8"/>
      <c r="F119" s="7"/>
      <c r="G119" s="7"/>
      <c r="H119" s="7"/>
      <c r="I119" s="7"/>
      <c r="J119" s="7"/>
      <c r="K119" s="7"/>
      <c r="L119" s="7"/>
      <c r="M119" s="7"/>
      <c r="N119" s="7"/>
      <c r="O119" s="7"/>
      <c r="P119" s="7"/>
      <c r="Q119" s="7"/>
      <c r="R119" s="7"/>
      <c r="S119" s="7"/>
      <c r="T119" s="7"/>
      <c r="U119" s="7"/>
      <c r="V119" s="7"/>
      <c r="W119" s="7"/>
      <c r="X119" s="7"/>
      <c r="Y119" s="7"/>
      <c r="Z119" s="7"/>
      <c r="AA119" s="7"/>
      <c r="AB119" s="7"/>
      <c r="AC119" s="7"/>
    </row>
    <row r="120" spans="3:29" x14ac:dyDescent="0.25">
      <c r="C120" s="8"/>
      <c r="D120" s="8"/>
      <c r="E120" s="8"/>
      <c r="F120" s="7"/>
      <c r="G120" s="7"/>
      <c r="H120" s="7"/>
      <c r="I120" s="7"/>
      <c r="J120" s="7"/>
      <c r="K120" s="7"/>
      <c r="L120" s="7"/>
      <c r="M120" s="7"/>
      <c r="N120" s="7"/>
      <c r="O120" s="7"/>
      <c r="P120" s="7"/>
      <c r="Q120" s="7"/>
      <c r="R120" s="7"/>
      <c r="S120" s="7"/>
      <c r="T120" s="7"/>
      <c r="U120" s="7"/>
      <c r="V120" s="7"/>
      <c r="W120" s="7"/>
      <c r="X120" s="7"/>
      <c r="Y120" s="7"/>
      <c r="Z120" s="7"/>
      <c r="AA120" s="7"/>
      <c r="AB120" s="7"/>
      <c r="AC120" s="7"/>
    </row>
    <row r="121" spans="3:29" x14ac:dyDescent="0.25">
      <c r="C121" s="8"/>
      <c r="D121" s="8"/>
      <c r="E121" s="8"/>
      <c r="F121" s="7"/>
      <c r="G121" s="7"/>
      <c r="H121" s="7"/>
      <c r="I121" s="7"/>
      <c r="J121" s="7"/>
      <c r="K121" s="7"/>
      <c r="L121" s="7"/>
      <c r="M121" s="7"/>
      <c r="N121" s="7"/>
      <c r="O121" s="7"/>
      <c r="P121" s="7"/>
      <c r="Q121" s="7"/>
      <c r="R121" s="7"/>
      <c r="S121" s="7"/>
      <c r="T121" s="7"/>
      <c r="U121" s="7"/>
      <c r="V121" s="7"/>
      <c r="W121" s="7"/>
      <c r="X121" s="7"/>
      <c r="Y121" s="7"/>
      <c r="Z121" s="7"/>
      <c r="AA121" s="7"/>
      <c r="AB121" s="7"/>
      <c r="AC121" s="7"/>
    </row>
    <row r="122" spans="3:29" x14ac:dyDescent="0.25">
      <c r="C122" s="8"/>
      <c r="D122" s="8"/>
      <c r="E122" s="8"/>
      <c r="F122" s="7"/>
      <c r="G122" s="7"/>
      <c r="H122" s="7"/>
      <c r="I122" s="7"/>
      <c r="J122" s="7"/>
      <c r="K122" s="7"/>
      <c r="L122" s="7"/>
      <c r="M122" s="7"/>
      <c r="N122" s="7"/>
      <c r="O122" s="7"/>
      <c r="P122" s="7"/>
      <c r="Q122" s="7"/>
      <c r="R122" s="7"/>
      <c r="S122" s="7"/>
      <c r="T122" s="7"/>
      <c r="U122" s="7"/>
      <c r="V122" s="7"/>
      <c r="W122" s="7"/>
      <c r="X122" s="7"/>
      <c r="Y122" s="7"/>
      <c r="Z122" s="7"/>
      <c r="AA122" s="7"/>
      <c r="AB122" s="7"/>
      <c r="AC122" s="7"/>
    </row>
    <row r="123" spans="3:29" x14ac:dyDescent="0.25">
      <c r="C123" s="8"/>
      <c r="D123" s="8"/>
      <c r="E123" s="8"/>
      <c r="F123" s="7"/>
      <c r="G123" s="7"/>
      <c r="H123" s="7"/>
      <c r="I123" s="7"/>
      <c r="J123" s="7"/>
      <c r="K123" s="7"/>
      <c r="L123" s="7"/>
      <c r="M123" s="7"/>
      <c r="N123" s="7"/>
      <c r="O123" s="7"/>
      <c r="P123" s="7"/>
      <c r="Q123" s="7"/>
      <c r="R123" s="7"/>
      <c r="S123" s="7"/>
      <c r="T123" s="7"/>
      <c r="U123" s="7"/>
      <c r="V123" s="7"/>
      <c r="W123" s="7"/>
      <c r="X123" s="7"/>
      <c r="Y123" s="7"/>
      <c r="Z123" s="7"/>
      <c r="AA123" s="7"/>
      <c r="AB123" s="7"/>
      <c r="AC123" s="7"/>
    </row>
    <row r="124" spans="3:29" x14ac:dyDescent="0.25">
      <c r="C124" s="8"/>
      <c r="D124" s="8"/>
      <c r="E124" s="8"/>
      <c r="F124" s="7"/>
      <c r="G124" s="7"/>
      <c r="H124" s="7"/>
      <c r="I124" s="7"/>
      <c r="J124" s="7"/>
      <c r="K124" s="7"/>
      <c r="L124" s="7"/>
      <c r="M124" s="7"/>
      <c r="N124" s="7"/>
      <c r="O124" s="7"/>
      <c r="P124" s="7"/>
      <c r="Q124" s="7"/>
      <c r="R124" s="7"/>
      <c r="S124" s="7"/>
      <c r="T124" s="7"/>
      <c r="U124" s="7"/>
      <c r="V124" s="7"/>
      <c r="W124" s="7"/>
      <c r="X124" s="7"/>
      <c r="Y124" s="7"/>
      <c r="Z124" s="7"/>
      <c r="AA124" s="7"/>
      <c r="AB124" s="7"/>
      <c r="AC124" s="7"/>
    </row>
    <row r="125" spans="3:29" x14ac:dyDescent="0.25">
      <c r="C125" s="8"/>
      <c r="D125" s="8"/>
      <c r="E125" s="8"/>
      <c r="F125" s="7"/>
      <c r="G125" s="7"/>
      <c r="H125" s="7"/>
      <c r="I125" s="7"/>
      <c r="J125" s="7"/>
      <c r="K125" s="7"/>
      <c r="L125" s="7"/>
      <c r="M125" s="7"/>
      <c r="N125" s="7"/>
      <c r="O125" s="7"/>
      <c r="P125" s="7"/>
      <c r="Q125" s="7"/>
      <c r="R125" s="7"/>
      <c r="S125" s="7"/>
      <c r="T125" s="7"/>
      <c r="U125" s="7"/>
      <c r="V125" s="7"/>
      <c r="W125" s="7"/>
      <c r="X125" s="7"/>
      <c r="Y125" s="7"/>
      <c r="Z125" s="7"/>
      <c r="AA125" s="7"/>
      <c r="AB125" s="7"/>
      <c r="AC125" s="7"/>
    </row>
    <row r="126" spans="3:29" x14ac:dyDescent="0.25">
      <c r="C126" s="8"/>
      <c r="D126" s="8"/>
      <c r="E126" s="8"/>
      <c r="F126" s="7"/>
      <c r="G126" s="7"/>
      <c r="H126" s="7"/>
      <c r="I126" s="7"/>
      <c r="J126" s="7"/>
      <c r="K126" s="7"/>
      <c r="L126" s="7"/>
      <c r="M126" s="7"/>
      <c r="N126" s="7"/>
      <c r="O126" s="7"/>
      <c r="P126" s="7"/>
      <c r="Q126" s="7"/>
      <c r="R126" s="7"/>
      <c r="S126" s="7"/>
      <c r="T126" s="7"/>
      <c r="U126" s="7"/>
      <c r="V126" s="7"/>
      <c r="W126" s="7"/>
      <c r="X126" s="7"/>
      <c r="Y126" s="7"/>
      <c r="Z126" s="7"/>
      <c r="AA126" s="7"/>
      <c r="AB126" s="7"/>
      <c r="AC126" s="7"/>
    </row>
    <row r="127" spans="3:29" x14ac:dyDescent="0.25">
      <c r="C127" s="8"/>
      <c r="D127" s="8"/>
      <c r="E127" s="8"/>
      <c r="F127" s="7"/>
      <c r="G127" s="7"/>
      <c r="H127" s="7"/>
      <c r="I127" s="7"/>
      <c r="J127" s="7"/>
      <c r="K127" s="7"/>
      <c r="L127" s="7"/>
      <c r="M127" s="7"/>
      <c r="N127" s="7"/>
      <c r="O127" s="7"/>
      <c r="P127" s="7"/>
      <c r="Q127" s="7"/>
      <c r="R127" s="7"/>
      <c r="S127" s="7"/>
      <c r="T127" s="7"/>
      <c r="U127" s="7"/>
      <c r="V127" s="7"/>
      <c r="W127" s="7"/>
      <c r="X127" s="7"/>
      <c r="Y127" s="7"/>
      <c r="Z127" s="7"/>
      <c r="AA127" s="7"/>
      <c r="AB127" s="7"/>
      <c r="AC127" s="7"/>
    </row>
    <row r="128" spans="3:29" x14ac:dyDescent="0.25">
      <c r="C128" s="8"/>
      <c r="D128" s="8"/>
      <c r="E128" s="8"/>
      <c r="F128" s="7"/>
      <c r="G128" s="7"/>
      <c r="H128" s="7"/>
      <c r="I128" s="7"/>
      <c r="J128" s="7"/>
      <c r="K128" s="7"/>
      <c r="L128" s="7"/>
      <c r="M128" s="7"/>
      <c r="N128" s="7"/>
      <c r="O128" s="7"/>
      <c r="P128" s="7"/>
      <c r="Q128" s="7"/>
      <c r="R128" s="7"/>
      <c r="S128" s="7"/>
      <c r="T128" s="7"/>
      <c r="U128" s="7"/>
      <c r="V128" s="7"/>
      <c r="W128" s="7"/>
      <c r="X128" s="7"/>
      <c r="Y128" s="7"/>
      <c r="Z128" s="7"/>
      <c r="AA128" s="7"/>
      <c r="AB128" s="7"/>
      <c r="AC128" s="7"/>
    </row>
    <row r="129" spans="3:29" x14ac:dyDescent="0.25">
      <c r="C129" s="8"/>
      <c r="D129" s="8"/>
      <c r="E129" s="8"/>
      <c r="F129" s="7"/>
      <c r="G129" s="7"/>
      <c r="H129" s="7"/>
      <c r="I129" s="7"/>
      <c r="J129" s="7"/>
      <c r="K129" s="7"/>
      <c r="L129" s="7"/>
      <c r="M129" s="7"/>
      <c r="N129" s="7"/>
      <c r="O129" s="7"/>
      <c r="P129" s="7"/>
      <c r="Q129" s="7"/>
      <c r="R129" s="7"/>
      <c r="S129" s="7"/>
      <c r="T129" s="7"/>
      <c r="U129" s="7"/>
      <c r="V129" s="7"/>
      <c r="W129" s="7"/>
      <c r="X129" s="7"/>
      <c r="Y129" s="7"/>
      <c r="Z129" s="7"/>
      <c r="AA129" s="7"/>
      <c r="AB129" s="7"/>
      <c r="AC129" s="7"/>
    </row>
    <row r="130" spans="3:29" x14ac:dyDescent="0.25">
      <c r="C130" s="8"/>
      <c r="D130" s="8"/>
      <c r="E130" s="8"/>
      <c r="F130" s="7"/>
      <c r="G130" s="7"/>
      <c r="H130" s="7"/>
      <c r="I130" s="7"/>
      <c r="J130" s="7"/>
      <c r="K130" s="7"/>
      <c r="L130" s="7"/>
      <c r="M130" s="7"/>
      <c r="N130" s="7"/>
      <c r="O130" s="7"/>
      <c r="P130" s="7"/>
      <c r="Q130" s="7"/>
      <c r="R130" s="7"/>
      <c r="S130" s="7"/>
      <c r="T130" s="7"/>
      <c r="U130" s="7"/>
      <c r="V130" s="7"/>
      <c r="W130" s="7"/>
      <c r="X130" s="7"/>
      <c r="Y130" s="7"/>
      <c r="Z130" s="7"/>
      <c r="AA130" s="7"/>
      <c r="AB130" s="7"/>
      <c r="AC130" s="7"/>
    </row>
    <row r="131" spans="3:29" x14ac:dyDescent="0.25">
      <c r="C131" s="8"/>
      <c r="D131" s="8"/>
      <c r="E131" s="8"/>
      <c r="F131" s="7"/>
      <c r="G131" s="7"/>
      <c r="H131" s="7"/>
      <c r="I131" s="7"/>
      <c r="J131" s="7"/>
      <c r="K131" s="7"/>
      <c r="L131" s="7"/>
      <c r="M131" s="7"/>
      <c r="N131" s="7"/>
      <c r="O131" s="7"/>
      <c r="P131" s="7"/>
      <c r="Q131" s="7"/>
      <c r="R131" s="7"/>
      <c r="S131" s="7"/>
      <c r="T131" s="7"/>
      <c r="U131" s="7"/>
      <c r="V131" s="7"/>
      <c r="W131" s="7"/>
      <c r="X131" s="7"/>
      <c r="Y131" s="7"/>
      <c r="Z131" s="7"/>
      <c r="AA131" s="7"/>
      <c r="AB131" s="7"/>
      <c r="AC131" s="7"/>
    </row>
    <row r="132" spans="3:29" x14ac:dyDescent="0.25">
      <c r="C132" s="8"/>
      <c r="D132" s="8"/>
      <c r="E132" s="8"/>
      <c r="F132" s="7"/>
      <c r="G132" s="7"/>
      <c r="H132" s="7"/>
      <c r="I132" s="7"/>
      <c r="J132" s="7"/>
      <c r="K132" s="7"/>
      <c r="L132" s="7"/>
      <c r="M132" s="7"/>
      <c r="N132" s="7"/>
      <c r="O132" s="7"/>
      <c r="P132" s="7"/>
      <c r="Q132" s="7"/>
      <c r="R132" s="7"/>
      <c r="S132" s="7"/>
      <c r="T132" s="7"/>
      <c r="U132" s="7"/>
      <c r="V132" s="7"/>
      <c r="W132" s="7"/>
      <c r="X132" s="7"/>
      <c r="Y132" s="7"/>
      <c r="Z132" s="7"/>
      <c r="AA132" s="7"/>
      <c r="AB132" s="7"/>
      <c r="AC132" s="7"/>
    </row>
    <row r="133" spans="3:29" x14ac:dyDescent="0.25">
      <c r="C133" s="8"/>
      <c r="D133" s="8"/>
      <c r="E133" s="8"/>
      <c r="F133" s="7"/>
      <c r="G133" s="7"/>
      <c r="H133" s="7"/>
      <c r="I133" s="7"/>
      <c r="J133" s="7"/>
      <c r="K133" s="7"/>
      <c r="L133" s="7"/>
      <c r="M133" s="7"/>
      <c r="N133" s="7"/>
      <c r="O133" s="7"/>
      <c r="P133" s="7"/>
      <c r="Q133" s="7"/>
      <c r="R133" s="7"/>
      <c r="S133" s="7"/>
      <c r="T133" s="7"/>
      <c r="U133" s="7"/>
      <c r="V133" s="7"/>
      <c r="W133" s="7"/>
      <c r="X133" s="7"/>
      <c r="Y133" s="7"/>
      <c r="Z133" s="7"/>
      <c r="AA133" s="7"/>
      <c r="AB133" s="7"/>
      <c r="AC133" s="7"/>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X75"/>
  <sheetViews>
    <sheetView showGridLines="0" topLeftCell="A3" zoomScale="70" zoomScaleNormal="70" workbookViewId="0">
      <selection activeCell="A64" sqref="A64:XFD66"/>
    </sheetView>
  </sheetViews>
  <sheetFormatPr defaultRowHeight="11.5" outlineLevelRow="1" x14ac:dyDescent="0.25"/>
  <cols>
    <col min="1" max="1" width="2.69921875" customWidth="1"/>
    <col min="2" max="2" width="4.19921875" customWidth="1"/>
    <col min="3" max="3" width="11.09765625" customWidth="1"/>
    <col min="4" max="4" width="17.09765625" customWidth="1"/>
    <col min="5" max="5" width="17.59765625" bestFit="1" customWidth="1"/>
    <col min="6" max="6" width="15.09765625" customWidth="1"/>
    <col min="7" max="7" width="18" bestFit="1" customWidth="1"/>
    <col min="8" max="8" width="20" customWidth="1"/>
    <col min="9" max="9" width="4.59765625" customWidth="1"/>
    <col min="10" max="10" width="21" bestFit="1" customWidth="1"/>
    <col min="11" max="11" width="20.8984375" bestFit="1" customWidth="1"/>
    <col min="12" max="12" width="19.19921875" bestFit="1" customWidth="1"/>
    <col min="13" max="13" width="21.5" bestFit="1" customWidth="1"/>
    <col min="14" max="15" width="3.59765625" customWidth="1"/>
    <col min="16" max="16" width="15.69921875" bestFit="1" customWidth="1"/>
    <col min="17" max="17" width="14.8984375" bestFit="1" customWidth="1"/>
    <col min="18" max="18" width="17.5" bestFit="1" customWidth="1"/>
    <col min="19" max="19" width="15.5" bestFit="1" customWidth="1"/>
    <col min="20" max="20" width="17.8984375" bestFit="1" customWidth="1"/>
    <col min="21" max="21" width="3.5" customWidth="1"/>
    <col min="22" max="22" width="13.8984375" bestFit="1" customWidth="1"/>
    <col min="23" max="23" width="3.5" customWidth="1"/>
    <col min="24" max="24" width="17.3984375" bestFit="1" customWidth="1"/>
  </cols>
  <sheetData>
    <row r="1" spans="3:8" hidden="1" x14ac:dyDescent="0.25"/>
    <row r="2" spans="3:8" hidden="1" x14ac:dyDescent="0.25"/>
    <row r="3" spans="3:8" ht="20" x14ac:dyDescent="0.4">
      <c r="C3" s="169" t="s">
        <v>109</v>
      </c>
    </row>
    <row r="4" spans="3:8" hidden="1" x14ac:dyDescent="0.25"/>
    <row r="6" spans="3:8" x14ac:dyDescent="0.25">
      <c r="C6" t="s">
        <v>195</v>
      </c>
      <c r="H6" s="172" t="s">
        <v>113</v>
      </c>
    </row>
    <row r="8" spans="3:8" ht="13.5" x14ac:dyDescent="0.35">
      <c r="C8" t="s">
        <v>67</v>
      </c>
    </row>
    <row r="10" spans="3:8" x14ac:dyDescent="0.25">
      <c r="C10" t="s">
        <v>60</v>
      </c>
    </row>
    <row r="12" spans="3:8" ht="13.5" x14ac:dyDescent="0.35">
      <c r="C12" s="39" t="s">
        <v>62</v>
      </c>
      <c r="D12" s="232" t="s">
        <v>198</v>
      </c>
    </row>
    <row r="13" spans="3:8" ht="13.5" x14ac:dyDescent="0.35">
      <c r="C13" s="39" t="s">
        <v>63</v>
      </c>
      <c r="D13" s="232" t="s">
        <v>199</v>
      </c>
    </row>
    <row r="15" spans="3:8" hidden="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8" hidden="1" outlineLevel="1" x14ac:dyDescent="0.25"/>
    <row r="17" spans="1:21" ht="13.5" hidden="1" outlineLevel="1" x14ac:dyDescent="0.35">
      <c r="C17" s="60" t="s">
        <v>64</v>
      </c>
      <c r="D17" s="207"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208"/>
      <c r="F17" s="292"/>
      <c r="G17" s="292"/>
    </row>
    <row r="18" spans="1:21" ht="13.5" hidden="1" outlineLevel="1" x14ac:dyDescent="0.35">
      <c r="C18" s="60" t="s">
        <v>65</v>
      </c>
      <c r="D18" s="207"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208"/>
      <c r="F18" s="292"/>
      <c r="G18" s="292"/>
    </row>
    <row r="19" spans="1:21" hidden="1" outlineLevel="1" x14ac:dyDescent="0.25">
      <c r="C19" s="39"/>
    </row>
    <row r="20" spans="1:21" ht="13.5" hidden="1" outlineLevel="1" x14ac:dyDescent="0.35">
      <c r="C20" t="s">
        <v>81</v>
      </c>
      <c r="H20" t="s">
        <v>82</v>
      </c>
      <c r="I20" t="s">
        <v>83</v>
      </c>
      <c r="J20" s="209" t="e">
        <f>LEFT(#REF!,4)+'General inputs'!$H$38-1&amp;"-"&amp;RIGHT(#REF!,2)+'General inputs'!$H$38-1</f>
        <v>#REF!</v>
      </c>
    </row>
    <row r="21" spans="1:21" hidden="1" outlineLevel="1" x14ac:dyDescent="0.25">
      <c r="C21" s="39"/>
    </row>
    <row r="22" spans="1:21" hidden="1" outlineLevel="1" x14ac:dyDescent="0.25">
      <c r="C22" s="85" t="s">
        <v>129</v>
      </c>
    </row>
    <row r="23" spans="1:21" hidden="1" outlineLevel="1" x14ac:dyDescent="0.25">
      <c r="C23" s="85"/>
      <c r="D23" s="85" t="s">
        <v>130</v>
      </c>
    </row>
    <row r="24" spans="1:21" hidden="1" outlineLevel="1" x14ac:dyDescent="0.25">
      <c r="C24" s="85"/>
      <c r="D24" s="85"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25" spans="1:21" hidden="1" outlineLevel="1" x14ac:dyDescent="0.25">
      <c r="C25" s="85"/>
      <c r="D25" s="85" t="s">
        <v>247</v>
      </c>
    </row>
    <row r="26" spans="1:21" hidden="1" outlineLevel="1" x14ac:dyDescent="0.25">
      <c r="C26" s="85"/>
      <c r="D26" s="249" t="s">
        <v>249</v>
      </c>
    </row>
    <row r="27" spans="1:21" hidden="1" outlineLevel="1" x14ac:dyDescent="0.25">
      <c r="C27" s="85"/>
      <c r="D27" s="249" t="s">
        <v>248</v>
      </c>
    </row>
    <row r="28" spans="1:21" hidden="1" outlineLevel="1" x14ac:dyDescent="0.25">
      <c r="C28" s="85"/>
      <c r="D28" s="85" t="s">
        <v>250</v>
      </c>
    </row>
    <row r="29" spans="1:21" hidden="1" outlineLevel="1" x14ac:dyDescent="0.25">
      <c r="C29" s="85"/>
      <c r="D29" s="249" t="s">
        <v>251</v>
      </c>
    </row>
    <row r="30" spans="1:21" hidden="1" outlineLevel="1" x14ac:dyDescent="0.25">
      <c r="C30" s="85"/>
      <c r="D30" s="249" t="s">
        <v>252</v>
      </c>
    </row>
    <row r="31" spans="1:21" hidden="1" outlineLevel="1" x14ac:dyDescent="0.25"/>
    <row r="32" spans="1:21" collapsed="1" x14ac:dyDescent="0.25">
      <c r="A32" s="81"/>
      <c r="B32" s="81"/>
      <c r="C32" s="81" t="s">
        <v>69</v>
      </c>
      <c r="D32" s="81"/>
      <c r="E32" s="81"/>
      <c r="F32" s="81"/>
      <c r="G32" s="81"/>
      <c r="H32" s="81"/>
      <c r="I32" s="81"/>
      <c r="J32" s="81"/>
      <c r="K32" s="81"/>
      <c r="L32" s="81"/>
      <c r="M32" s="81"/>
      <c r="N32" s="81"/>
      <c r="O32" s="81"/>
      <c r="P32" s="81"/>
      <c r="Q32" s="81"/>
      <c r="R32" s="81"/>
      <c r="S32" s="81"/>
      <c r="T32" s="81"/>
      <c r="U32" s="81"/>
    </row>
    <row r="33" spans="2:24" s="92" customFormat="1" x14ac:dyDescent="0.25"/>
    <row r="34" spans="2:24" ht="12.5" x14ac:dyDescent="0.25">
      <c r="H34" s="91"/>
      <c r="I34" s="91"/>
      <c r="J34" s="101"/>
      <c r="K34" s="303"/>
      <c r="L34" s="316"/>
      <c r="M34" s="91"/>
      <c r="N34" s="91"/>
      <c r="O34" s="91"/>
      <c r="P34" s="91"/>
      <c r="Q34" s="317"/>
      <c r="R34" s="91"/>
      <c r="S34" s="318"/>
      <c r="T34" s="91"/>
    </row>
    <row r="35" spans="2:24" s="92" customFormat="1" ht="12.5" x14ac:dyDescent="0.25">
      <c r="J35" s="122"/>
      <c r="K35" s="303"/>
      <c r="L35" s="304"/>
    </row>
    <row r="36" spans="2:24" s="253" customFormat="1" ht="13" x14ac:dyDescent="0.3">
      <c r="D36" s="254" t="s">
        <v>278</v>
      </c>
      <c r="J36" s="254" t="s">
        <v>272</v>
      </c>
      <c r="Q36" s="253" t="s">
        <v>497</v>
      </c>
      <c r="V36" s="319" t="s">
        <v>539</v>
      </c>
      <c r="X36" s="274" t="s">
        <v>498</v>
      </c>
    </row>
    <row r="37" spans="2:24" s="253" customFormat="1" ht="13.5" thickBot="1" x14ac:dyDescent="0.35">
      <c r="C37" s="258" t="s">
        <v>22</v>
      </c>
      <c r="D37" s="257" t="s">
        <v>489</v>
      </c>
      <c r="E37" s="257" t="s">
        <v>490</v>
      </c>
      <c r="F37" s="257" t="s">
        <v>279</v>
      </c>
      <c r="G37" s="257" t="s">
        <v>280</v>
      </c>
      <c r="H37" s="293" t="s">
        <v>491</v>
      </c>
      <c r="J37" s="276" t="s">
        <v>274</v>
      </c>
      <c r="K37" s="276" t="s">
        <v>275</v>
      </c>
      <c r="L37" s="276" t="s">
        <v>276</v>
      </c>
      <c r="M37" s="276" t="s">
        <v>277</v>
      </c>
      <c r="N37" s="277"/>
      <c r="Q37" s="305" t="s">
        <v>492</v>
      </c>
      <c r="R37" s="305" t="s">
        <v>493</v>
      </c>
      <c r="S37" s="305" t="s">
        <v>494</v>
      </c>
      <c r="T37" s="305" t="s">
        <v>495</v>
      </c>
      <c r="V37" s="293" t="s">
        <v>500</v>
      </c>
      <c r="X37" s="293" t="s">
        <v>499</v>
      </c>
    </row>
    <row r="38" spans="2:24" s="253" customFormat="1" ht="12.5" x14ac:dyDescent="0.25">
      <c r="B38" s="256">
        <v>0</v>
      </c>
      <c r="C38" s="255" t="str">
        <f>'General inputs'!I16</f>
        <v>2022-23</v>
      </c>
      <c r="D38" s="294">
        <f t="shared" ref="D38:D67" si="0">Q38*$V38</f>
        <v>288435.58970089641</v>
      </c>
      <c r="E38" s="294">
        <f t="shared" ref="E38:E67" si="1">R38*$X38</f>
        <v>21695.608231984577</v>
      </c>
      <c r="F38" s="294">
        <f t="shared" ref="F38:F67" si="2">S38*$V38</f>
        <v>410960.34254565276</v>
      </c>
      <c r="G38" s="294">
        <f t="shared" ref="G38:G67" si="3">T38*$X38</f>
        <v>33451.232836040021</v>
      </c>
      <c r="H38" s="294">
        <f t="shared" ref="H38:H67" si="4">SUM(D38:G38)</f>
        <v>754542.7733145738</v>
      </c>
      <c r="J38" s="302">
        <v>-64434.269055523866</v>
      </c>
      <c r="K38" s="281">
        <v>-82475.864391070543</v>
      </c>
      <c r="L38" s="281">
        <v>1918933.5405296064</v>
      </c>
      <c r="M38" s="275">
        <f>K38+L38</f>
        <v>1836457.6761385358</v>
      </c>
      <c r="N38" s="278"/>
      <c r="P38" s="282" t="str">
        <f t="shared" ref="P38:P67" si="5">C38</f>
        <v>2022-23</v>
      </c>
      <c r="Q38" s="295">
        <v>23590334.737556297</v>
      </c>
      <c r="R38" s="320">
        <v>6.7076086124610454E-2</v>
      </c>
      <c r="S38" s="295">
        <v>33611289.281485699</v>
      </c>
      <c r="T38" s="320">
        <v>0.10342082833966121</v>
      </c>
      <c r="V38" s="296">
        <v>1.2226854468567631E-2</v>
      </c>
      <c r="X38" s="297">
        <v>323447.73652534839</v>
      </c>
    </row>
    <row r="39" spans="2:24" s="253" customFormat="1" ht="12.5" x14ac:dyDescent="0.25">
      <c r="B39" s="256">
        <f>B38+1</f>
        <v>1</v>
      </c>
      <c r="C39" s="253" t="str">
        <f ca="1">OFFSET('MP Calculations'!$D$38,MATCH($C$38,'MP Calculations'!$D$39:$D$129)+'Reduction amount'!B39,)</f>
        <v>2023-24</v>
      </c>
      <c r="D39" s="294">
        <f t="shared" si="0"/>
        <v>565365.42326995474</v>
      </c>
      <c r="E39" s="294">
        <f t="shared" si="1"/>
        <v>40413.328955270677</v>
      </c>
      <c r="F39" s="294">
        <f t="shared" si="2"/>
        <v>805527.39088621025</v>
      </c>
      <c r="G39" s="294">
        <f t="shared" si="3"/>
        <v>62311.029131197422</v>
      </c>
      <c r="H39" s="294">
        <f t="shared" si="4"/>
        <v>1473617.1722426331</v>
      </c>
      <c r="J39" s="302">
        <v>-103956.01750861667</v>
      </c>
      <c r="K39" s="281">
        <v>-133063.70241102934</v>
      </c>
      <c r="L39" s="281">
        <v>3504476.0404080646</v>
      </c>
      <c r="M39" s="275">
        <f t="shared" ref="M39:M67" si="6">K39+L39</f>
        <v>3371412.3379970351</v>
      </c>
      <c r="P39" s="282" t="str">
        <f t="shared" ca="1" si="5"/>
        <v>2023-24</v>
      </c>
      <c r="Q39" s="295">
        <v>25195494.18461794</v>
      </c>
      <c r="R39" s="320">
        <v>6.7377590444211266E-2</v>
      </c>
      <c r="S39" s="295">
        <v>35898305.515816897</v>
      </c>
      <c r="T39" s="320">
        <v>0.10388570081929836</v>
      </c>
      <c r="V39" s="296">
        <v>2.2439148013025087E-2</v>
      </c>
      <c r="X39" s="297">
        <v>599803.71350223583</v>
      </c>
    </row>
    <row r="40" spans="2:24" s="253" customFormat="1" ht="12.5" x14ac:dyDescent="0.25">
      <c r="B40" s="256">
        <f t="shared" ref="B40:B67" si="7">B39+1</f>
        <v>2</v>
      </c>
      <c r="C40" s="253" t="str">
        <f ca="1">OFFSET('MP Calculations'!$D$38,MATCH($C$38,'MP Calculations'!$D$39:$D$129)+'Reduction amount'!B40,)</f>
        <v>2024-25</v>
      </c>
      <c r="D40" s="294">
        <f t="shared" si="0"/>
        <v>902796.88100139808</v>
      </c>
      <c r="E40" s="294">
        <f t="shared" si="1"/>
        <v>61710.657835792917</v>
      </c>
      <c r="F40" s="294">
        <f t="shared" si="2"/>
        <v>1286296.5899950741</v>
      </c>
      <c r="G40" s="294">
        <f t="shared" si="3"/>
        <v>95148.177532401809</v>
      </c>
      <c r="H40" s="294">
        <f t="shared" si="4"/>
        <v>2345952.3063646667</v>
      </c>
      <c r="J40" s="302">
        <v>-126020.61448349159</v>
      </c>
      <c r="K40" s="281">
        <v>-157525.76810436448</v>
      </c>
      <c r="L40" s="281">
        <v>5218163.3015028182</v>
      </c>
      <c r="M40" s="275">
        <f t="shared" si="6"/>
        <v>5060637.5333984541</v>
      </c>
      <c r="P40" s="282" t="str">
        <f t="shared" ca="1" si="5"/>
        <v>2024-25</v>
      </c>
      <c r="Q40" s="295">
        <v>25697860.250637218</v>
      </c>
      <c r="R40" s="320">
        <v>6.4861764702606642E-2</v>
      </c>
      <c r="S40" s="295">
        <v>36614072.009087309</v>
      </c>
      <c r="T40" s="320">
        <v>0.1000066912171038</v>
      </c>
      <c r="V40" s="296">
        <v>3.5131208287235191E-2</v>
      </c>
      <c r="X40" s="297">
        <v>951418.11387245392</v>
      </c>
    </row>
    <row r="41" spans="2:24" s="253" customFormat="1" ht="12.5" x14ac:dyDescent="0.25">
      <c r="B41" s="256">
        <f t="shared" si="7"/>
        <v>3</v>
      </c>
      <c r="C41" s="253" t="str">
        <f ca="1">OFFSET('MP Calculations'!$D$38,MATCH($C$38,'MP Calculations'!$D$39:$D$129)+'Reduction amount'!B41,)</f>
        <v>2025-26</v>
      </c>
      <c r="D41" s="294">
        <f t="shared" si="0"/>
        <v>1281554.193111541</v>
      </c>
      <c r="E41" s="294">
        <f t="shared" si="1"/>
        <v>84104.761733159103</v>
      </c>
      <c r="F41" s="294">
        <f t="shared" si="2"/>
        <v>1825946.4816324625</v>
      </c>
      <c r="G41" s="294">
        <f t="shared" si="3"/>
        <v>129676.38137970846</v>
      </c>
      <c r="H41" s="294">
        <f t="shared" si="4"/>
        <v>3321281.8178568715</v>
      </c>
      <c r="J41" s="302">
        <v>-134119.17450351152</v>
      </c>
      <c r="K41" s="281">
        <v>-167648.96812938942</v>
      </c>
      <c r="L41" s="281">
        <v>7091376.4104581587</v>
      </c>
      <c r="M41" s="275">
        <f t="shared" si="6"/>
        <v>6923727.4423287697</v>
      </c>
      <c r="P41" s="282" t="str">
        <f t="shared" ca="1" si="5"/>
        <v>2025-26</v>
      </c>
      <c r="Q41" s="295">
        <v>26444111.790579814</v>
      </c>
      <c r="R41" s="320">
        <v>6.3196321918884399E-2</v>
      </c>
      <c r="S41" s="295">
        <v>37677324.254755229</v>
      </c>
      <c r="T41" s="320">
        <v>9.7438839062986116E-2</v>
      </c>
      <c r="V41" s="296">
        <v>4.8462742982657826E-2</v>
      </c>
      <c r="X41" s="297">
        <v>1330848.9984767106</v>
      </c>
    </row>
    <row r="42" spans="2:24" s="253" customFormat="1" ht="12.5" x14ac:dyDescent="0.25">
      <c r="B42" s="256">
        <f t="shared" si="7"/>
        <v>4</v>
      </c>
      <c r="C42" s="253" t="str">
        <f ca="1">OFFSET('MP Calculations'!$D$38,MATCH($C$38,'MP Calculations'!$D$39:$D$129)+'Reduction amount'!B42,)</f>
        <v>2026-27</v>
      </c>
      <c r="D42" s="294">
        <f t="shared" si="0"/>
        <v>1671007.2132345205</v>
      </c>
      <c r="E42" s="294">
        <f t="shared" si="1"/>
        <v>108349.67061746379</v>
      </c>
      <c r="F42" s="294">
        <f t="shared" si="2"/>
        <v>2380835.5184574537</v>
      </c>
      <c r="G42" s="294">
        <f t="shared" si="3"/>
        <v>167058.2368919134</v>
      </c>
      <c r="H42" s="294">
        <f t="shared" si="4"/>
        <v>4327250.6392013514</v>
      </c>
      <c r="J42" s="302">
        <v>-134831.16683907513</v>
      </c>
      <c r="K42" s="281">
        <v>-168538.95854884392</v>
      </c>
      <c r="L42" s="281">
        <v>9061342.3474395089</v>
      </c>
      <c r="M42" s="275">
        <f t="shared" si="6"/>
        <v>8892803.388890665</v>
      </c>
      <c r="P42" s="282" t="str">
        <f t="shared" ca="1" si="5"/>
        <v>2026-27</v>
      </c>
      <c r="Q42" s="295">
        <v>26862155.752057098</v>
      </c>
      <c r="R42" s="320">
        <v>6.2510165873011198E-2</v>
      </c>
      <c r="S42" s="295">
        <v>38272949.398607977</v>
      </c>
      <c r="T42" s="320">
        <v>9.6380893814024468E-2</v>
      </c>
      <c r="V42" s="296">
        <v>6.2206742774416207E-2</v>
      </c>
      <c r="X42" s="297">
        <v>1733312.7996744579</v>
      </c>
    </row>
    <row r="43" spans="2:24" s="253" customFormat="1" ht="12.5" x14ac:dyDescent="0.25">
      <c r="B43" s="256">
        <f t="shared" si="7"/>
        <v>5</v>
      </c>
      <c r="C43" s="253" t="str">
        <f ca="1">OFFSET('MP Calculations'!$D$38,MATCH($C$38,'MP Calculations'!$D$39:$D$129)+'Reduction amount'!B43,)</f>
        <v>2027-28</v>
      </c>
      <c r="D43" s="294">
        <f t="shared" si="0"/>
        <v>2104148.0825036671</v>
      </c>
      <c r="E43" s="294">
        <f t="shared" si="1"/>
        <v>135125.21217970006</v>
      </c>
      <c r="F43" s="294">
        <f t="shared" si="2"/>
        <v>2997970.5959628257</v>
      </c>
      <c r="G43" s="294">
        <f t="shared" si="3"/>
        <v>208341.93198505166</v>
      </c>
      <c r="H43" s="294">
        <f t="shared" si="4"/>
        <v>5445585.8226312445</v>
      </c>
      <c r="J43" s="302">
        <v>-135617.96697925005</v>
      </c>
      <c r="K43" s="281">
        <v>-169522.45872406254</v>
      </c>
      <c r="L43" s="281">
        <v>11333780.900463283</v>
      </c>
      <c r="M43" s="275">
        <f t="shared" si="6"/>
        <v>11164258.44173922</v>
      </c>
      <c r="P43" s="282" t="str">
        <f t="shared" ca="1" si="5"/>
        <v>2027-28</v>
      </c>
      <c r="Q43" s="295">
        <v>27207176.207107991</v>
      </c>
      <c r="R43" s="320">
        <v>6.1693528886186344E-2</v>
      </c>
      <c r="S43" s="295">
        <v>38764531.330435485</v>
      </c>
      <c r="T43" s="320">
        <v>9.5121767372548266E-2</v>
      </c>
      <c r="V43" s="296">
        <v>7.7337981218129848E-2</v>
      </c>
      <c r="X43" s="297">
        <v>2190265.5694891792</v>
      </c>
    </row>
    <row r="44" spans="2:24" s="253" customFormat="1" ht="12.5" x14ac:dyDescent="0.25">
      <c r="B44" s="256">
        <f t="shared" si="7"/>
        <v>6</v>
      </c>
      <c r="C44" s="253" t="str">
        <f ca="1">OFFSET('MP Calculations'!$D$38,MATCH($C$38,'MP Calculations'!$D$39:$D$129)+'Reduction amount'!B44,)</f>
        <v>2028-29</v>
      </c>
      <c r="D44" s="294">
        <f t="shared" si="0"/>
        <v>2550063.686609434</v>
      </c>
      <c r="E44" s="294">
        <f t="shared" si="1"/>
        <v>162194.83504177179</v>
      </c>
      <c r="F44" s="294">
        <f t="shared" si="2"/>
        <v>3633306.9967162451</v>
      </c>
      <c r="G44" s="294">
        <f t="shared" si="3"/>
        <v>250079.05442294717</v>
      </c>
      <c r="H44" s="294">
        <f t="shared" si="4"/>
        <v>6595644.5727903983</v>
      </c>
      <c r="J44" s="302">
        <v>-138030.65146674676</v>
      </c>
      <c r="K44" s="281">
        <v>-172538.31433343343</v>
      </c>
      <c r="L44" s="281">
        <v>13556680.588799626</v>
      </c>
      <c r="M44" s="275">
        <f t="shared" si="6"/>
        <v>13384142.274466192</v>
      </c>
      <c r="P44" s="282" t="str">
        <f t="shared" ca="1" si="5"/>
        <v>2028-29</v>
      </c>
      <c r="Q44" s="295">
        <v>27820209.951858524</v>
      </c>
      <c r="R44" s="320">
        <v>6.1510203090902126E-2</v>
      </c>
      <c r="S44" s="295">
        <v>39637976.101921462</v>
      </c>
      <c r="T44" s="320">
        <v>9.4839107684129689E-2</v>
      </c>
      <c r="V44" s="296">
        <v>9.1662273254665985E-2</v>
      </c>
      <c r="X44" s="297">
        <v>2636876.9227127093</v>
      </c>
    </row>
    <row r="45" spans="2:24" s="253" customFormat="1" ht="12.5" x14ac:dyDescent="0.25">
      <c r="B45" s="256">
        <f t="shared" si="7"/>
        <v>7</v>
      </c>
      <c r="C45" s="253" t="str">
        <f ca="1">OFFSET('MP Calculations'!$D$38,MATCH($C$38,'MP Calculations'!$D$39:$D$129)+'Reduction amount'!B45,)</f>
        <v>2029-30</v>
      </c>
      <c r="D45" s="294">
        <f t="shared" si="0"/>
        <v>2958967.2825963111</v>
      </c>
      <c r="E45" s="294">
        <f t="shared" si="1"/>
        <v>186402.73177252474</v>
      </c>
      <c r="F45" s="294">
        <f t="shared" si="2"/>
        <v>4215909.0329253497</v>
      </c>
      <c r="G45" s="294">
        <f t="shared" si="3"/>
        <v>287403.84298625705</v>
      </c>
      <c r="H45" s="294">
        <f t="shared" si="4"/>
        <v>7648682.8902804423</v>
      </c>
      <c r="J45" s="302">
        <v>-140170.15460558544</v>
      </c>
      <c r="K45" s="281">
        <v>-175212.69325698179</v>
      </c>
      <c r="L45" s="281">
        <v>15709901.158462578</v>
      </c>
      <c r="M45" s="275">
        <f t="shared" si="6"/>
        <v>15534688.465205597</v>
      </c>
      <c r="P45" s="282" t="str">
        <f t="shared" ca="1" si="5"/>
        <v>2029-30</v>
      </c>
      <c r="Q45" s="295">
        <v>28124932.342845362</v>
      </c>
      <c r="R45" s="320">
        <v>6.067071466240017E-2</v>
      </c>
      <c r="S45" s="295">
        <v>40072141.727290854</v>
      </c>
      <c r="T45" s="320">
        <v>9.3544747895516769E-2</v>
      </c>
      <c r="V45" s="296">
        <v>0.10520797869044603</v>
      </c>
      <c r="X45" s="297">
        <v>3072367.4973956626</v>
      </c>
    </row>
    <row r="46" spans="2:24" s="253" customFormat="1" ht="12.5" x14ac:dyDescent="0.25">
      <c r="B46" s="256">
        <f t="shared" si="7"/>
        <v>8</v>
      </c>
      <c r="C46" s="253" t="str">
        <f ca="1">OFFSET('MP Calculations'!$D$38,MATCH($C$38,'MP Calculations'!$D$39:$D$129)+'Reduction amount'!B46,)</f>
        <v>2030-31</v>
      </c>
      <c r="D46" s="294">
        <f t="shared" si="0"/>
        <v>3400384.7953470778</v>
      </c>
      <c r="E46" s="294">
        <f t="shared" si="1"/>
        <v>212447.32174520849</v>
      </c>
      <c r="F46" s="294">
        <f t="shared" si="2"/>
        <v>4844836.5949984612</v>
      </c>
      <c r="G46" s="294">
        <f t="shared" si="3"/>
        <v>327560.52511195303</v>
      </c>
      <c r="H46" s="294">
        <f t="shared" si="4"/>
        <v>8785229.2372027002</v>
      </c>
      <c r="J46" s="302">
        <v>-140450.80191423596</v>
      </c>
      <c r="K46" s="281">
        <v>-175563.50239279494</v>
      </c>
      <c r="L46" s="281">
        <v>18016579.465472318</v>
      </c>
      <c r="M46" s="275">
        <f t="shared" si="6"/>
        <v>17841015.963079523</v>
      </c>
      <c r="P46" s="282" t="str">
        <f t="shared" ca="1" si="5"/>
        <v>2030-31</v>
      </c>
      <c r="Q46" s="295">
        <v>28522754.93185921</v>
      </c>
      <c r="R46" s="320">
        <v>6.0067176293160954E-2</v>
      </c>
      <c r="S46" s="295">
        <v>40638955.647941448</v>
      </c>
      <c r="T46" s="320">
        <v>9.2614186175419833E-2</v>
      </c>
      <c r="V46" s="296">
        <v>0.11921656247689216</v>
      </c>
      <c r="X46" s="297">
        <v>3536828.8448977256</v>
      </c>
    </row>
    <row r="47" spans="2:24" s="253" customFormat="1" ht="12.5" x14ac:dyDescent="0.25">
      <c r="B47" s="256">
        <f t="shared" si="7"/>
        <v>9</v>
      </c>
      <c r="C47" s="253" t="str">
        <f ca="1">OFFSET('MP Calculations'!$D$38,MATCH($C$38,'MP Calculations'!$D$39:$D$129)+'Reduction amount'!B47,)</f>
        <v>2031-32</v>
      </c>
      <c r="D47" s="294">
        <f t="shared" si="0"/>
        <v>3681384.1441056826</v>
      </c>
      <c r="E47" s="294">
        <f t="shared" si="1"/>
        <v>229569.00625782242</v>
      </c>
      <c r="F47" s="294">
        <f t="shared" si="2"/>
        <v>5245201.8506893152</v>
      </c>
      <c r="G47" s="294">
        <f t="shared" si="3"/>
        <v>353959.48332748294</v>
      </c>
      <c r="H47" s="294">
        <f t="shared" si="4"/>
        <v>9510114.484380303</v>
      </c>
      <c r="J47" s="302">
        <v>-140093.15763266757</v>
      </c>
      <c r="K47" s="281">
        <v>-175116.44704083446</v>
      </c>
      <c r="L47" s="281">
        <v>19538416.724399269</v>
      </c>
      <c r="M47" s="275">
        <f t="shared" si="6"/>
        <v>19363300.277358435</v>
      </c>
      <c r="P47" s="282" t="str">
        <f t="shared" ca="1" si="5"/>
        <v>2031-32</v>
      </c>
      <c r="Q47" s="295">
        <v>28715196.794031281</v>
      </c>
      <c r="R47" s="320">
        <v>5.974238088425305E-2</v>
      </c>
      <c r="S47" s="295">
        <v>40913145.021313742</v>
      </c>
      <c r="T47" s="320">
        <v>9.2113402480799189E-2</v>
      </c>
      <c r="V47" s="296">
        <v>0.12820334022126195</v>
      </c>
      <c r="X47" s="297">
        <v>3842649.1020268733</v>
      </c>
    </row>
    <row r="48" spans="2:24" s="253" customFormat="1" ht="12.5" x14ac:dyDescent="0.25">
      <c r="B48" s="256">
        <f t="shared" si="7"/>
        <v>10</v>
      </c>
      <c r="C48" s="253" t="str">
        <f ca="1">OFFSET('MP Calculations'!$D$38,MATCH($C$38,'MP Calculations'!$D$39:$D$129)+'Reduction amount'!B48,)</f>
        <v>2032-33</v>
      </c>
      <c r="D48" s="294">
        <f t="shared" si="0"/>
        <v>3942535.102250827</v>
      </c>
      <c r="E48" s="294">
        <f t="shared" si="1"/>
        <v>245276.67757711635</v>
      </c>
      <c r="F48" s="294">
        <f t="shared" si="2"/>
        <v>5617287.3042449811</v>
      </c>
      <c r="G48" s="294">
        <f t="shared" si="3"/>
        <v>378178.2544720993</v>
      </c>
      <c r="H48" s="294">
        <f t="shared" si="4"/>
        <v>10183277.338545024</v>
      </c>
      <c r="J48" s="302">
        <v>-138195.97485165132</v>
      </c>
      <c r="K48" s="281">
        <v>-172744.96856456416</v>
      </c>
      <c r="L48" s="281">
        <v>20974620.398638789</v>
      </c>
      <c r="M48" s="275">
        <f t="shared" si="6"/>
        <v>20801875.430074226</v>
      </c>
      <c r="P48" s="282" t="str">
        <f t="shared" ca="1" si="5"/>
        <v>2032-33</v>
      </c>
      <c r="Q48" s="295">
        <v>28867305.449789353</v>
      </c>
      <c r="R48" s="320">
        <v>5.9342421411986E-2</v>
      </c>
      <c r="S48" s="295">
        <v>41129868.017734952</v>
      </c>
      <c r="T48" s="320">
        <v>9.1496727562597968E-2</v>
      </c>
      <c r="V48" s="296">
        <v>0.13657440626414946</v>
      </c>
      <c r="X48" s="297">
        <v>4133243.5000297325</v>
      </c>
    </row>
    <row r="49" spans="2:24" s="253" customFormat="1" ht="12.5" x14ac:dyDescent="0.25">
      <c r="B49" s="256">
        <f t="shared" si="7"/>
        <v>11</v>
      </c>
      <c r="C49" s="253" t="str">
        <f ca="1">OFFSET('MP Calculations'!$D$38,MATCH($C$38,'MP Calculations'!$D$39:$D$129)+'Reduction amount'!B49,)</f>
        <v>2033-34</v>
      </c>
      <c r="D49" s="294">
        <f t="shared" si="0"/>
        <v>4196110.1183260977</v>
      </c>
      <c r="E49" s="294">
        <f t="shared" si="1"/>
        <v>260626.53175053626</v>
      </c>
      <c r="F49" s="294">
        <f t="shared" si="2"/>
        <v>5978578.6260800445</v>
      </c>
      <c r="G49" s="294">
        <f t="shared" si="3"/>
        <v>401845.32757113088</v>
      </c>
      <c r="H49" s="294">
        <f t="shared" si="4"/>
        <v>10837160.60372781</v>
      </c>
      <c r="J49" s="302">
        <v>-136794.55565125271</v>
      </c>
      <c r="K49" s="281">
        <v>-170993.1945640659</v>
      </c>
      <c r="L49" s="281">
        <v>22514974.952900555</v>
      </c>
      <c r="M49" s="275">
        <f t="shared" si="6"/>
        <v>22343981.758336488</v>
      </c>
      <c r="P49" s="282" t="str">
        <f t="shared" ca="1" si="5"/>
        <v>2033-34</v>
      </c>
      <c r="Q49" s="295">
        <v>28867305.449789353</v>
      </c>
      <c r="R49" s="320">
        <v>5.8642888208778471E-2</v>
      </c>
      <c r="S49" s="295">
        <v>41129868.017734952</v>
      </c>
      <c r="T49" s="320">
        <v>9.0418156830363861E-2</v>
      </c>
      <c r="V49" s="296">
        <v>0.145358565787328</v>
      </c>
      <c r="X49" s="297">
        <v>4444299.0396834193</v>
      </c>
    </row>
    <row r="50" spans="2:24" s="253" customFormat="1" ht="12.5" x14ac:dyDescent="0.25">
      <c r="B50" s="256">
        <f t="shared" si="7"/>
        <v>12</v>
      </c>
      <c r="C50" s="253" t="str">
        <f ca="1">OFFSET('MP Calculations'!$D$38,MATCH($C$38,'MP Calculations'!$D$39:$D$129)+'Reduction amount'!B50,)</f>
        <v>2034-35</v>
      </c>
      <c r="D50" s="294">
        <f t="shared" si="0"/>
        <v>4434074.8028798243</v>
      </c>
      <c r="E50" s="294">
        <f t="shared" si="1"/>
        <v>274849.21557257936</v>
      </c>
      <c r="F50" s="294">
        <f t="shared" si="2"/>
        <v>6317628.4929129779</v>
      </c>
      <c r="G50" s="294">
        <f t="shared" si="3"/>
        <v>423774.48037465295</v>
      </c>
      <c r="H50" s="294">
        <f t="shared" si="4"/>
        <v>11450326.991740035</v>
      </c>
      <c r="J50" s="302">
        <v>-135945.74254316482</v>
      </c>
      <c r="K50" s="281">
        <v>-169932.17817895603</v>
      </c>
      <c r="L50" s="281">
        <v>23992255.122474886</v>
      </c>
      <c r="M50" s="275">
        <f t="shared" si="6"/>
        <v>23822322.944295932</v>
      </c>
      <c r="P50" s="282" t="str">
        <f t="shared" ca="1" si="5"/>
        <v>2034-35</v>
      </c>
      <c r="Q50" s="295">
        <v>28867305.449789353</v>
      </c>
      <c r="R50" s="320">
        <v>5.7959655164535662E-2</v>
      </c>
      <c r="S50" s="295">
        <v>41129868.017734952</v>
      </c>
      <c r="T50" s="320">
        <v>8.9364718392507619E-2</v>
      </c>
      <c r="V50" s="296">
        <v>0.15360196366759199</v>
      </c>
      <c r="X50" s="297">
        <v>4742078.1713131033</v>
      </c>
    </row>
    <row r="51" spans="2:24" s="253" customFormat="1" ht="12.5" x14ac:dyDescent="0.25">
      <c r="B51" s="256">
        <f t="shared" si="7"/>
        <v>13</v>
      </c>
      <c r="C51" s="253" t="str">
        <f ca="1">OFFSET('MP Calculations'!$D$38,MATCH($C$38,'MP Calculations'!$D$39:$D$129)+'Reduction amount'!B51,)</f>
        <v>2035-36</v>
      </c>
      <c r="D51" s="294">
        <f t="shared" si="0"/>
        <v>4682441.8816130655</v>
      </c>
      <c r="E51" s="294">
        <f t="shared" si="1"/>
        <v>289848.14909914322</v>
      </c>
      <c r="F51" s="294">
        <f t="shared" si="2"/>
        <v>6671499.5941148791</v>
      </c>
      <c r="G51" s="294">
        <f t="shared" si="3"/>
        <v>446900.48875038041</v>
      </c>
      <c r="H51" s="294">
        <f t="shared" si="4"/>
        <v>12090690.113577466</v>
      </c>
      <c r="J51" s="302">
        <v>-136207.45611094753</v>
      </c>
      <c r="K51" s="281">
        <v>-170259.32013868442</v>
      </c>
      <c r="L51" s="281">
        <v>25567977.390722618</v>
      </c>
      <c r="M51" s="275">
        <f t="shared" si="6"/>
        <v>25397718.070583932</v>
      </c>
      <c r="P51" s="282" t="str">
        <f t="shared" ca="1" si="5"/>
        <v>2035-36</v>
      </c>
      <c r="Q51" s="295">
        <v>28867305.449789353</v>
      </c>
      <c r="R51" s="320">
        <v>5.7292159113808874E-2</v>
      </c>
      <c r="S51" s="295">
        <v>41129868.017734952</v>
      </c>
      <c r="T51" s="320">
        <v>8.8335543936034849E-2</v>
      </c>
      <c r="V51" s="296">
        <v>0.16220571364921882</v>
      </c>
      <c r="X51" s="297">
        <v>5059124.2079630829</v>
      </c>
    </row>
    <row r="52" spans="2:24" s="253" customFormat="1" ht="12.5" x14ac:dyDescent="0.25">
      <c r="B52" s="256">
        <f t="shared" si="7"/>
        <v>14</v>
      </c>
      <c r="C52" s="253" t="str">
        <f ca="1">OFFSET('MP Calculations'!$D$38,MATCH($C$38,'MP Calculations'!$D$39:$D$129)+'Reduction amount'!B52,)</f>
        <v>2036-37</v>
      </c>
      <c r="D52" s="294">
        <f t="shared" si="0"/>
        <v>4901984.4688764568</v>
      </c>
      <c r="E52" s="294">
        <f t="shared" si="1"/>
        <v>302737.16915040335</v>
      </c>
      <c r="F52" s="294">
        <f t="shared" si="2"/>
        <v>6984301.8282590164</v>
      </c>
      <c r="G52" s="294">
        <f t="shared" si="3"/>
        <v>466773.34071898594</v>
      </c>
      <c r="H52" s="294">
        <f t="shared" si="4"/>
        <v>12655796.807004863</v>
      </c>
      <c r="J52" s="302">
        <v>-135624.46288405216</v>
      </c>
      <c r="K52" s="281">
        <v>-169530.57860506524</v>
      </c>
      <c r="L52" s="281">
        <v>26985097.120274708</v>
      </c>
      <c r="M52" s="275">
        <f t="shared" si="6"/>
        <v>26815566.541669641</v>
      </c>
      <c r="P52" s="282" t="str">
        <f t="shared" ca="1" si="5"/>
        <v>2036-37</v>
      </c>
      <c r="Q52" s="295">
        <v>28867305.449789353</v>
      </c>
      <c r="R52" s="320">
        <v>5.6640943181868297E-2</v>
      </c>
      <c r="S52" s="295">
        <v>41129868.017734952</v>
      </c>
      <c r="T52" s="320">
        <v>8.7331470875120693E-2</v>
      </c>
      <c r="V52" s="296">
        <v>0.16981094676130318</v>
      </c>
      <c r="X52" s="297">
        <v>5344846.8924386576</v>
      </c>
    </row>
    <row r="53" spans="2:24" s="253" customFormat="1" ht="12.5" x14ac:dyDescent="0.25">
      <c r="B53" s="256">
        <f t="shared" si="7"/>
        <v>15</v>
      </c>
      <c r="C53" s="253" t="str">
        <f ca="1">OFFSET('MP Calculations'!$D$38,MATCH($C$38,'MP Calculations'!$D$39:$D$129)+'Reduction amount'!B53,)</f>
        <v>2037-38</v>
      </c>
      <c r="D53" s="294">
        <f t="shared" si="0"/>
        <v>5165324.88265213</v>
      </c>
      <c r="E53" s="294">
        <f t="shared" si="1"/>
        <v>318919.7910117422</v>
      </c>
      <c r="F53" s="294">
        <f t="shared" si="2"/>
        <v>7359506.7978107622</v>
      </c>
      <c r="G53" s="294">
        <f t="shared" si="3"/>
        <v>491724.41127635288</v>
      </c>
      <c r="H53" s="294">
        <f t="shared" si="4"/>
        <v>13335475.882750988</v>
      </c>
      <c r="J53" s="302">
        <v>-135726.2622459766</v>
      </c>
      <c r="K53" s="281">
        <v>-169657.82780747075</v>
      </c>
      <c r="L53" s="281">
        <v>28722103.864520375</v>
      </c>
      <c r="M53" s="275">
        <f t="shared" si="6"/>
        <v>28552446.036712904</v>
      </c>
      <c r="P53" s="282" t="str">
        <f t="shared" ca="1" si="5"/>
        <v>2037-38</v>
      </c>
      <c r="Q53" s="295">
        <v>28867305.449789353</v>
      </c>
      <c r="R53" s="320">
        <v>5.600436506450715E-2</v>
      </c>
      <c r="S53" s="295">
        <v>41129868.017734952</v>
      </c>
      <c r="T53" s="320">
        <v>8.6349967033675826E-2</v>
      </c>
      <c r="V53" s="296">
        <v>0.17893339202152039</v>
      </c>
      <c r="X53" s="297">
        <v>5694552.3914859649</v>
      </c>
    </row>
    <row r="54" spans="2:24" s="253" customFormat="1" ht="12.5" x14ac:dyDescent="0.25">
      <c r="B54" s="256">
        <f t="shared" si="7"/>
        <v>16</v>
      </c>
      <c r="C54" s="253" t="str">
        <f ca="1">OFFSET('MP Calculations'!$D$38,MATCH($C$38,'MP Calculations'!$D$39:$D$129)+'Reduction amount'!B54,)</f>
        <v>2038-39</v>
      </c>
      <c r="D54" s="294">
        <f t="shared" si="0"/>
        <v>5400818.3921151068</v>
      </c>
      <c r="E54" s="294">
        <f t="shared" si="1"/>
        <v>333062.87050937593</v>
      </c>
      <c r="F54" s="294">
        <f t="shared" si="2"/>
        <v>7695035.7573838178</v>
      </c>
      <c r="G54" s="294">
        <f t="shared" si="3"/>
        <v>513530.82666859357</v>
      </c>
      <c r="H54" s="294">
        <f t="shared" si="4"/>
        <v>13942447.846676894</v>
      </c>
      <c r="J54" s="302">
        <v>-136057.20465132414</v>
      </c>
      <c r="K54" s="281">
        <v>-170071.50581415519</v>
      </c>
      <c r="L54" s="281">
        <v>30309105.732768103</v>
      </c>
      <c r="M54" s="275">
        <f t="shared" si="6"/>
        <v>30139034.22695395</v>
      </c>
      <c r="P54" s="282" t="str">
        <f t="shared" ca="1" si="5"/>
        <v>2038-39</v>
      </c>
      <c r="Q54" s="295">
        <v>28867305.449789353</v>
      </c>
      <c r="R54" s="320">
        <v>5.5381936710973446E-2</v>
      </c>
      <c r="S54" s="295">
        <v>41129868.017734952</v>
      </c>
      <c r="T54" s="320">
        <v>8.5390279913813774E-2</v>
      </c>
      <c r="V54" s="296">
        <v>0.18709118526871432</v>
      </c>
      <c r="X54" s="297">
        <v>6013926.0251507685</v>
      </c>
    </row>
    <row r="55" spans="2:24" s="253" customFormat="1" ht="12.5" x14ac:dyDescent="0.25">
      <c r="B55" s="256">
        <f t="shared" si="7"/>
        <v>17</v>
      </c>
      <c r="C55" s="253" t="str">
        <f ca="1">OFFSET('MP Calculations'!$D$38,MATCH($C$38,'MP Calculations'!$D$39:$D$129)+'Reduction amount'!B55,)</f>
        <v>2039-40</v>
      </c>
      <c r="D55" s="294">
        <f t="shared" si="0"/>
        <v>5626569.2675057594</v>
      </c>
      <c r="E55" s="294">
        <f t="shared" si="1"/>
        <v>346504.13712948462</v>
      </c>
      <c r="F55" s="294">
        <f t="shared" si="2"/>
        <v>8016683.5026455224</v>
      </c>
      <c r="G55" s="294">
        <f t="shared" si="3"/>
        <v>534255.15642753942</v>
      </c>
      <c r="H55" s="294">
        <f t="shared" si="4"/>
        <v>14524012.063708305</v>
      </c>
      <c r="J55" s="302">
        <v>-136209.61143842098</v>
      </c>
      <c r="K55" s="281">
        <v>-170262.01429802622</v>
      </c>
      <c r="L55" s="281">
        <v>31859377.25031437</v>
      </c>
      <c r="M55" s="275">
        <f t="shared" si="6"/>
        <v>31689115.236016344</v>
      </c>
      <c r="P55" s="282" t="str">
        <f t="shared" ca="1" si="5"/>
        <v>2039-40</v>
      </c>
      <c r="Q55" s="295">
        <v>28867305.449789353</v>
      </c>
      <c r="R55" s="320">
        <v>5.477319152867012E-2</v>
      </c>
      <c r="S55" s="295">
        <v>41129868.017734952</v>
      </c>
      <c r="T55" s="320">
        <v>8.4451690102765015E-2</v>
      </c>
      <c r="V55" s="296">
        <v>0.19491148133975963</v>
      </c>
      <c r="X55" s="297">
        <v>6326162.9906687615</v>
      </c>
    </row>
    <row r="56" spans="2:24" s="253" customFormat="1" ht="12.5" x14ac:dyDescent="0.25">
      <c r="B56" s="256">
        <f t="shared" si="7"/>
        <v>18</v>
      </c>
      <c r="C56" s="253" t="str">
        <f ca="1">OFFSET('MP Calculations'!$D$38,MATCH($C$38,'MP Calculations'!$D$39:$D$129)+'Reduction amount'!B56,)</f>
        <v>2040-41</v>
      </c>
      <c r="D56" s="294">
        <f t="shared" si="0"/>
        <v>5857344.3505178513</v>
      </c>
      <c r="E56" s="294">
        <f t="shared" si="1"/>
        <v>360372.70527895965</v>
      </c>
      <c r="F56" s="294">
        <f t="shared" si="2"/>
        <v>8345489.6921452237</v>
      </c>
      <c r="G56" s="294">
        <f t="shared" si="3"/>
        <v>555638.31827808602</v>
      </c>
      <c r="H56" s="294">
        <f t="shared" si="4"/>
        <v>15118845.06622012</v>
      </c>
      <c r="J56" s="302">
        <v>-135810.04484725473</v>
      </c>
      <c r="K56" s="281">
        <v>-169762.55605906842</v>
      </c>
      <c r="L56" s="281">
        <v>33473381.177213244</v>
      </c>
      <c r="M56" s="275">
        <f t="shared" si="6"/>
        <v>33303618.621154174</v>
      </c>
      <c r="P56" s="282" t="str">
        <f t="shared" ca="1" si="5"/>
        <v>2040-41</v>
      </c>
      <c r="Q56" s="295">
        <v>28867305.449789353</v>
      </c>
      <c r="R56" s="320">
        <v>5.4177683216661894E-2</v>
      </c>
      <c r="S56" s="295">
        <v>41129868.017734952</v>
      </c>
      <c r="T56" s="320">
        <v>8.3533509474327194E-2</v>
      </c>
      <c r="V56" s="296">
        <v>0.2029058223222768</v>
      </c>
      <c r="X56" s="297">
        <v>6651681.7235944495</v>
      </c>
    </row>
    <row r="57" spans="2:24" s="253" customFormat="1" ht="12.5" x14ac:dyDescent="0.25">
      <c r="B57" s="256">
        <f t="shared" si="7"/>
        <v>19</v>
      </c>
      <c r="C57" s="253" t="str">
        <f ca="1">OFFSET('MP Calculations'!$D$38,MATCH($C$38,'MP Calculations'!$D$39:$D$129)+'Reduction amount'!B57,)</f>
        <v>2041-42</v>
      </c>
      <c r="D57" s="294">
        <f t="shared" si="0"/>
        <v>6086313.2150732772</v>
      </c>
      <c r="E57" s="294">
        <f t="shared" si="1"/>
        <v>377438.37821702351</v>
      </c>
      <c r="F57" s="294">
        <f t="shared" si="2"/>
        <v>8671722.3984057941</v>
      </c>
      <c r="G57" s="294">
        <f t="shared" si="3"/>
        <v>581950.91541068361</v>
      </c>
      <c r="H57" s="294">
        <f t="shared" si="4"/>
        <v>15717424.90710678</v>
      </c>
      <c r="J57" s="302">
        <v>-135791.95517804477</v>
      </c>
      <c r="K57" s="281">
        <v>-169739.94397255598</v>
      </c>
      <c r="L57" s="281">
        <v>35110253.882785514</v>
      </c>
      <c r="M57" s="275">
        <f t="shared" si="6"/>
        <v>34940513.938812956</v>
      </c>
      <c r="P57" s="282" t="str">
        <f t="shared" ca="1" si="5"/>
        <v>2041-42</v>
      </c>
      <c r="Q57" s="295">
        <v>28867305.449789353</v>
      </c>
      <c r="R57" s="320">
        <v>5.4065199135765851E-2</v>
      </c>
      <c r="S57" s="295">
        <v>41129868.017734952</v>
      </c>
      <c r="T57" s="320">
        <v>8.3360076623762797E-2</v>
      </c>
      <c r="V57" s="296">
        <v>0.2108375936112073</v>
      </c>
      <c r="X57" s="297">
        <v>6981170.5912562888</v>
      </c>
    </row>
    <row r="58" spans="2:24" s="253" customFormat="1" ht="12.5" x14ac:dyDescent="0.25">
      <c r="B58" s="256">
        <f t="shared" si="7"/>
        <v>20</v>
      </c>
      <c r="C58" s="253" t="str">
        <f ca="1">OFFSET('MP Calculations'!$D$38,MATCH($C$38,'MP Calculations'!$D$39:$D$129)+'Reduction amount'!B58,)</f>
        <v>2042-43</v>
      </c>
      <c r="D58" s="294">
        <f t="shared" si="0"/>
        <v>6311775.3582345042</v>
      </c>
      <c r="E58" s="294">
        <f t="shared" si="1"/>
        <v>394513.74613741459</v>
      </c>
      <c r="F58" s="294">
        <f t="shared" si="2"/>
        <v>8992958.7606754359</v>
      </c>
      <c r="G58" s="294">
        <f t="shared" si="3"/>
        <v>608278.4606889016</v>
      </c>
      <c r="H58" s="294">
        <f t="shared" si="4"/>
        <v>16307526.325736256</v>
      </c>
      <c r="J58" s="302">
        <v>-136143.42788156803</v>
      </c>
      <c r="K58" s="281">
        <v>-170179.28485196002</v>
      </c>
      <c r="L58" s="281">
        <v>36756150.268357798</v>
      </c>
      <c r="M58" s="275">
        <f t="shared" si="6"/>
        <v>36585970.983505838</v>
      </c>
      <c r="P58" s="282" t="str">
        <f t="shared" ca="1" si="5"/>
        <v>2042-43</v>
      </c>
      <c r="Q58" s="295">
        <v>28867305.449789353</v>
      </c>
      <c r="R58" s="320">
        <v>5.3953181167578045E-2</v>
      </c>
      <c r="S58" s="295">
        <v>41129868.017734952</v>
      </c>
      <c r="T58" s="320">
        <v>8.3187362446054416E-2</v>
      </c>
      <c r="V58" s="296">
        <v>0.21864788763235821</v>
      </c>
      <c r="X58" s="297">
        <v>7312149.8603031179</v>
      </c>
    </row>
    <row r="59" spans="2:24" s="253" customFormat="1" ht="12.5" x14ac:dyDescent="0.25">
      <c r="B59" s="256">
        <f t="shared" si="7"/>
        <v>21</v>
      </c>
      <c r="C59" s="253" t="str">
        <f ca="1">OFFSET('MP Calculations'!$D$38,MATCH($C$38,'MP Calculations'!$D$39:$D$129)+'Reduction amount'!B59,)</f>
        <v>2043-44</v>
      </c>
      <c r="D59" s="294">
        <f t="shared" si="0"/>
        <v>6533447.134695163</v>
      </c>
      <c r="E59" s="294">
        <f t="shared" si="1"/>
        <v>411569.68956406869</v>
      </c>
      <c r="F59" s="294">
        <f t="shared" si="2"/>
        <v>9308794.6437626909</v>
      </c>
      <c r="G59" s="294">
        <f t="shared" si="3"/>
        <v>634576.05643743719</v>
      </c>
      <c r="H59" s="294">
        <f t="shared" si="4"/>
        <v>16888387.524459358</v>
      </c>
      <c r="J59" s="302">
        <v>-137386.28194027371</v>
      </c>
      <c r="K59" s="281">
        <v>-171732.85242534211</v>
      </c>
      <c r="L59" s="281">
        <v>38411070.333930068</v>
      </c>
      <c r="M59" s="275">
        <f t="shared" si="6"/>
        <v>38239337.481504723</v>
      </c>
      <c r="P59" s="282" t="str">
        <f t="shared" ca="1" si="5"/>
        <v>2043-44</v>
      </c>
      <c r="Q59" s="295">
        <v>28867305.449789353</v>
      </c>
      <c r="R59" s="320">
        <v>5.3841626420864819E-2</v>
      </c>
      <c r="S59" s="295">
        <v>41129868.017734952</v>
      </c>
      <c r="T59" s="320">
        <v>8.3015362483372185E-2</v>
      </c>
      <c r="V59" s="296">
        <v>0.22632687855328867</v>
      </c>
      <c r="X59" s="297">
        <v>7644079.8119088085</v>
      </c>
    </row>
    <row r="60" spans="2:24" s="253" customFormat="1" ht="12.5" x14ac:dyDescent="0.25">
      <c r="B60" s="256">
        <f t="shared" si="7"/>
        <v>22</v>
      </c>
      <c r="C60" s="253" t="str">
        <f ca="1">OFFSET('MP Calculations'!$D$38,MATCH($C$38,'MP Calculations'!$D$39:$D$129)+'Reduction amount'!B60,)</f>
        <v>2044-45</v>
      </c>
      <c r="D60" s="294">
        <f t="shared" si="0"/>
        <v>6752467.1160903536</v>
      </c>
      <c r="E60" s="294">
        <f t="shared" si="1"/>
        <v>428693.04536879912</v>
      </c>
      <c r="F60" s="294">
        <f t="shared" si="2"/>
        <v>9620852.2739318646</v>
      </c>
      <c r="G60" s="294">
        <f t="shared" si="3"/>
        <v>660977.59152387711</v>
      </c>
      <c r="H60" s="294">
        <f t="shared" si="4"/>
        <v>17462990.026914895</v>
      </c>
      <c r="J60" s="302">
        <v>-138018.59137660745</v>
      </c>
      <c r="K60" s="281">
        <v>-172523.23922075934</v>
      </c>
      <c r="L60" s="281">
        <v>40076611.974837154</v>
      </c>
      <c r="M60" s="275">
        <f t="shared" si="6"/>
        <v>39904088.735616393</v>
      </c>
      <c r="P60" s="282" t="str">
        <f t="shared" ca="1" si="5"/>
        <v>2044-45</v>
      </c>
      <c r="Q60" s="295">
        <v>28867305.449789353</v>
      </c>
      <c r="R60" s="320">
        <v>5.3730532028254986E-2</v>
      </c>
      <c r="S60" s="295">
        <v>41129868.017734952</v>
      </c>
      <c r="T60" s="320">
        <v>8.2844072314678441E-2</v>
      </c>
      <c r="V60" s="296">
        <v>0.23391400793660244</v>
      </c>
      <c r="X60" s="297">
        <v>7978574.363331534</v>
      </c>
    </row>
    <row r="61" spans="2:24" s="253" customFormat="1" ht="12.5" x14ac:dyDescent="0.25">
      <c r="B61" s="256">
        <f t="shared" si="7"/>
        <v>23</v>
      </c>
      <c r="C61" s="253" t="str">
        <f ca="1">OFFSET('MP Calculations'!$D$38,MATCH($C$38,'MP Calculations'!$D$39:$D$129)+'Reduction amount'!B61,)</f>
        <v>2045-46</v>
      </c>
      <c r="D61" s="294">
        <f t="shared" si="0"/>
        <v>6967867.457680339</v>
      </c>
      <c r="E61" s="294">
        <f t="shared" si="1"/>
        <v>445799.37974035233</v>
      </c>
      <c r="F61" s="294">
        <f t="shared" si="2"/>
        <v>9927752.6750095058</v>
      </c>
      <c r="G61" s="294">
        <f t="shared" si="3"/>
        <v>687352.88222397282</v>
      </c>
      <c r="H61" s="294">
        <f t="shared" si="4"/>
        <v>18028772.39465417</v>
      </c>
      <c r="J61" s="302">
        <v>-139528.41003936072</v>
      </c>
      <c r="K61" s="281">
        <v>-174410.51254920088</v>
      </c>
      <c r="L61" s="281">
        <v>41751177.29574424</v>
      </c>
      <c r="M61" s="275">
        <f t="shared" si="6"/>
        <v>41576766.783195041</v>
      </c>
      <c r="P61" s="282" t="str">
        <f t="shared" ca="1" si="5"/>
        <v>2045-46</v>
      </c>
      <c r="Q61" s="295">
        <v>28867305.449789353</v>
      </c>
      <c r="R61" s="320">
        <v>5.3619895145994356E-2</v>
      </c>
      <c r="S61" s="295">
        <v>41129868.017734952</v>
      </c>
      <c r="T61" s="320">
        <v>8.2673487555349243E-2</v>
      </c>
      <c r="V61" s="296">
        <v>0.24137574841545123</v>
      </c>
      <c r="X61" s="297">
        <v>8314066.6076751091</v>
      </c>
    </row>
    <row r="62" spans="2:24" s="253" customFormat="1" ht="12.5" x14ac:dyDescent="0.25">
      <c r="B62" s="256">
        <f t="shared" si="7"/>
        <v>24</v>
      </c>
      <c r="C62" s="253" t="str">
        <f ca="1">OFFSET('MP Calculations'!$D$38,MATCH($C$38,'MP Calculations'!$D$39:$D$129)+'Reduction amount'!B62,)</f>
        <v>2046-47</v>
      </c>
      <c r="D62" s="294">
        <f t="shared" si="0"/>
        <v>7179303.4203121699</v>
      </c>
      <c r="E62" s="294">
        <f t="shared" si="1"/>
        <v>460208.90652114491</v>
      </c>
      <c r="F62" s="294">
        <f t="shared" si="2"/>
        <v>10229004.6658604</v>
      </c>
      <c r="G62" s="294">
        <f t="shared" si="3"/>
        <v>709570.11763159023</v>
      </c>
      <c r="H62" s="294">
        <f t="shared" si="4"/>
        <v>18578087.110325307</v>
      </c>
      <c r="J62" s="302">
        <v>-142475.0218726302</v>
      </c>
      <c r="K62" s="281">
        <v>-178093.77734078772</v>
      </c>
      <c r="L62" s="281">
        <v>43433569.355302475</v>
      </c>
      <c r="M62" s="275">
        <f t="shared" si="6"/>
        <v>43255475.577961691</v>
      </c>
      <c r="P62" s="282" t="str">
        <f t="shared" ca="1" si="5"/>
        <v>2046-47</v>
      </c>
      <c r="Q62" s="295">
        <v>28867305.449789353</v>
      </c>
      <c r="R62" s="320">
        <v>5.320416945804797E-2</v>
      </c>
      <c r="S62" s="295">
        <v>41129868.017734952</v>
      </c>
      <c r="T62" s="320">
        <v>8.203250359976158E-2</v>
      </c>
      <c r="V62" s="296">
        <v>0.24870015778921817</v>
      </c>
      <c r="X62" s="297">
        <v>8649865.4374075755</v>
      </c>
    </row>
    <row r="63" spans="2:24" s="253" customFormat="1" ht="12.5" x14ac:dyDescent="0.25">
      <c r="B63" s="322">
        <f t="shared" si="7"/>
        <v>25</v>
      </c>
      <c r="C63" s="278" t="str">
        <f ca="1">OFFSET('MP Calculations'!$D$38,MATCH($C$38,'MP Calculations'!$D$39:$D$129)+'Reduction amount'!B63,)</f>
        <v>2047-48</v>
      </c>
      <c r="D63" s="323">
        <f t="shared" si="0"/>
        <v>7386510.1485849619</v>
      </c>
      <c r="E63" s="323">
        <f t="shared" si="1"/>
        <v>474380.70185186283</v>
      </c>
      <c r="F63" s="323">
        <f t="shared" si="2"/>
        <v>10524230.882975472</v>
      </c>
      <c r="G63" s="323">
        <f t="shared" si="3"/>
        <v>731420.80834482249</v>
      </c>
      <c r="H63" s="323">
        <f t="shared" si="4"/>
        <v>19116542.541757118</v>
      </c>
      <c r="I63" s="278"/>
      <c r="J63" s="324">
        <v>-147464.78678993724</v>
      </c>
      <c r="K63" s="325">
        <v>-184330.98348742153</v>
      </c>
      <c r="L63" s="325">
        <v>45124421.114860713</v>
      </c>
      <c r="M63" s="326">
        <f t="shared" si="6"/>
        <v>44940090.131373294</v>
      </c>
      <c r="N63" s="278"/>
      <c r="O63" s="278"/>
      <c r="P63" s="327" t="str">
        <f t="shared" ca="1" si="5"/>
        <v>2047-48</v>
      </c>
      <c r="Q63" s="328">
        <v>28867305.449789353</v>
      </c>
      <c r="R63" s="329">
        <v>5.2794840581869514E-2</v>
      </c>
      <c r="S63" s="328">
        <v>41129868.017734952</v>
      </c>
      <c r="T63" s="329">
        <v>8.1401382526908969E-2</v>
      </c>
      <c r="U63" s="278"/>
      <c r="V63" s="330">
        <v>0.25587806113157202</v>
      </c>
      <c r="W63" s="278"/>
      <c r="X63" s="331">
        <v>8985361.0054231659</v>
      </c>
    </row>
    <row r="64" spans="2:24" s="253" customFormat="1" ht="12.5" x14ac:dyDescent="0.25">
      <c r="B64" s="256">
        <f t="shared" si="7"/>
        <v>26</v>
      </c>
      <c r="C64" s="253" t="str">
        <f ca="1">OFFSET('MP Calculations'!$D$38,MATCH($C$38,'MP Calculations'!$D$39:$D$129)+'Reduction amount'!B64,)</f>
        <v>2048-49</v>
      </c>
      <c r="D64" s="294">
        <f t="shared" si="0"/>
        <v>7590835.4033683762</v>
      </c>
      <c r="E64" s="294">
        <f t="shared" si="1"/>
        <v>488426.9183253714</v>
      </c>
      <c r="F64" s="294">
        <f t="shared" si="2"/>
        <v>10815351.603492642</v>
      </c>
      <c r="G64" s="294">
        <f t="shared" si="3"/>
        <v>753077.87611156376</v>
      </c>
      <c r="H64" s="294">
        <f t="shared" si="4"/>
        <v>19647691.801297951</v>
      </c>
      <c r="J64" s="302">
        <v>-152226.41986246774</v>
      </c>
      <c r="K64" s="281">
        <v>-190283.02482808469</v>
      </c>
      <c r="L64" s="281">
        <v>46823638.52975376</v>
      </c>
      <c r="M64" s="275">
        <f t="shared" si="6"/>
        <v>46633355.504925676</v>
      </c>
      <c r="P64" s="282" t="str">
        <f t="shared" ca="1" si="5"/>
        <v>2048-49</v>
      </c>
      <c r="Q64" s="295">
        <v>28867305.449789353</v>
      </c>
      <c r="R64" s="320">
        <v>5.2391762002130519E-2</v>
      </c>
      <c r="S64" s="295">
        <v>41129868.017734952</v>
      </c>
      <c r="T64" s="320">
        <v>8.0779898433082489E-2</v>
      </c>
      <c r="V64" s="296">
        <v>0.26295614658498606</v>
      </c>
      <c r="X64" s="297">
        <v>9322590.0343933739</v>
      </c>
    </row>
    <row r="65" spans="2:24" s="253" customFormat="1" ht="12.5" x14ac:dyDescent="0.25">
      <c r="B65" s="256">
        <f t="shared" si="7"/>
        <v>27</v>
      </c>
      <c r="C65" s="253" t="str">
        <f ca="1">OFFSET('MP Calculations'!$D$38,MATCH($C$38,'MP Calculations'!$D$39:$D$129)+'Reduction amount'!B65,)</f>
        <v>2049-50</v>
      </c>
      <c r="D65" s="294">
        <f t="shared" si="0"/>
        <v>7590835.4033683762</v>
      </c>
      <c r="E65" s="294">
        <f t="shared" si="1"/>
        <v>484726.1264213348</v>
      </c>
      <c r="F65" s="294">
        <f t="shared" si="2"/>
        <v>10815351.603492642</v>
      </c>
      <c r="G65" s="294">
        <f t="shared" si="3"/>
        <v>747371.83411744458</v>
      </c>
      <c r="H65" s="294">
        <f t="shared" si="4"/>
        <v>19638284.967399798</v>
      </c>
      <c r="J65" s="302">
        <f t="shared" ref="J65:J67" si="8">J64</f>
        <v>-152226.41986246774</v>
      </c>
      <c r="K65" s="281">
        <f t="shared" ref="K65:K67" si="9">K64</f>
        <v>-190283.02482808469</v>
      </c>
      <c r="L65" s="281">
        <f t="shared" ref="L65:L67" si="10">L64</f>
        <v>46823638.52975376</v>
      </c>
      <c r="M65" s="275">
        <f t="shared" si="6"/>
        <v>46633355.504925676</v>
      </c>
      <c r="P65" s="282" t="str">
        <f t="shared" ca="1" si="5"/>
        <v>2049-50</v>
      </c>
      <c r="Q65" s="295">
        <f>Q64</f>
        <v>28867305.449789353</v>
      </c>
      <c r="R65" s="320">
        <v>5.1994791644066563E-2</v>
      </c>
      <c r="S65" s="295">
        <f>S64</f>
        <v>41129868.017734952</v>
      </c>
      <c r="T65" s="320">
        <v>8.0167832261228089E-2</v>
      </c>
      <c r="V65" s="296">
        <f t="shared" ref="V65:V67" si="11">V64</f>
        <v>0.26295614658498606</v>
      </c>
      <c r="X65" s="297">
        <f t="shared" ref="X65:X67" si="12">X64</f>
        <v>9322590.0343933739</v>
      </c>
    </row>
    <row r="66" spans="2:24" s="253" customFormat="1" ht="12.5" x14ac:dyDescent="0.25">
      <c r="B66" s="256">
        <f t="shared" si="7"/>
        <v>28</v>
      </c>
      <c r="C66" s="253" t="str">
        <f ca="1">OFFSET('MP Calculations'!$D$38,MATCH($C$38,'MP Calculations'!$D$39:$D$129)+'Reduction amount'!B66,)</f>
        <v>2050-51</v>
      </c>
      <c r="D66" s="294">
        <f t="shared" si="0"/>
        <v>7590835.4033683762</v>
      </c>
      <c r="E66" s="294">
        <f t="shared" si="1"/>
        <v>481080.9943000428</v>
      </c>
      <c r="F66" s="294">
        <f t="shared" si="2"/>
        <v>10815351.603492642</v>
      </c>
      <c r="G66" s="294">
        <f t="shared" si="3"/>
        <v>741751.61079834402</v>
      </c>
      <c r="H66" s="294">
        <f t="shared" si="4"/>
        <v>19629019.611959405</v>
      </c>
      <c r="J66" s="302">
        <f t="shared" si="8"/>
        <v>-152226.41986246774</v>
      </c>
      <c r="K66" s="281">
        <f t="shared" si="9"/>
        <v>-190283.02482808469</v>
      </c>
      <c r="L66" s="281">
        <f t="shared" si="10"/>
        <v>46823638.52975376</v>
      </c>
      <c r="M66" s="275">
        <f t="shared" si="6"/>
        <v>46633355.504925676</v>
      </c>
      <c r="P66" s="282" t="str">
        <f t="shared" ca="1" si="5"/>
        <v>2050-51</v>
      </c>
      <c r="Q66" s="295">
        <f t="shared" ref="Q66:S67" si="13">Q65</f>
        <v>28867305.449789353</v>
      </c>
      <c r="R66" s="320">
        <v>5.1603791706512275E-2</v>
      </c>
      <c r="S66" s="295">
        <f t="shared" si="13"/>
        <v>41129868.017734952</v>
      </c>
      <c r="T66" s="320">
        <v>7.9564971543512719E-2</v>
      </c>
      <c r="V66" s="296">
        <f t="shared" si="11"/>
        <v>0.26295614658498606</v>
      </c>
      <c r="X66" s="297">
        <f t="shared" si="12"/>
        <v>9322590.0343933739</v>
      </c>
    </row>
    <row r="67" spans="2:24" s="253" customFormat="1" ht="12.5" x14ac:dyDescent="0.25">
      <c r="B67" s="256">
        <f t="shared" si="7"/>
        <v>29</v>
      </c>
      <c r="C67" s="253" t="str">
        <f ca="1">OFFSET('MP Calculations'!$D$38,MATCH($C$38,'MP Calculations'!$D$39:$D$129)+'Reduction amount'!B67,)</f>
        <v>2051-52</v>
      </c>
      <c r="D67" s="294">
        <f t="shared" si="0"/>
        <v>7590835.4033683762</v>
      </c>
      <c r="E67" s="294">
        <f t="shared" si="1"/>
        <v>480695.02593201899</v>
      </c>
      <c r="F67" s="294">
        <f t="shared" si="2"/>
        <v>10815351.603492642</v>
      </c>
      <c r="G67" s="294">
        <f t="shared" si="3"/>
        <v>741156.50797347492</v>
      </c>
      <c r="H67" s="294">
        <f t="shared" si="4"/>
        <v>19628038.540766511</v>
      </c>
      <c r="J67" s="302">
        <f t="shared" si="8"/>
        <v>-152226.41986246774</v>
      </c>
      <c r="K67" s="281">
        <f t="shared" si="9"/>
        <v>-190283.02482808469</v>
      </c>
      <c r="L67" s="281">
        <f t="shared" si="10"/>
        <v>46823638.52975376</v>
      </c>
      <c r="M67" s="275">
        <f t="shared" si="6"/>
        <v>46633355.504925676</v>
      </c>
      <c r="P67" s="282" t="str">
        <f t="shared" ca="1" si="5"/>
        <v>2051-52</v>
      </c>
      <c r="Q67" s="295">
        <f t="shared" si="13"/>
        <v>28867305.449789353</v>
      </c>
      <c r="R67" s="320">
        <v>5.156239029696838E-2</v>
      </c>
      <c r="S67" s="295">
        <f t="shared" si="13"/>
        <v>41129868.017734952</v>
      </c>
      <c r="T67" s="320">
        <v>7.9501137048734585E-2</v>
      </c>
      <c r="V67" s="296">
        <f t="shared" si="11"/>
        <v>0.26295614658498606</v>
      </c>
      <c r="X67" s="297">
        <f t="shared" si="12"/>
        <v>9322590.0343933739</v>
      </c>
    </row>
    <row r="68" spans="2:24" s="253" customFormat="1" ht="12.5" x14ac:dyDescent="0.25">
      <c r="P68" s="255"/>
    </row>
    <row r="69" spans="2:24" s="253" customFormat="1" ht="12.5" x14ac:dyDescent="0.25"/>
    <row r="70" spans="2:24" s="253" customFormat="1" ht="12.5" x14ac:dyDescent="0.25"/>
    <row r="71" spans="2:24" s="253" customFormat="1" ht="12.5" x14ac:dyDescent="0.25"/>
    <row r="72" spans="2:24" s="253" customFormat="1" ht="12.5" x14ac:dyDescent="0.25"/>
    <row r="73" spans="2:24" s="253" customFormat="1" ht="12.5" x14ac:dyDescent="0.25"/>
    <row r="74" spans="2:24" s="253" customFormat="1" ht="12.5" x14ac:dyDescent="0.25"/>
    <row r="75" spans="2:24" s="253" customFormat="1" ht="12.5" x14ac:dyDescent="0.25"/>
  </sheetData>
  <hyperlinks>
    <hyperlink ref="H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G7" sqref="G7"/>
    </sheetView>
  </sheetViews>
  <sheetFormatPr defaultRowHeight="11.5" x14ac:dyDescent="0.25"/>
  <cols>
    <col min="1" max="2" width="2.69921875" customWidth="1"/>
    <col min="13" max="13" width="9.09765625" customWidth="1"/>
    <col min="16" max="16" width="9.09765625" customWidth="1"/>
  </cols>
  <sheetData>
    <row r="3" spans="1:30" ht="20" x14ac:dyDescent="0.4">
      <c r="C3" s="169" t="s">
        <v>108</v>
      </c>
      <c r="M3" s="172"/>
    </row>
    <row r="6" spans="1:30" x14ac:dyDescent="0.25">
      <c r="C6" t="s">
        <v>195</v>
      </c>
      <c r="G6" s="172" t="s">
        <v>113</v>
      </c>
    </row>
    <row r="8" spans="1:30" x14ac:dyDescent="0.25">
      <c r="C8" t="s">
        <v>205</v>
      </c>
    </row>
    <row r="10" spans="1:30" x14ac:dyDescent="0.25">
      <c r="C10" t="s">
        <v>168</v>
      </c>
      <c r="J10" s="209" t="str">
        <f>ADDRESS(ROW('MP Calculations'!$F$22),COLUMN('MP Calculations'!$F$22))</f>
        <v>$F$22</v>
      </c>
      <c r="K10" t="str">
        <f ca="1">"on the "&amp;MID(CELL("filename",'MP Calculations'!$A$1),FIND("]",CELL("filename",'MP Calculations'!$A$1))+1,255)&amp;" worksheet."</f>
        <v>on the MP Calculations worksheet.</v>
      </c>
    </row>
    <row r="12" spans="1:30" x14ac:dyDescent="0.25">
      <c r="C12" s="86" t="s">
        <v>76</v>
      </c>
    </row>
    <row r="13" spans="1:30" x14ac:dyDescent="0.25">
      <c r="D13" s="233" t="s">
        <v>189</v>
      </c>
    </row>
    <row r="14" spans="1:30" x14ac:dyDescent="0.25">
      <c r="D14" s="85"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81"/>
      <c r="B16" s="81"/>
      <c r="C16" s="81" t="s">
        <v>69</v>
      </c>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row>
    <row r="18" spans="4:4" x14ac:dyDescent="0.25">
      <c r="D18" s="85"/>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heetViews>
  <sheetFormatPr defaultRowHeight="11.5" x14ac:dyDescent="0.25"/>
  <cols>
    <col min="1" max="2" width="2.69921875" customWidth="1"/>
    <col min="3" max="3" width="21.3984375" customWidth="1"/>
    <col min="4" max="4" width="12.3984375" customWidth="1"/>
    <col min="13" max="13" width="9.09765625" customWidth="1"/>
    <col min="16" max="16" width="9.09765625" customWidth="1"/>
  </cols>
  <sheetData>
    <row r="3" spans="1:30" ht="20" x14ac:dyDescent="0.4">
      <c r="C3" s="169" t="s">
        <v>217</v>
      </c>
      <c r="M3" s="172"/>
    </row>
    <row r="6" spans="1:30" x14ac:dyDescent="0.25">
      <c r="C6" t="s">
        <v>195</v>
      </c>
      <c r="G6" s="244" t="s">
        <v>234</v>
      </c>
    </row>
    <row r="8" spans="1:30" x14ac:dyDescent="0.25">
      <c r="C8" t="s">
        <v>218</v>
      </c>
    </row>
    <row r="10" spans="1:30" x14ac:dyDescent="0.25">
      <c r="C10" t="s">
        <v>168</v>
      </c>
      <c r="J10" s="209" t="str">
        <f>ADDRESS(ROW('MP Calculations'!$G$22),COLUMN('MP Calculations'!$G$22))</f>
        <v>$G$22</v>
      </c>
      <c r="K10" t="str">
        <f ca="1">"on the "&amp;MID(CELL("filename",'MP Calculations'!$A$1),FIND("]",CELL("filename",'MP Calculations'!$A$1))+1,255)&amp;" worksheet."</f>
        <v>on the MP Calculations worksheet.</v>
      </c>
    </row>
    <row r="12" spans="1:30" x14ac:dyDescent="0.25">
      <c r="C12" s="86" t="s">
        <v>76</v>
      </c>
    </row>
    <row r="13" spans="1:30" x14ac:dyDescent="0.25">
      <c r="D13" s="85" t="s">
        <v>235</v>
      </c>
    </row>
    <row r="14" spans="1:30" x14ac:dyDescent="0.25">
      <c r="D14" s="85"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81"/>
      <c r="B16" s="81"/>
      <c r="C16" s="81" t="s">
        <v>69</v>
      </c>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70" t="s">
        <v>177</v>
      </c>
    </row>
    <row r="6" spans="3:7" x14ac:dyDescent="0.25">
      <c r="C6" t="s">
        <v>195</v>
      </c>
      <c r="G6" s="172" t="s">
        <v>113</v>
      </c>
    </row>
    <row r="8" spans="3:7" x14ac:dyDescent="0.25">
      <c r="C8" s="56" t="s">
        <v>178</v>
      </c>
      <c r="G8" s="172"/>
    </row>
    <row r="10" spans="3:7" x14ac:dyDescent="0.25">
      <c r="C10" t="s">
        <v>179</v>
      </c>
      <c r="D10" t="s">
        <v>180</v>
      </c>
    </row>
    <row r="12" spans="3:7" x14ac:dyDescent="0.25">
      <c r="C12" t="s">
        <v>181</v>
      </c>
      <c r="D12" t="s">
        <v>182</v>
      </c>
    </row>
    <row r="14" spans="3:7" x14ac:dyDescent="0.25">
      <c r="C14" t="s">
        <v>183</v>
      </c>
      <c r="D14" t="s">
        <v>184</v>
      </c>
    </row>
    <row r="16" spans="3:7" x14ac:dyDescent="0.25">
      <c r="C16" t="s">
        <v>185</v>
      </c>
      <c r="D16" t="s">
        <v>253</v>
      </c>
    </row>
    <row r="18" spans="3:4" x14ac:dyDescent="0.25">
      <c r="C18" t="s">
        <v>186</v>
      </c>
      <c r="D18" t="s">
        <v>262</v>
      </c>
    </row>
    <row r="20" spans="3:4" x14ac:dyDescent="0.25">
      <c r="C20" t="s">
        <v>187</v>
      </c>
      <c r="D20" t="s">
        <v>254</v>
      </c>
    </row>
    <row r="22" spans="3:4" x14ac:dyDescent="0.25">
      <c r="D22" t="s">
        <v>61</v>
      </c>
    </row>
    <row r="24" spans="3:4" x14ac:dyDescent="0.25">
      <c r="C24" s="56" t="s">
        <v>255</v>
      </c>
    </row>
    <row r="26" spans="3:4" x14ac:dyDescent="0.25">
      <c r="C26" t="s">
        <v>263</v>
      </c>
    </row>
    <row r="28" spans="3:4" x14ac:dyDescent="0.25">
      <c r="C28" t="s">
        <v>256</v>
      </c>
      <c r="D28" t="s">
        <v>257</v>
      </c>
    </row>
    <row r="30" spans="3:4" x14ac:dyDescent="0.25">
      <c r="C30" t="s">
        <v>258</v>
      </c>
      <c r="D30" t="s">
        <v>259</v>
      </c>
    </row>
    <row r="32" spans="3:4" x14ac:dyDescent="0.25">
      <c r="C32" t="s">
        <v>260</v>
      </c>
      <c r="D32" t="s">
        <v>261</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12" t="s">
        <v>233</v>
      </c>
    </row>
    <row r="5" spans="3:7" x14ac:dyDescent="0.25">
      <c r="C5" s="56" t="s">
        <v>221</v>
      </c>
      <c r="D5" s="56" t="s">
        <v>222</v>
      </c>
      <c r="E5" s="56" t="s">
        <v>223</v>
      </c>
      <c r="F5" s="56" t="s">
        <v>224</v>
      </c>
      <c r="G5" s="56" t="s">
        <v>229</v>
      </c>
    </row>
    <row r="6" spans="3:7" ht="34.5" x14ac:dyDescent="0.25">
      <c r="C6" s="239" t="s">
        <v>225</v>
      </c>
      <c r="D6" s="239" t="s">
        <v>230</v>
      </c>
      <c r="E6" s="239" t="s">
        <v>226</v>
      </c>
      <c r="F6" s="242" t="s">
        <v>227</v>
      </c>
      <c r="G6" s="243">
        <v>43678</v>
      </c>
    </row>
    <row r="7" spans="3:7" ht="23" x14ac:dyDescent="0.25">
      <c r="C7" s="239" t="s">
        <v>225</v>
      </c>
      <c r="D7" s="239" t="s">
        <v>231</v>
      </c>
      <c r="E7" s="239" t="s">
        <v>228</v>
      </c>
      <c r="F7" s="242" t="s">
        <v>227</v>
      </c>
      <c r="G7" s="243">
        <v>43678</v>
      </c>
    </row>
    <row r="8" spans="3:7" ht="46" x14ac:dyDescent="0.25">
      <c r="C8" s="241" t="s">
        <v>236</v>
      </c>
      <c r="D8" s="241" t="s">
        <v>232</v>
      </c>
      <c r="E8" s="241" t="s">
        <v>268</v>
      </c>
      <c r="F8" s="242" t="s">
        <v>227</v>
      </c>
      <c r="G8" s="243">
        <v>43678</v>
      </c>
    </row>
    <row r="9" spans="3:7" x14ac:dyDescent="0.25">
      <c r="C9" s="240"/>
      <c r="D9" s="240"/>
      <c r="E9" s="240"/>
      <c r="F9" s="242"/>
      <c r="G9" s="243"/>
    </row>
    <row r="10" spans="3:7" x14ac:dyDescent="0.25">
      <c r="C10" s="240"/>
      <c r="D10" s="240"/>
      <c r="E10" s="240"/>
      <c r="F10" s="242"/>
      <c r="G10" s="243"/>
    </row>
    <row r="11" spans="3:7" x14ac:dyDescent="0.25">
      <c r="C11" s="240"/>
      <c r="D11" s="240"/>
      <c r="E11" s="240"/>
      <c r="F11" s="242"/>
      <c r="G11" s="243"/>
    </row>
    <row r="12" spans="3:7" x14ac:dyDescent="0.25">
      <c r="C12" s="240"/>
      <c r="D12" s="240"/>
      <c r="E12" s="240"/>
      <c r="F12" s="242"/>
      <c r="G12" s="243"/>
    </row>
    <row r="13" spans="3:7" x14ac:dyDescent="0.25">
      <c r="C13" s="240"/>
      <c r="D13" s="240"/>
      <c r="E13" s="240"/>
      <c r="F13" s="242"/>
      <c r="G13" s="243"/>
    </row>
    <row r="14" spans="3:7" x14ac:dyDescent="0.25">
      <c r="C14" s="240"/>
      <c r="D14" s="240"/>
      <c r="E14" s="240"/>
      <c r="F14" s="242"/>
      <c r="G14" s="243"/>
    </row>
    <row r="15" spans="3:7" x14ac:dyDescent="0.25">
      <c r="C15" s="240"/>
      <c r="D15" s="240"/>
      <c r="E15" s="240"/>
      <c r="F15" s="242"/>
      <c r="G15" s="243"/>
    </row>
    <row r="16" spans="3:7" x14ac:dyDescent="0.25">
      <c r="C16" s="240"/>
      <c r="D16" s="240"/>
      <c r="E16" s="240"/>
      <c r="F16" s="242"/>
      <c r="G16" s="243"/>
    </row>
    <row r="17" spans="3:7" x14ac:dyDescent="0.25">
      <c r="C17" s="240"/>
      <c r="D17" s="240"/>
      <c r="E17" s="240"/>
      <c r="F17" s="242"/>
      <c r="G17" s="243"/>
    </row>
    <row r="18" spans="3:7" x14ac:dyDescent="0.25">
      <c r="C18" s="240"/>
      <c r="D18" s="240"/>
      <c r="E18" s="240"/>
      <c r="F18" s="242"/>
      <c r="G18" s="243"/>
    </row>
    <row r="19" spans="3:7" x14ac:dyDescent="0.25">
      <c r="C19" s="240"/>
      <c r="D19" s="240"/>
      <c r="E19" s="240"/>
      <c r="F19" s="242"/>
      <c r="G19" s="243"/>
    </row>
    <row r="20" spans="3:7" x14ac:dyDescent="0.25">
      <c r="C20" s="240"/>
      <c r="D20" s="240"/>
      <c r="E20" s="240"/>
      <c r="F20" s="242"/>
      <c r="G20" s="243"/>
    </row>
    <row r="21" spans="3:7" x14ac:dyDescent="0.25">
      <c r="C21" s="240"/>
      <c r="D21" s="240"/>
      <c r="E21" s="240"/>
      <c r="F21" s="242"/>
      <c r="G21" s="243"/>
    </row>
    <row r="22" spans="3:7" x14ac:dyDescent="0.25">
      <c r="C22" s="240"/>
      <c r="D22" s="240"/>
      <c r="E22" s="240"/>
      <c r="F22" s="242"/>
      <c r="G22" s="243"/>
    </row>
    <row r="23" spans="3:7" x14ac:dyDescent="0.25">
      <c r="C23" s="240"/>
      <c r="D23" s="240"/>
      <c r="E23" s="240"/>
      <c r="F23" s="242"/>
      <c r="G23" s="24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tabSelected="1" zoomScaleNormal="100" workbookViewId="0">
      <selection activeCell="N19" sqref="N19"/>
    </sheetView>
  </sheetViews>
  <sheetFormatPr defaultRowHeight="11.5" outlineLevelRow="1"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226" t="s">
        <v>190</v>
      </c>
    </row>
    <row r="5" spans="1:17" hidden="1" outlineLevel="1" x14ac:dyDescent="0.25">
      <c r="D5" t="s">
        <v>241</v>
      </c>
      <c r="Q5" s="248" t="s">
        <v>234</v>
      </c>
    </row>
    <row r="6" spans="1:17" hidden="1" outlineLevel="1" x14ac:dyDescent="0.25">
      <c r="Q6" s="248"/>
    </row>
    <row r="7" spans="1:17" hidden="1" outlineLevel="1" x14ac:dyDescent="0.25"/>
    <row r="8" spans="1:17" collapsed="1" x14ac:dyDescent="0.25">
      <c r="D8" s="2" t="str">
        <f>"The maximum price for the new development area '"&amp;'General inputs'!H7&amp;"' is:"</f>
        <v>The maximum price for the new development area 'Lower South Creek Wastewater' is:</v>
      </c>
      <c r="J8" s="83">
        <f>G19</f>
        <v>6183.3176171797895</v>
      </c>
      <c r="K8" t="str">
        <f>"per ET ($"&amp;'General inputs'!$I$40&amp;")."</f>
        <v>per ET ($2022-23).</v>
      </c>
    </row>
    <row r="10" spans="1:17" x14ac:dyDescent="0.25">
      <c r="A10" s="147"/>
      <c r="B10" s="147"/>
      <c r="C10" s="2"/>
      <c r="D10" s="148" t="s">
        <v>100</v>
      </c>
      <c r="E10" s="2"/>
      <c r="F10" s="2"/>
      <c r="G10" s="2"/>
      <c r="H10" s="2"/>
      <c r="J10" s="212">
        <f>IF($J$8&lt;=0,0,IF('General inputs'!$H$42='General inputs'!$L$37,'MP Calculations'!F22,IF('General inputs'!$H$42='General inputs'!$L$38,'MP Calculations'!F22*1000,'MP Calculations'!F22*1000000)))</f>
        <v>0</v>
      </c>
      <c r="K10" s="2" t="s">
        <v>87</v>
      </c>
      <c r="L10" s="2"/>
      <c r="M10" s="2"/>
    </row>
    <row r="12" spans="1:17" x14ac:dyDescent="0.25">
      <c r="G12" s="2"/>
    </row>
    <row r="13" spans="1:17" x14ac:dyDescent="0.25">
      <c r="D13" s="148" t="s">
        <v>191</v>
      </c>
      <c r="G13" s="2"/>
    </row>
    <row r="14" spans="1:17" x14ac:dyDescent="0.25">
      <c r="G14" s="2"/>
    </row>
    <row r="15" spans="1:17" x14ac:dyDescent="0.25">
      <c r="G15" s="2"/>
    </row>
    <row r="17" spans="4:21" x14ac:dyDescent="0.25">
      <c r="D17" t="str">
        <f>"in $, $"&amp;'General inputs'!$I$40&amp;", where:"</f>
        <v>in $, $2022-23, where:</v>
      </c>
    </row>
    <row r="19" spans="4:21" x14ac:dyDescent="0.25">
      <c r="E19" t="s">
        <v>207</v>
      </c>
      <c r="F19" s="47" t="s">
        <v>66</v>
      </c>
      <c r="G19" s="171">
        <f>IF('General inputs'!$H$42='General inputs'!$L$37,'MP Calculations'!C22,IF('General inputs'!$H$42='General inputs'!$L$38,'MP Calculations'!C22*1000,'MP Calculations'!C22*1000000))</f>
        <v>6183.3176171797895</v>
      </c>
      <c r="H19" s="47" t="s">
        <v>66</v>
      </c>
      <c r="I19" s="230" t="s">
        <v>242</v>
      </c>
      <c r="J19" s="2"/>
      <c r="K19" s="2"/>
      <c r="L19" s="2"/>
      <c r="M19" s="2"/>
      <c r="N19" s="2"/>
      <c r="O19" s="2"/>
      <c r="P19" s="2"/>
      <c r="Q19" s="2"/>
      <c r="R19" s="2"/>
      <c r="S19" s="2"/>
      <c r="T19" s="2"/>
      <c r="U19" s="2"/>
    </row>
    <row r="20" spans="4:21" ht="13.5" x14ac:dyDescent="0.35">
      <c r="E20" t="s">
        <v>70</v>
      </c>
      <c r="F20" s="47" t="s">
        <v>66</v>
      </c>
      <c r="G20" s="171">
        <f>IF('General inputs'!$H$42='General inputs'!$L$37,'MP Calculations'!H20,IF('General inputs'!$H$42='General inputs'!$L$38,'MP Calculations'!H20*1000,'MP Calculations'!H20*1000000))</f>
        <v>257747784.02081773</v>
      </c>
      <c r="H20" s="47" t="s">
        <v>66</v>
      </c>
      <c r="I20" s="2" t="s">
        <v>170</v>
      </c>
      <c r="J20" s="2"/>
      <c r="K20" s="2"/>
      <c r="L20" s="2"/>
      <c r="M20" s="2"/>
      <c r="N20" s="2"/>
      <c r="O20" s="2"/>
      <c r="P20" s="2"/>
      <c r="Q20" s="2"/>
      <c r="R20" s="2"/>
      <c r="S20" s="2"/>
      <c r="T20" s="2"/>
      <c r="U20" s="2"/>
    </row>
    <row r="21" spans="4:21" ht="13.5" x14ac:dyDescent="0.35">
      <c r="E21" t="s">
        <v>71</v>
      </c>
      <c r="F21" s="47" t="s">
        <v>66</v>
      </c>
      <c r="G21" s="171">
        <f>IF('General inputs'!$H$42='General inputs'!$L$37,SUM('MP Calculations'!I20:K20),IF('General inputs'!$H$42='General inputs'!$L$38,SUM('MP Calculations'!I20:K20)*1000,SUM('MP Calculations'!I20:K20)*1000000))</f>
        <v>1826838887.9880273</v>
      </c>
      <c r="H21" s="47" t="s">
        <v>66</v>
      </c>
      <c r="I21" s="2" t="s">
        <v>171</v>
      </c>
      <c r="J21" s="2"/>
      <c r="K21" s="2"/>
      <c r="L21" s="2"/>
      <c r="M21" s="2"/>
      <c r="N21" s="2"/>
      <c r="O21" s="2"/>
      <c r="P21" s="2"/>
      <c r="Q21" s="2"/>
      <c r="R21" s="2"/>
      <c r="S21" s="2"/>
      <c r="T21" s="2"/>
      <c r="U21" s="2"/>
    </row>
    <row r="22" spans="4:21" ht="13.5" x14ac:dyDescent="0.35">
      <c r="E22" t="s">
        <v>265</v>
      </c>
      <c r="F22" s="47" t="s">
        <v>66</v>
      </c>
      <c r="G22" s="82">
        <f>'MP Calculations'!H21</f>
        <v>264216.87375827966</v>
      </c>
      <c r="H22" s="47" t="s">
        <v>66</v>
      </c>
      <c r="I22" s="228" t="s">
        <v>172</v>
      </c>
      <c r="J22" s="229"/>
      <c r="K22" s="229"/>
      <c r="L22" s="229"/>
      <c r="M22" s="229"/>
      <c r="N22" s="229"/>
      <c r="O22" s="229"/>
      <c r="P22" s="229"/>
      <c r="Q22" s="229"/>
      <c r="R22" s="229"/>
      <c r="S22" s="229"/>
      <c r="T22" s="229"/>
      <c r="U22" s="229"/>
    </row>
    <row r="23" spans="4:21" ht="13.5" x14ac:dyDescent="0.35">
      <c r="E23" t="s">
        <v>266</v>
      </c>
      <c r="F23" s="47" t="s">
        <v>66</v>
      </c>
      <c r="G23" s="82">
        <f>'MP Calculations'!J21</f>
        <v>267441.86844059202</v>
      </c>
      <c r="H23" s="47" t="s">
        <v>66</v>
      </c>
      <c r="I23" s="228" t="s">
        <v>173</v>
      </c>
      <c r="J23" s="229"/>
      <c r="K23" s="229"/>
      <c r="L23" s="229"/>
      <c r="M23" s="229"/>
      <c r="N23" s="229"/>
      <c r="O23" s="229"/>
      <c r="P23" s="229"/>
      <c r="Q23" s="229"/>
      <c r="R23" s="229"/>
      <c r="S23" s="229"/>
      <c r="T23" s="229"/>
      <c r="U23" s="229"/>
    </row>
    <row r="24" spans="4:21" ht="13.5" x14ac:dyDescent="0.35">
      <c r="E24" t="s">
        <v>267</v>
      </c>
      <c r="F24" s="47" t="s">
        <v>66</v>
      </c>
      <c r="G24" s="82">
        <f>'MP Calculations'!L21</f>
        <v>130208.78242235337</v>
      </c>
      <c r="H24" s="47" t="s">
        <v>66</v>
      </c>
      <c r="I24" s="228" t="s">
        <v>174</v>
      </c>
      <c r="J24" s="229"/>
      <c r="K24" s="229"/>
      <c r="L24" s="229"/>
      <c r="M24" s="229"/>
      <c r="N24" s="229"/>
      <c r="O24" s="229"/>
      <c r="P24" s="229"/>
      <c r="Q24" s="229"/>
      <c r="R24" s="229"/>
      <c r="S24" s="229"/>
      <c r="T24" s="229"/>
      <c r="U24" s="229"/>
    </row>
    <row r="25" spans="4:21" ht="13.5" x14ac:dyDescent="0.35">
      <c r="E25" t="s">
        <v>72</v>
      </c>
      <c r="F25" s="47" t="s">
        <v>66</v>
      </c>
      <c r="G25" s="171">
        <f>'MP Calculations'!R29</f>
        <v>388792144.73155367</v>
      </c>
      <c r="H25" s="47" t="s">
        <v>66</v>
      </c>
      <c r="I25" s="2" t="s">
        <v>175</v>
      </c>
      <c r="J25" s="2"/>
      <c r="K25" s="2"/>
      <c r="L25" s="2"/>
      <c r="M25" s="2"/>
      <c r="N25" s="2"/>
      <c r="O25" s="2"/>
      <c r="P25" s="2"/>
      <c r="Q25" s="2"/>
      <c r="R25" s="2"/>
      <c r="S25" s="2"/>
      <c r="T25" s="2"/>
      <c r="U25" s="2"/>
    </row>
    <row r="26" spans="4:21" ht="13.5" x14ac:dyDescent="0.35">
      <c r="E26" t="s">
        <v>73</v>
      </c>
      <c r="F26" s="47" t="s">
        <v>66</v>
      </c>
      <c r="G26" s="171">
        <f>'MP Calculations'!U29</f>
        <v>177464977.03075194</v>
      </c>
      <c r="H26" s="47" t="s">
        <v>66</v>
      </c>
      <c r="I26" s="2" t="s">
        <v>176</v>
      </c>
      <c r="J26" s="2"/>
      <c r="K26" s="2"/>
      <c r="L26" s="2"/>
      <c r="M26" s="2"/>
      <c r="N26" s="2"/>
      <c r="O26" s="2"/>
      <c r="P26" s="2"/>
      <c r="Q26" s="2"/>
      <c r="R26" s="2"/>
      <c r="S26" s="2"/>
      <c r="T26" s="2"/>
      <c r="U26" s="2"/>
    </row>
    <row r="27" spans="4:21" x14ac:dyDescent="0.25">
      <c r="E27" t="s">
        <v>74</v>
      </c>
      <c r="F27" s="47" t="s">
        <v>66</v>
      </c>
      <c r="G27" s="39" t="str">
        <f>INDEX('MP Calculations'!$D$39:$D$129,MATCH('General inputs'!$H$38-1,'MP Calculations'!C39:C129))</f>
        <v>2051-52</v>
      </c>
      <c r="H27" s="47" t="s">
        <v>66</v>
      </c>
      <c r="I27" s="2" t="s">
        <v>264</v>
      </c>
      <c r="J27" s="2"/>
      <c r="K27" s="2"/>
      <c r="L27" s="2"/>
      <c r="M27" s="2"/>
      <c r="N27" s="2"/>
      <c r="O27" s="2"/>
      <c r="P27" s="2"/>
      <c r="Q27" s="2"/>
      <c r="R27" s="2"/>
      <c r="S27" s="2"/>
      <c r="T27" s="2"/>
      <c r="U27" s="2"/>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zoomScale="70" zoomScaleNormal="70" workbookViewId="0"/>
  </sheetViews>
  <sheetFormatPr defaultRowHeight="11.5" outlineLevelRow="1"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25" x14ac:dyDescent="0.25">
      <c r="A1" t="s">
        <v>61</v>
      </c>
    </row>
    <row r="3" spans="1:25" ht="20" x14ac:dyDescent="0.4">
      <c r="C3" s="70" t="s">
        <v>200</v>
      </c>
    </row>
    <row r="5" spans="1:25" hidden="1" outlineLevel="1" x14ac:dyDescent="0.25"/>
    <row r="6" spans="1:25" ht="15.5" hidden="1" outlineLevel="1" x14ac:dyDescent="0.35">
      <c r="C6" s="3" t="s">
        <v>34</v>
      </c>
      <c r="E6" s="52"/>
    </row>
    <row r="7" spans="1:25" hidden="1" outlineLevel="1" x14ac:dyDescent="0.25">
      <c r="B7" s="64"/>
      <c r="C7" s="51"/>
      <c r="D7" s="51"/>
      <c r="E7" s="51"/>
      <c r="F7" s="51"/>
      <c r="G7" s="51"/>
      <c r="H7" s="51"/>
      <c r="I7" s="51"/>
      <c r="J7" s="51"/>
      <c r="K7" s="65"/>
    </row>
    <row r="8" spans="1:25" hidden="1" outlineLevel="1" x14ac:dyDescent="0.25">
      <c r="B8" s="66"/>
      <c r="C8" s="1"/>
      <c r="D8" s="1"/>
      <c r="F8" s="1"/>
      <c r="G8" s="1"/>
      <c r="H8" s="1"/>
      <c r="I8" s="1"/>
      <c r="J8" s="60" t="s">
        <v>35</v>
      </c>
      <c r="K8" s="67"/>
    </row>
    <row r="9" spans="1:25" hidden="1" outlineLevel="1" x14ac:dyDescent="0.25">
      <c r="A9" s="72">
        <v>1</v>
      </c>
      <c r="B9" s="66"/>
      <c r="C9" s="91" t="str">
        <f>"Table "&amp;A9&amp;":  Calculation of maximum price ("&amp;'General inputs'!H42&amp;", $"&amp;'General inputs'!I40&amp;")"</f>
        <v>Table 1:  Calculation of maximum price ($, $2022-23)</v>
      </c>
      <c r="D9" s="92"/>
      <c r="E9" s="92"/>
      <c r="F9" s="91"/>
      <c r="G9" s="91"/>
      <c r="H9" s="91"/>
      <c r="I9" s="91"/>
      <c r="J9" s="91">
        <f>ROW(C17)</f>
        <v>17</v>
      </c>
      <c r="K9" s="93"/>
      <c r="L9" s="92"/>
      <c r="M9" s="92"/>
      <c r="N9" s="92"/>
      <c r="O9" s="92"/>
      <c r="P9" s="92"/>
      <c r="Q9" s="92"/>
      <c r="R9" s="92"/>
      <c r="U9" s="92"/>
      <c r="V9" s="92"/>
      <c r="W9" s="92"/>
      <c r="X9" s="92"/>
      <c r="Y9" s="92"/>
    </row>
    <row r="10" spans="1:25" hidden="1" outlineLevel="1" x14ac:dyDescent="0.25">
      <c r="A10" s="102">
        <f>A9+1</f>
        <v>2</v>
      </c>
      <c r="B10" s="103"/>
      <c r="C10" s="91" t="str">
        <f>"Table "&amp;A10&amp;":  Key variables used in maximum price calculation ("&amp;'General inputs'!H42&amp;", $"&amp;'General inputs'!I40&amp;")"</f>
        <v>Table 2:  Key variables used in maximum price calculation ($, $2022-23)</v>
      </c>
      <c r="D10" s="92"/>
      <c r="E10" s="92"/>
      <c r="F10" s="91"/>
      <c r="G10" s="91"/>
      <c r="H10" s="91"/>
      <c r="I10" s="91"/>
      <c r="J10" s="91">
        <f>ROW(C26)</f>
        <v>26</v>
      </c>
      <c r="K10" s="93"/>
      <c r="L10" s="92"/>
      <c r="M10" s="92"/>
      <c r="N10" s="92"/>
      <c r="O10" s="92"/>
      <c r="P10" s="92"/>
      <c r="Q10" s="92"/>
      <c r="R10" s="92"/>
      <c r="U10" s="92"/>
      <c r="V10" s="92"/>
      <c r="W10" s="92"/>
      <c r="X10" s="92"/>
      <c r="Y10" s="92"/>
    </row>
    <row r="11" spans="1:25" hidden="1" outlineLevel="1" x14ac:dyDescent="0.25">
      <c r="A11" s="102">
        <f>A10+1</f>
        <v>3</v>
      </c>
      <c r="B11" s="103"/>
      <c r="C11" s="91" t="str">
        <f>"Table "&amp;A11&amp;":  Annual calculation over analysis horizon ("&amp;'General inputs'!H42&amp;", $"&amp;'General inputs'!I40&amp;")"</f>
        <v>Table 3:  Annual calculation over analysis horizon ($, $2022-23)</v>
      </c>
      <c r="D11" s="92"/>
      <c r="E11" s="92"/>
      <c r="F11" s="91"/>
      <c r="G11" s="91"/>
      <c r="H11" s="91"/>
      <c r="I11" s="91"/>
      <c r="J11" s="91">
        <f>ROW(C35)</f>
        <v>35</v>
      </c>
      <c r="K11" s="93"/>
      <c r="L11" s="92"/>
      <c r="M11" s="92"/>
      <c r="N11" s="92"/>
      <c r="O11" s="92"/>
      <c r="P11" s="92"/>
      <c r="Q11" s="92"/>
      <c r="R11" s="92"/>
      <c r="S11" s="92"/>
      <c r="T11" s="92"/>
      <c r="U11" s="92"/>
      <c r="V11" s="92"/>
      <c r="W11" s="92"/>
      <c r="X11" s="92"/>
      <c r="Y11" s="92"/>
    </row>
    <row r="12" spans="1:25" hidden="1" outlineLevel="1" x14ac:dyDescent="0.25">
      <c r="A12" s="92"/>
      <c r="B12" s="104"/>
      <c r="C12" s="94"/>
      <c r="D12" s="94"/>
      <c r="E12" s="94"/>
      <c r="F12" s="94"/>
      <c r="G12" s="94"/>
      <c r="H12" s="94"/>
      <c r="I12" s="94"/>
      <c r="J12" s="94"/>
      <c r="K12" s="95"/>
      <c r="L12" s="92"/>
      <c r="M12" s="92"/>
      <c r="N12" s="92"/>
      <c r="O12" s="92"/>
      <c r="P12" s="92"/>
      <c r="Q12" s="92"/>
      <c r="R12" s="92"/>
      <c r="S12" s="92"/>
      <c r="T12" s="92"/>
      <c r="U12" s="92"/>
      <c r="V12" s="92"/>
      <c r="W12" s="92"/>
      <c r="X12" s="92"/>
      <c r="Y12" s="92"/>
    </row>
    <row r="13" spans="1:25" hidden="1" outlineLevel="1" x14ac:dyDescent="0.25">
      <c r="A13" s="92"/>
      <c r="B13" s="91"/>
      <c r="C13" s="91"/>
      <c r="D13" s="91"/>
      <c r="E13" s="96"/>
      <c r="F13" s="91"/>
      <c r="G13" s="91"/>
      <c r="H13" s="91"/>
      <c r="I13" s="91"/>
      <c r="J13" s="91"/>
      <c r="K13" s="91"/>
      <c r="L13" s="92"/>
      <c r="M13" s="92"/>
      <c r="N13" s="92"/>
      <c r="O13" s="92"/>
      <c r="P13" s="92"/>
      <c r="Q13" s="92"/>
      <c r="R13" s="92"/>
      <c r="S13" s="92"/>
      <c r="T13" s="92"/>
      <c r="U13" s="92"/>
      <c r="V13" s="92"/>
      <c r="W13" s="92"/>
      <c r="X13" s="92"/>
      <c r="Y13" s="92"/>
    </row>
    <row r="14" spans="1:25" hidden="1" outlineLevel="1" x14ac:dyDescent="0.25">
      <c r="A14" s="92"/>
      <c r="B14" s="175" t="str">
        <f>"Note:  an input is required in "&amp;ADDRESS(ROW($G$22),COLUMN($G$22))&amp;" to incorporate the Headwork costs per ET into the maximum price."</f>
        <v>Note:  an input is required in $G$22 to incorporate the Headwork costs per ET into the maximum price.</v>
      </c>
      <c r="C14" s="91"/>
      <c r="D14" s="91"/>
      <c r="E14" s="91"/>
      <c r="F14" s="91"/>
      <c r="G14" s="91"/>
      <c r="H14" s="91"/>
      <c r="I14" s="91"/>
      <c r="J14" s="91"/>
      <c r="K14" s="91"/>
      <c r="L14" s="92"/>
      <c r="M14" s="92"/>
      <c r="N14" s="92"/>
      <c r="O14" s="92"/>
      <c r="P14" s="92"/>
      <c r="Q14" s="92"/>
      <c r="R14" s="92"/>
      <c r="S14" s="92"/>
      <c r="T14" s="92"/>
      <c r="U14" s="92"/>
      <c r="V14" s="92"/>
      <c r="W14" s="92"/>
      <c r="X14" s="92"/>
      <c r="Y14" s="92"/>
    </row>
    <row r="15" spans="1:25" hidden="1" outlineLevel="1" x14ac:dyDescent="0.25">
      <c r="A15" s="92"/>
      <c r="B15" s="175" t="str">
        <f>"Note:  an input is required in "&amp;ADDRESS(ROW($F$22),COLUMN($F$22))&amp;" to incorporate the Scheme cost allocation per ET into the maximum price."</f>
        <v>Note:  an input is required in $F$22 to incorporate the Scheme cost allocation per ET into the maximum price.</v>
      </c>
      <c r="C15" s="91"/>
      <c r="D15" s="91"/>
      <c r="E15" s="91"/>
      <c r="F15" s="91"/>
      <c r="G15" s="91"/>
      <c r="H15" s="91"/>
      <c r="I15" s="91"/>
      <c r="J15" s="91"/>
      <c r="K15" s="91"/>
      <c r="L15" s="92"/>
      <c r="M15" s="92"/>
      <c r="N15" s="92"/>
      <c r="O15" s="92"/>
      <c r="P15" s="92"/>
      <c r="Q15" s="92"/>
      <c r="R15" s="92"/>
      <c r="S15" s="92"/>
      <c r="T15" s="92"/>
      <c r="U15" s="92"/>
      <c r="V15" s="92"/>
      <c r="W15" s="92"/>
      <c r="X15" s="92"/>
      <c r="Y15" s="92"/>
    </row>
    <row r="16" spans="1:25" collapsed="1" x14ac:dyDescent="0.25">
      <c r="A16" s="92"/>
      <c r="B16" s="92"/>
      <c r="C16" s="92"/>
      <c r="D16" s="92"/>
      <c r="F16" s="92"/>
      <c r="G16" s="92"/>
      <c r="H16" s="92"/>
      <c r="I16" s="92"/>
      <c r="J16" s="92"/>
      <c r="K16" s="92"/>
      <c r="L16" s="92"/>
      <c r="M16" s="92"/>
      <c r="N16" s="92"/>
      <c r="O16" s="92"/>
      <c r="P16" s="92"/>
      <c r="Q16" s="92"/>
      <c r="R16" s="92"/>
      <c r="S16" s="92"/>
      <c r="T16" s="92"/>
      <c r="U16" s="92"/>
      <c r="V16" s="92"/>
      <c r="W16" s="92"/>
      <c r="X16" s="92"/>
      <c r="Y16" s="92"/>
    </row>
    <row r="17" spans="1:25" ht="18" x14ac:dyDescent="0.4">
      <c r="A17" s="92"/>
      <c r="B17" s="92"/>
      <c r="C17" s="97" t="str">
        <f>C9</f>
        <v>Table 1:  Calculation of maximum price ($, $2022-23)</v>
      </c>
      <c r="D17" s="92"/>
      <c r="E17" s="94"/>
      <c r="F17" s="92"/>
      <c r="G17" s="92"/>
      <c r="H17" s="92"/>
      <c r="I17" s="92"/>
      <c r="J17" s="92"/>
      <c r="K17" s="92"/>
      <c r="L17" s="92"/>
      <c r="M17" s="92"/>
      <c r="N17" s="92"/>
      <c r="O17" s="92"/>
      <c r="P17" s="92"/>
      <c r="Q17" s="92"/>
      <c r="R17" s="92"/>
      <c r="S17" s="92"/>
      <c r="T17" s="92"/>
      <c r="U17" s="92"/>
      <c r="V17" s="92"/>
      <c r="W17" s="92"/>
      <c r="X17" s="92"/>
      <c r="Y17" s="92"/>
    </row>
    <row r="18" spans="1:25" x14ac:dyDescent="0.25">
      <c r="A18" s="92"/>
      <c r="B18" s="105"/>
      <c r="C18" s="188"/>
      <c r="D18" s="173"/>
      <c r="E18" s="173"/>
      <c r="F18" s="188"/>
      <c r="G18" s="188"/>
      <c r="H18" s="188"/>
      <c r="I18" s="173"/>
      <c r="J18" s="188"/>
      <c r="K18" s="188"/>
      <c r="L18" s="96"/>
      <c r="M18" s="98"/>
      <c r="N18" s="92"/>
      <c r="O18" s="92"/>
      <c r="P18" s="92"/>
      <c r="Q18" s="92"/>
      <c r="R18" s="92"/>
      <c r="S18" s="92"/>
      <c r="T18" s="92"/>
      <c r="U18" s="92"/>
      <c r="V18" s="92"/>
      <c r="W18" s="92"/>
      <c r="X18" s="92"/>
      <c r="Y18" s="92"/>
    </row>
    <row r="19" spans="1:25" ht="46" x14ac:dyDescent="0.25">
      <c r="A19" s="92"/>
      <c r="B19" s="103"/>
      <c r="C19" s="99" t="s">
        <v>201</v>
      </c>
      <c r="F19" s="196" t="s">
        <v>149</v>
      </c>
      <c r="G19" s="196" t="s">
        <v>219</v>
      </c>
      <c r="H19" s="195" t="s">
        <v>131</v>
      </c>
      <c r="I19" s="197"/>
      <c r="J19" s="195" t="s">
        <v>132</v>
      </c>
      <c r="K19" s="195" t="s">
        <v>133</v>
      </c>
      <c r="L19" s="195" t="s">
        <v>151</v>
      </c>
      <c r="M19" s="93"/>
      <c r="N19" s="92"/>
      <c r="O19" s="92"/>
      <c r="P19" s="92"/>
      <c r="Q19" s="92"/>
      <c r="R19" s="92"/>
      <c r="S19" s="92"/>
      <c r="T19" s="92"/>
      <c r="U19" s="92"/>
      <c r="V19" s="92"/>
      <c r="W19" s="92"/>
      <c r="X19" s="92"/>
      <c r="Y19" s="92"/>
    </row>
    <row r="20" spans="1:25" x14ac:dyDescent="0.25">
      <c r="A20" s="92"/>
      <c r="B20" s="103"/>
      <c r="C20" s="91"/>
      <c r="E20" s="101" t="s">
        <v>148</v>
      </c>
      <c r="F20" s="91"/>
      <c r="H20" s="198">
        <f>K29</f>
        <v>257747784.02081773</v>
      </c>
      <c r="I20" s="200"/>
      <c r="J20" s="201">
        <f>M29</f>
        <v>654120213.20858145</v>
      </c>
      <c r="K20" s="201">
        <f>O29</f>
        <v>1172718674.7794459</v>
      </c>
      <c r="L20" s="198">
        <f>R29-U29</f>
        <v>211327167.70080173</v>
      </c>
      <c r="M20" s="93"/>
      <c r="N20" s="92"/>
      <c r="O20" s="92"/>
      <c r="P20" s="92"/>
      <c r="Q20" s="92"/>
      <c r="R20" s="92"/>
      <c r="S20" s="92"/>
      <c r="T20" s="92"/>
      <c r="U20" s="92"/>
      <c r="V20" s="92"/>
      <c r="W20" s="92"/>
      <c r="X20" s="92"/>
      <c r="Y20" s="92"/>
    </row>
    <row r="21" spans="1:25" x14ac:dyDescent="0.25">
      <c r="A21" s="92"/>
      <c r="B21" s="103"/>
      <c r="C21" s="91"/>
      <c r="E21" s="101" t="s">
        <v>21</v>
      </c>
      <c r="F21" s="94"/>
      <c r="H21" s="198">
        <f>F29</f>
        <v>264216.87375827966</v>
      </c>
      <c r="I21" s="200"/>
      <c r="J21" s="201">
        <f>G29</f>
        <v>267441.86844059202</v>
      </c>
      <c r="K21" s="201">
        <f>G29</f>
        <v>267441.86844059202</v>
      </c>
      <c r="L21" s="198">
        <f>H29</f>
        <v>130208.78242235337</v>
      </c>
      <c r="M21" s="93"/>
      <c r="N21" s="92"/>
      <c r="O21" s="92"/>
      <c r="P21" s="92"/>
      <c r="Q21" s="92"/>
      <c r="R21" s="92"/>
      <c r="S21" s="92"/>
      <c r="T21" s="92"/>
      <c r="U21" s="92"/>
      <c r="V21" s="92"/>
      <c r="W21" s="92"/>
      <c r="X21" s="92"/>
      <c r="Y21" s="92"/>
    </row>
    <row r="22" spans="1:25" ht="12" customHeight="1" x14ac:dyDescent="0.25">
      <c r="B22" s="66"/>
      <c r="C22" s="106">
        <f>IF(SUM(F22:K22,-L22)&lt;0,0,SUM(F22:K22,-L22))</f>
        <v>6183.3176171797895</v>
      </c>
      <c r="E22" s="101" t="s">
        <v>150</v>
      </c>
      <c r="F22" s="199"/>
      <c r="G22" s="199"/>
      <c r="H22" s="110">
        <f>H20/H21</f>
        <v>975.51598561649689</v>
      </c>
      <c r="I22" s="203"/>
      <c r="J22" s="202">
        <f>J20/J21</f>
        <v>2445.8407242764379</v>
      </c>
      <c r="K22" s="202">
        <f>K20/K21</f>
        <v>4384.9479575407122</v>
      </c>
      <c r="L22" s="110">
        <f>L20/L21</f>
        <v>1622.9870502538583</v>
      </c>
      <c r="M22" s="67"/>
    </row>
    <row r="23" spans="1:25" x14ac:dyDescent="0.25">
      <c r="B23" s="68"/>
      <c r="C23" s="71"/>
      <c r="D23" s="52"/>
      <c r="E23" s="52"/>
      <c r="F23" s="52"/>
      <c r="G23" s="52"/>
      <c r="H23" s="52"/>
      <c r="I23" s="52"/>
      <c r="J23" s="52"/>
      <c r="K23" s="52"/>
      <c r="L23" s="52"/>
      <c r="M23" s="69"/>
    </row>
    <row r="24" spans="1:25" x14ac:dyDescent="0.25">
      <c r="E24" s="51"/>
    </row>
    <row r="25" spans="1:25" x14ac:dyDescent="0.25">
      <c r="C25" s="50"/>
      <c r="D25" s="63"/>
    </row>
    <row r="26" spans="1:25" ht="18" x14ac:dyDescent="0.4">
      <c r="C26" s="97" t="str">
        <f>C10</f>
        <v>Table 2:  Key variables used in maximum price calculation ($, $2022-23)</v>
      </c>
      <c r="D26" s="107"/>
      <c r="E26" s="92"/>
      <c r="F26" s="92"/>
      <c r="G26" s="92"/>
      <c r="H26" s="92"/>
      <c r="I26" s="92"/>
      <c r="J26" s="92"/>
      <c r="K26" s="92"/>
      <c r="L26" s="92"/>
      <c r="M26" s="92"/>
      <c r="N26" s="92"/>
      <c r="O26" s="92"/>
      <c r="P26" s="92"/>
      <c r="Q26" s="92"/>
      <c r="R26" s="92"/>
      <c r="S26" s="92"/>
      <c r="T26" s="92"/>
      <c r="U26" s="92"/>
      <c r="V26" s="92"/>
      <c r="W26" s="92"/>
      <c r="X26" s="92"/>
      <c r="Y26" s="92"/>
    </row>
    <row r="27" spans="1:25" ht="18" x14ac:dyDescent="0.4">
      <c r="B27" s="64"/>
      <c r="C27" s="108"/>
      <c r="D27" s="109"/>
      <c r="E27" s="96"/>
      <c r="F27" s="96"/>
      <c r="G27" s="96"/>
      <c r="H27" s="96"/>
      <c r="I27" s="96"/>
      <c r="J27" s="96"/>
      <c r="K27" s="96"/>
      <c r="L27" s="96"/>
      <c r="M27" s="96"/>
      <c r="N27" s="96"/>
      <c r="O27" s="96"/>
      <c r="P27" s="96"/>
      <c r="Q27" s="96"/>
      <c r="R27" s="96"/>
      <c r="S27" s="96"/>
      <c r="T27" s="96"/>
      <c r="U27" s="96"/>
      <c r="V27" s="98"/>
      <c r="W27" s="92"/>
    </row>
    <row r="28" spans="1:25" ht="92" x14ac:dyDescent="0.25">
      <c r="B28" s="66"/>
      <c r="C28" s="91"/>
      <c r="D28" s="91"/>
      <c r="E28" s="205" t="s">
        <v>33</v>
      </c>
      <c r="F28" s="205" t="s">
        <v>152</v>
      </c>
      <c r="G28" s="205" t="s">
        <v>153</v>
      </c>
      <c r="H28" s="205" t="s">
        <v>154</v>
      </c>
      <c r="I28" s="206"/>
      <c r="J28" s="206"/>
      <c r="K28" s="205" t="s">
        <v>165</v>
      </c>
      <c r="L28" s="206"/>
      <c r="M28" s="205" t="s">
        <v>166</v>
      </c>
      <c r="N28" s="206"/>
      <c r="O28" s="205" t="s">
        <v>167</v>
      </c>
      <c r="P28" s="206"/>
      <c r="Q28" s="206"/>
      <c r="R28" s="205" t="s">
        <v>169</v>
      </c>
      <c r="S28" s="91"/>
      <c r="T28" s="91"/>
      <c r="U28" s="205" t="s">
        <v>155</v>
      </c>
      <c r="V28" s="93"/>
      <c r="W28" s="92"/>
    </row>
    <row r="29" spans="1:25" x14ac:dyDescent="0.25">
      <c r="B29" s="66"/>
      <c r="D29" s="1"/>
      <c r="E29" s="187">
        <f>SUM(E39:E129)</f>
        <v>289884.48491540278</v>
      </c>
      <c r="F29" s="110">
        <f t="shared" ref="F29:H29" si="0">SUM(F39:F129)</f>
        <v>264216.87375827966</v>
      </c>
      <c r="G29" s="110">
        <f t="shared" si="0"/>
        <v>267441.86844059202</v>
      </c>
      <c r="H29" s="106">
        <f t="shared" si="0"/>
        <v>130208.78242235337</v>
      </c>
      <c r="I29" s="1"/>
      <c r="J29" s="1"/>
      <c r="K29" s="110">
        <f>K39</f>
        <v>257747784.02081773</v>
      </c>
      <c r="L29" s="1"/>
      <c r="M29" s="110">
        <f>SUM(M39:M129)</f>
        <v>654120213.20858145</v>
      </c>
      <c r="N29" s="1"/>
      <c r="O29" s="110">
        <f>SUM(O39:O129)</f>
        <v>1172718674.7794459</v>
      </c>
      <c r="P29" s="1"/>
      <c r="Q29" s="1"/>
      <c r="R29" s="110">
        <f>SUM(R39:R129)</f>
        <v>388792144.73155367</v>
      </c>
      <c r="S29" s="1"/>
      <c r="T29" s="1"/>
      <c r="U29" s="110">
        <f>SUM(U39:U129)</f>
        <v>177464977.03075194</v>
      </c>
      <c r="V29" s="67"/>
    </row>
    <row r="30" spans="1:25" x14ac:dyDescent="0.25">
      <c r="B30" s="68"/>
      <c r="C30" s="52"/>
      <c r="D30" s="52"/>
      <c r="E30" s="52"/>
      <c r="F30" s="52"/>
      <c r="G30" s="52"/>
      <c r="H30" s="52"/>
      <c r="I30" s="52"/>
      <c r="J30" s="52"/>
      <c r="K30" s="52"/>
      <c r="L30" s="52"/>
      <c r="M30" s="52"/>
      <c r="N30" s="52"/>
      <c r="O30" s="52"/>
      <c r="P30" s="52"/>
      <c r="Q30" s="52"/>
      <c r="R30" s="52"/>
      <c r="S30" s="52"/>
      <c r="T30" s="52"/>
      <c r="U30" s="52"/>
      <c r="V30" s="69"/>
    </row>
    <row r="32" spans="1:25" x14ac:dyDescent="0.25">
      <c r="K32" s="47" t="s">
        <v>289</v>
      </c>
    </row>
    <row r="33" spans="2:27" x14ac:dyDescent="0.25">
      <c r="B33" s="175"/>
      <c r="C33" s="92"/>
      <c r="D33" s="92"/>
      <c r="E33" s="92"/>
      <c r="F33" s="92"/>
      <c r="G33" s="92"/>
      <c r="H33" s="92"/>
      <c r="I33" s="92"/>
      <c r="J33" t="s">
        <v>290</v>
      </c>
      <c r="K33" s="291">
        <v>3.7999999999999999E-2</v>
      </c>
      <c r="L33" t="s">
        <v>291</v>
      </c>
      <c r="N33" s="92"/>
      <c r="O33" s="92"/>
      <c r="P33" s="92"/>
      <c r="Q33" s="92"/>
      <c r="R33" s="92"/>
      <c r="S33" s="92"/>
      <c r="T33" s="92"/>
      <c r="U33" s="92"/>
      <c r="V33" s="92"/>
      <c r="W33" s="92"/>
    </row>
    <row r="34" spans="2:27" x14ac:dyDescent="0.25">
      <c r="B34" s="92"/>
      <c r="C34" s="92"/>
      <c r="D34" s="92"/>
      <c r="E34" s="92"/>
      <c r="F34" s="92"/>
      <c r="G34" s="92"/>
      <c r="H34" s="92"/>
      <c r="I34" s="92"/>
      <c r="J34" t="s">
        <v>292</v>
      </c>
      <c r="K34" s="291">
        <v>6.0999999999999999E-2</v>
      </c>
      <c r="L34" t="s">
        <v>291</v>
      </c>
      <c r="N34" s="92"/>
      <c r="O34" s="92"/>
      <c r="P34" s="92"/>
      <c r="Q34" s="92"/>
      <c r="R34" s="92"/>
      <c r="S34" s="92"/>
      <c r="T34" s="92"/>
      <c r="U34" s="92"/>
      <c r="V34" s="92"/>
      <c r="W34" s="92"/>
    </row>
    <row r="35" spans="2:27" ht="18" x14ac:dyDescent="0.4">
      <c r="B35" s="92"/>
      <c r="C35" s="97" t="str">
        <f>C11</f>
        <v>Table 3:  Annual calculation over analysis horizon ($, $2022-23)</v>
      </c>
      <c r="D35" s="213"/>
      <c r="E35" s="213"/>
      <c r="F35" s="213"/>
      <c r="G35" s="213"/>
      <c r="H35" s="213"/>
      <c r="I35" s="213"/>
      <c r="J35" t="s">
        <v>293</v>
      </c>
      <c r="K35" s="306">
        <v>0.06</v>
      </c>
      <c r="L35" s="213" t="s">
        <v>291</v>
      </c>
      <c r="M35" s="2"/>
      <c r="N35" s="213"/>
      <c r="O35" s="213"/>
      <c r="P35" s="2"/>
      <c r="Q35" s="213"/>
      <c r="R35" s="213"/>
      <c r="S35" s="2"/>
      <c r="T35" s="213"/>
      <c r="U35" s="213"/>
      <c r="V35" s="92"/>
      <c r="W35" s="92"/>
    </row>
    <row r="36" spans="2:27" ht="18" x14ac:dyDescent="0.4">
      <c r="B36" s="105"/>
      <c r="C36" s="108"/>
      <c r="D36" s="214"/>
      <c r="E36" s="188"/>
      <c r="F36" s="188"/>
      <c r="G36" s="188"/>
      <c r="H36" s="188"/>
      <c r="I36" s="188"/>
      <c r="J36" s="188"/>
      <c r="K36" s="96"/>
      <c r="L36" s="188"/>
      <c r="M36" s="96"/>
      <c r="N36" s="96"/>
      <c r="O36" s="96"/>
      <c r="P36" s="96"/>
      <c r="Q36" s="191"/>
      <c r="R36" s="173"/>
      <c r="S36" s="96"/>
      <c r="T36" s="190"/>
      <c r="U36" s="96"/>
      <c r="V36" s="98"/>
      <c r="W36" s="92"/>
    </row>
    <row r="37" spans="2:27" ht="18" x14ac:dyDescent="0.4">
      <c r="B37" s="103"/>
      <c r="C37" s="204"/>
      <c r="D37" s="215"/>
      <c r="E37" s="193" t="s">
        <v>144</v>
      </c>
      <c r="F37" s="189"/>
      <c r="G37" s="189"/>
      <c r="H37" s="189"/>
      <c r="I37" s="189"/>
      <c r="J37" s="193" t="s">
        <v>145</v>
      </c>
      <c r="K37" s="91"/>
      <c r="L37" s="189"/>
      <c r="M37" s="91"/>
      <c r="N37" s="91"/>
      <c r="O37" s="91"/>
      <c r="P37" s="91"/>
      <c r="Q37" s="193" t="s">
        <v>146</v>
      </c>
      <c r="R37" s="174"/>
      <c r="S37" s="91"/>
      <c r="T37" s="193" t="s">
        <v>147</v>
      </c>
      <c r="U37" s="91"/>
      <c r="V37" s="93"/>
      <c r="W37" s="92"/>
    </row>
    <row r="38" spans="2:27" ht="82" x14ac:dyDescent="0.4">
      <c r="B38" s="103"/>
      <c r="C38" s="204"/>
      <c r="D38" s="216" t="s">
        <v>22</v>
      </c>
      <c r="E38" s="192" t="s">
        <v>97</v>
      </c>
      <c r="F38" s="192" t="s">
        <v>163</v>
      </c>
      <c r="G38" s="192" t="s">
        <v>162</v>
      </c>
      <c r="H38" s="34" t="s">
        <v>164</v>
      </c>
      <c r="I38" s="112"/>
      <c r="J38" s="34" t="s">
        <v>134</v>
      </c>
      <c r="K38" s="192" t="s">
        <v>161</v>
      </c>
      <c r="L38" s="34" t="s">
        <v>135</v>
      </c>
      <c r="M38" s="35" t="s">
        <v>160</v>
      </c>
      <c r="N38" s="35" t="s">
        <v>237</v>
      </c>
      <c r="O38" s="35" t="s">
        <v>238</v>
      </c>
      <c r="P38" s="112"/>
      <c r="Q38" s="35" t="s">
        <v>158</v>
      </c>
      <c r="R38" s="35" t="s">
        <v>156</v>
      </c>
      <c r="S38" s="194"/>
      <c r="T38" s="35" t="s">
        <v>159</v>
      </c>
      <c r="U38" s="35" t="s">
        <v>157</v>
      </c>
      <c r="V38" s="93"/>
      <c r="W38" s="92"/>
    </row>
    <row r="39" spans="2:27" ht="12" thickBot="1" x14ac:dyDescent="0.3">
      <c r="B39" s="66"/>
      <c r="C39" s="111">
        <f>IF(D39='General inputs'!$I$16,0,IF(D39&lt;'General inputs'!$I$16,C40-1,C38+1))</f>
        <v>-27</v>
      </c>
      <c r="D39" s="217" t="str">
        <f>RIGHT(YEAR('General inputs'!$H$24),4)&amp;"-"&amp;RIGHT(YEAR('General inputs'!H24),2)+1</f>
        <v>1995-96</v>
      </c>
      <c r="E39" s="114">
        <f>IF(LEFT(D39,4)*1&gt;LEFT('General inputs'!$I$16,4)+'General inputs'!$H$38-1,"",'ET inputs'!D12)</f>
        <v>764.13556966383658</v>
      </c>
      <c r="F39" s="114">
        <f>IF(LEFT(D39,4)*1&gt;LEFT('General inputs'!$I$16,4)+'General inputs'!$H$38-1,"",E39/(1+'General inputs'!$H$30)^C39)</f>
        <v>1697.3659396593678</v>
      </c>
      <c r="G39" s="114">
        <f>IF(LEFT(D39,4)*1&gt;LEFT('General inputs'!$I$16,4)+'General inputs'!$H$38-1,"",E39/(1+'General inputs'!$H$32)^C39)</f>
        <v>2320.5921996802863</v>
      </c>
      <c r="H39" s="113" t="str">
        <f>IF(LEFT(D39,4)*1&lt;LEFT('General inputs'!$I$16,4)*1,"",IF(LEFT(D39,4)*1&gt;LEFT('General inputs'!$I$16,4)+'General inputs'!$H$38-1,"",E39/(1+'General inputs'!$H$34)^C39))</f>
        <v/>
      </c>
      <c r="I39" s="91"/>
      <c r="J39" s="114">
        <f>'Pre-1996 assets'!P791*(1+$K$34)*(1+$K$35)</f>
        <v>116035231.51399185</v>
      </c>
      <c r="K39" s="114">
        <f>J39/(1+'General inputs'!$H$30)^C39</f>
        <v>257747784.02081773</v>
      </c>
      <c r="L39" s="218">
        <f>IF(LEFT(D39,4)*1&gt;LEFT('General inputs'!$I$18,4)*1,"",SUMIF('Post-1996 commissioned assets'!$F$22:$F$2700,$D39,'Post-1996 commissioned assets'!$P$22:$P$2700)*(1+$K$34)*(1+$K$35))</f>
        <v>48787983.867898911</v>
      </c>
      <c r="M39" s="218">
        <f>IF(L39="","",L39/(1+'General inputs'!$H$32)^C39)</f>
        <v>148163518.74809468</v>
      </c>
      <c r="N39" s="114" t="str">
        <f>IF(LEFT(D39,4)*1&lt;LEFT('General inputs'!$I$18,4)*1+1,"",SUMIF('Uncommissioned assets'!$F$22:$F$1511,$D39,'Uncommissioned assets'!$P$22:$P$1511))</f>
        <v/>
      </c>
      <c r="O39" s="114" t="str">
        <f>IF(N39="","",N39/(1+'General inputs'!$H$32)^C39)</f>
        <v/>
      </c>
      <c r="P39" s="91"/>
      <c r="Q39" s="49"/>
      <c r="R39" s="113" t="str">
        <f>IF(OR(LEFT(D39,4)*1&lt;LEFT('General inputs'!$I$16,4)*1,LEFT(D39,4)*1&gt;LEFT('General inputs'!$I$16,4)+'General inputs'!$H$38-1),"",Q39/(1+'General inputs'!$H$34)^C39)</f>
        <v/>
      </c>
      <c r="S39" s="91"/>
      <c r="T39" s="49"/>
      <c r="U39" s="113" t="str">
        <f>IF(OR(LEFT(D39,4)*1&lt;LEFT('General inputs'!$I$16,4)*1,LEFT(D39,4)*1&gt;LEFT('General inputs'!$I$16,4)+'General inputs'!$H$38-1),"",T39/(1+'General inputs'!$H$34)^C39)</f>
        <v/>
      </c>
      <c r="V39" s="93"/>
      <c r="W39" s="92"/>
      <c r="X39" s="62"/>
      <c r="Y39" s="62"/>
      <c r="Z39" s="62"/>
      <c r="AA39" s="62"/>
    </row>
    <row r="40" spans="2:27" ht="12" thickTop="1" x14ac:dyDescent="0.25">
      <c r="B40" s="66"/>
      <c r="C40" s="111">
        <f>IF(D40='General inputs'!$I$16,0,IF(D40&lt;'General inputs'!$I$16,C41-1,C39+1))</f>
        <v>-26</v>
      </c>
      <c r="D40" s="111" t="str">
        <f>LEFT(D39,4)+1&amp;"-"&amp;RIGHT(D39,2)+1</f>
        <v>1996-97</v>
      </c>
      <c r="E40" s="113">
        <f>IF(LEFT(D40,4)*1&gt;LEFT('General inputs'!$I$16,4)+'General inputs'!$H$38-1,"",'ET inputs'!D13)</f>
        <v>3860.1765822701213</v>
      </c>
      <c r="F40" s="113">
        <f>IF(LEFT(D40,4)*1&gt;LEFT('General inputs'!$I$16,4)+'General inputs'!$H$38-1,"",E40/(1+'General inputs'!$H$30)^C40)</f>
        <v>8324.8231085009702</v>
      </c>
      <c r="G40" s="113">
        <f>IF(LEFT(D40,4)*1&gt;LEFT('General inputs'!$I$16,4)+'General inputs'!$H$38-1,"",E40/(1+'General inputs'!$H$32)^C40)</f>
        <v>11250.397436812103</v>
      </c>
      <c r="H40" s="113" t="str">
        <f>IF(LEFT(D40,4)*1&lt;LEFT('General inputs'!$I$16,4)*1,"",IF(LEFT(D40,4)*1&gt;LEFT('General inputs'!$I$16,4)+'General inputs'!$H$38-1,"",E40/(1+'General inputs'!$H$34)^C40))</f>
        <v/>
      </c>
      <c r="I40" s="91"/>
      <c r="J40" s="151"/>
      <c r="K40" s="151"/>
      <c r="L40" s="113">
        <f>IF(LEFT(D40,4)*1&gt;LEFT('General inputs'!$I$18,4)*1,"",SUMIF('Post-1996 commissioned assets'!$F$22:$F$2700,$D40,'Post-1996 commissioned assets'!$P$22:$P$2700)*(1+$K$34)*(1+$K$35))</f>
        <v>98466.356714025271</v>
      </c>
      <c r="M40" s="113">
        <f>IF(L40="","",L40/(1+'General inputs'!$H$32)^C40)</f>
        <v>286977.97201189731</v>
      </c>
      <c r="N40" s="113" t="str">
        <f>IF(LEFT(D40,4)*1&lt;LEFT('General inputs'!$I$18,4)*1+1,"",SUMIF('Uncommissioned assets'!$F$22:$F$1511,$D40,'Uncommissioned assets'!$P$22:$P$1511))</f>
        <v/>
      </c>
      <c r="O40" s="113" t="str">
        <f>IF(N40="","",N40/(1+'General inputs'!$H$32)^C40)</f>
        <v/>
      </c>
      <c r="P40" s="91"/>
      <c r="Q40" s="49"/>
      <c r="R40" s="113" t="str">
        <f>IF(OR(LEFT(D40,4)*1&lt;LEFT('General inputs'!$I$16,4)*1,LEFT(D40,4)*1&gt;LEFT('General inputs'!$I$16,4)+'General inputs'!$H$38-1),"",Q40/(1+'General inputs'!$H$34)^C40)</f>
        <v/>
      </c>
      <c r="S40" s="91"/>
      <c r="T40" s="49"/>
      <c r="U40" s="113" t="str">
        <f>IF(OR(LEFT(D40,4)*1&lt;LEFT('General inputs'!$I$16,4)*1,LEFT(D40,4)*1&gt;LEFT('General inputs'!$I$16,4)+'General inputs'!$H$38-1),"",T40/(1+'General inputs'!$H$34)^C40)</f>
        <v/>
      </c>
      <c r="V40" s="93"/>
      <c r="W40" s="92"/>
    </row>
    <row r="41" spans="2:27" x14ac:dyDescent="0.25">
      <c r="B41" s="66"/>
      <c r="C41" s="111">
        <f>IF(D41='General inputs'!$I$16,0,IF(D41&lt;'General inputs'!$I$16,C42-1,C40+1))</f>
        <v>-25</v>
      </c>
      <c r="D41" s="111" t="str">
        <f t="shared" ref="D41:D99" si="1">LEFT(D40,4)+1&amp;"-"&amp;RIGHT(D40,2)+1</f>
        <v>1997-98</v>
      </c>
      <c r="E41" s="113">
        <f>IF(LEFT(D41,4)*1&gt;LEFT('General inputs'!$I$16,4)+'General inputs'!$H$38-1,"",'ET inputs'!D14)</f>
        <v>4224.6618359606873</v>
      </c>
      <c r="F41" s="113">
        <f>IF(LEFT(D41,4)*1&gt;LEFT('General inputs'!$I$16,4)+'General inputs'!$H$38-1,"",E41/(1+'General inputs'!$H$30)^C41)</f>
        <v>8845.5037123869388</v>
      </c>
      <c r="G41" s="113">
        <f>IF(LEFT(D41,4)*1&gt;LEFT('General inputs'!$I$16,4)+'General inputs'!$H$38-1,"",E41/(1+'General inputs'!$H$32)^C41)</f>
        <v>11816.392969241115</v>
      </c>
      <c r="H41" s="113" t="str">
        <f>IF(LEFT(D41,4)*1&lt;LEFT('General inputs'!$I$16,4)*1,"",IF(LEFT(D41,4)*1&gt;LEFT('General inputs'!$I$16,4)+'General inputs'!$H$38-1,"",E41/(1+'General inputs'!$H$34)^C41))</f>
        <v/>
      </c>
      <c r="I41" s="91"/>
      <c r="J41" s="151"/>
      <c r="K41" s="151"/>
      <c r="L41" s="113">
        <f>IF(LEFT(D41,4)*1&gt;LEFT('General inputs'!$I$18,4)*1,"",SUMIF('Post-1996 commissioned assets'!$F$22:$F$2700,$D41,'Post-1996 commissioned assets'!$P$22:$P$2700)*(1+$K$34)*(1+$K$35))</f>
        <v>3647269.9740153383</v>
      </c>
      <c r="M41" s="113">
        <f>IF(L41="","",L41/(1+'General inputs'!$H$32)^C41)</f>
        <v>10201426.043388557</v>
      </c>
      <c r="N41" s="113" t="str">
        <f>IF(LEFT(D41,4)*1&lt;LEFT('General inputs'!$I$18,4)*1+1,"",SUMIF('Uncommissioned assets'!$F$22:$F$1511,$D41,'Uncommissioned assets'!$P$22:$P$1511))</f>
        <v/>
      </c>
      <c r="O41" s="113" t="str">
        <f>IF(N41="","",N41/(1+'General inputs'!$H$32)^C41)</f>
        <v/>
      </c>
      <c r="P41" s="91"/>
      <c r="Q41" s="49"/>
      <c r="R41" s="113" t="str">
        <f>IF(OR(LEFT(D41,4)*1&lt;LEFT('General inputs'!$I$16,4)*1,LEFT(D41,4)*1&gt;LEFT('General inputs'!$I$16,4)+'General inputs'!$H$38-1),"",Q41/(1+'General inputs'!$H$34)^C41)</f>
        <v/>
      </c>
      <c r="S41" s="91"/>
      <c r="T41" s="49"/>
      <c r="U41" s="113" t="str">
        <f>IF(OR(LEFT(D41,4)*1&lt;LEFT('General inputs'!$I$16,4)*1,LEFT(D41,4)*1&gt;LEFT('General inputs'!$I$16,4)+'General inputs'!$H$38-1),"",T41/(1+'General inputs'!$H$34)^C41)</f>
        <v/>
      </c>
      <c r="V41" s="93"/>
      <c r="W41" s="92"/>
      <c r="X41" s="48"/>
      <c r="Y41" s="48"/>
      <c r="Z41" s="48"/>
    </row>
    <row r="42" spans="2:27" ht="12" thickBot="1" x14ac:dyDescent="0.3">
      <c r="B42" s="66"/>
      <c r="C42" s="111">
        <f>IF(D42='General inputs'!$I$16,0,IF(D42&lt;'General inputs'!$I$16,C43-1,C41+1))</f>
        <v>-24</v>
      </c>
      <c r="D42" s="116" t="str">
        <f t="shared" si="1"/>
        <v>1998-99</v>
      </c>
      <c r="E42" s="113">
        <f>IF(LEFT(D42,4)*1&gt;LEFT('General inputs'!$I$16,4)+'General inputs'!$H$38-1,"",'ET inputs'!D15)</f>
        <v>1503.5770792616095</v>
      </c>
      <c r="F42" s="113">
        <f>IF(LEFT(D42,4)*1&gt;LEFT('General inputs'!$I$16,4)+'General inputs'!$H$38-1,"",E42/(1+'General inputs'!$H$30)^C42)</f>
        <v>3056.4626253319443</v>
      </c>
      <c r="G42" s="113">
        <f>IF(LEFT(D42,4)*1&gt;LEFT('General inputs'!$I$16,4)+'General inputs'!$H$38-1,"",E42/(1+'General inputs'!$H$32)^C42)</f>
        <v>4035.9980875081769</v>
      </c>
      <c r="H42" s="113" t="str">
        <f>IF(LEFT(D42,4)*1&lt;LEFT('General inputs'!$I$16,4)*1,"",IF(LEFT(D42,4)*1&gt;LEFT('General inputs'!$I$16,4)+'General inputs'!$H$38-1,"",E42/(1+'General inputs'!$H$34)^C42))</f>
        <v/>
      </c>
      <c r="I42" s="91"/>
      <c r="J42" s="151"/>
      <c r="K42" s="151"/>
      <c r="L42" s="113">
        <f>IF(LEFT(D42,4)*1&gt;LEFT('General inputs'!$I$18,4)*1,"",SUMIF('Post-1996 commissioned assets'!$F$22:$F$2700,$D42,'Post-1996 commissioned assets'!$P$22:$P$2700)*(1+$K$34)*(1+$K$35))</f>
        <v>10699348.387651509</v>
      </c>
      <c r="M42" s="113">
        <f>IF(L42="","",L42/(1+'General inputs'!$H$32)^C42)</f>
        <v>28719877.567800961</v>
      </c>
      <c r="N42" s="113" t="str">
        <f>IF(LEFT(D42,4)*1&lt;LEFT('General inputs'!$I$18,4)*1+1,"",SUMIF('Uncommissioned assets'!$F$22:$F$1511,$D42,'Uncommissioned assets'!$P$22:$P$1511))</f>
        <v/>
      </c>
      <c r="O42" s="113" t="str">
        <f>IF(N42="","",N42/(1+'General inputs'!$H$32)^C42)</f>
        <v/>
      </c>
      <c r="P42" s="91"/>
      <c r="Q42" s="49"/>
      <c r="R42" s="113" t="str">
        <f>IF(OR(LEFT(D42,4)*1&lt;LEFT('General inputs'!$I$16,4)*1,LEFT(D42,4)*1&gt;LEFT('General inputs'!$I$16,4)+'General inputs'!$H$38-1),"",Q42/(1+'General inputs'!$H$34)^C42)</f>
        <v/>
      </c>
      <c r="S42" s="91"/>
      <c r="T42" s="49"/>
      <c r="U42" s="113" t="str">
        <f>IF(OR(LEFT(D42,4)*1&lt;LEFT('General inputs'!$I$16,4)*1,LEFT(D42,4)*1&gt;LEFT('General inputs'!$I$16,4)+'General inputs'!$H$38-1),"",T42/(1+'General inputs'!$H$34)^C42)</f>
        <v/>
      </c>
      <c r="V42" s="93"/>
      <c r="W42" s="92"/>
      <c r="X42" s="48"/>
      <c r="Y42" s="48"/>
      <c r="Z42" s="48"/>
    </row>
    <row r="43" spans="2:27" ht="12.5" thickTop="1" thickBot="1" x14ac:dyDescent="0.3">
      <c r="B43" s="66"/>
      <c r="C43" s="111">
        <f>IF(D43='General inputs'!$I$16,0,IF(D43&lt;'General inputs'!$I$16,C44-1,C42+1))</f>
        <v>-23</v>
      </c>
      <c r="D43" s="117" t="str">
        <f>LEFT(D42,4)+1&amp;"-00"</f>
        <v>1999-00</v>
      </c>
      <c r="E43" s="113">
        <f>IF(LEFT(D43,4)*1&gt;LEFT('General inputs'!$I$16,4)+'General inputs'!$H$38-1,"",'ET inputs'!D16)</f>
        <v>3130.9053224972331</v>
      </c>
      <c r="F43" s="113">
        <f>IF(LEFT(D43,4)*1&gt;LEFT('General inputs'!$I$16,4)+'General inputs'!$H$38-1,"",E43/(1+'General inputs'!$H$30)^C43)</f>
        <v>6179.1125120950292</v>
      </c>
      <c r="G43" s="113">
        <f>IF(LEFT(D43,4)*1&gt;LEFT('General inputs'!$I$16,4)+'General inputs'!$H$38-1,"",E43/(1+'General inputs'!$H$32)^C43)</f>
        <v>8065.4289741154826</v>
      </c>
      <c r="H43" s="113" t="str">
        <f>IF(LEFT(D43,4)*1&lt;LEFT('General inputs'!$I$16,4)*1,"",IF(LEFT(D43,4)*1&gt;LEFT('General inputs'!$I$16,4)+'General inputs'!$H$38-1,"",E43/(1+'General inputs'!$H$34)^C43))</f>
        <v/>
      </c>
      <c r="I43" s="91"/>
      <c r="J43" s="151"/>
      <c r="K43" s="151"/>
      <c r="L43" s="113">
        <f>IF(LEFT(D43,4)*1&gt;LEFT('General inputs'!$I$18,4)*1,"",SUMIF('Post-1996 commissioned assets'!$F$22:$F$2700,$D43,'Post-1996 commissioned assets'!$P$22:$P$2700)*(1+$K$34)*(1+$K$35))</f>
        <v>841392.56514378241</v>
      </c>
      <c r="M43" s="113">
        <f>IF(L43="","",L43/(1+'General inputs'!$H$32)^C43)</f>
        <v>2167485.5271903574</v>
      </c>
      <c r="N43" s="113" t="str">
        <f>IF(LEFT(D43,4)*1&lt;LEFT('General inputs'!$I$18,4)*1+1,"",SUMIF('Uncommissioned assets'!$F$22:$F$1511,$D43,'Uncommissioned assets'!$P$22:$P$1511))</f>
        <v/>
      </c>
      <c r="O43" s="113" t="str">
        <f>IF(N43="","",N43/(1+'General inputs'!$H$32)^C43)</f>
        <v/>
      </c>
      <c r="P43" s="91"/>
      <c r="Q43" s="49"/>
      <c r="R43" s="113" t="str">
        <f>IF(OR(LEFT(D43,4)*1&lt;LEFT('General inputs'!$I$16,4)*1,LEFT(D43,4)*1&gt;LEFT('General inputs'!$I$16,4)+'General inputs'!$H$38-1),"",Q43/(1+'General inputs'!$H$34)^C43)</f>
        <v/>
      </c>
      <c r="S43" s="91"/>
      <c r="T43" s="49"/>
      <c r="U43" s="113" t="str">
        <f>IF(OR(LEFT(D43,4)*1&lt;LEFT('General inputs'!$I$16,4)*1,LEFT(D43,4)*1&gt;LEFT('General inputs'!$I$16,4)+'General inputs'!$H$38-1),"",T43/(1+'General inputs'!$H$34)^C43)</f>
        <v/>
      </c>
      <c r="V43" s="93"/>
      <c r="W43" s="92"/>
      <c r="X43" s="48"/>
      <c r="Y43" s="48"/>
      <c r="Z43" s="48"/>
    </row>
    <row r="44" spans="2:27" ht="12" thickTop="1" x14ac:dyDescent="0.25">
      <c r="B44" s="66"/>
      <c r="C44" s="111">
        <f>IF(D44='General inputs'!$I$16,0,IF(D44&lt;'General inputs'!$I$16,C45-1,C43+1))</f>
        <v>-22</v>
      </c>
      <c r="D44" s="118" t="str">
        <f>LEFT(D43,4)+1&amp;"-0"&amp;RIGHT(D43,2)+1</f>
        <v>2000-01</v>
      </c>
      <c r="E44" s="113">
        <f>IF(LEFT(D44,4)*1&gt;LEFT('General inputs'!$I$16,4)+'General inputs'!$H$38-1,"",'ET inputs'!D17)</f>
        <v>1971.1582574551851</v>
      </c>
      <c r="F44" s="113">
        <f>IF(LEFT(D44,4)*1&gt;LEFT('General inputs'!$I$16,4)+'General inputs'!$H$38-1,"",E44/(1+'General inputs'!$H$30)^C44)</f>
        <v>3776.943056513956</v>
      </c>
      <c r="G44" s="113">
        <f>IF(LEFT(D44,4)*1&gt;LEFT('General inputs'!$I$16,4)+'General inputs'!$H$38-1,"",E44/(1+'General inputs'!$H$32)^C44)</f>
        <v>4873.167182572156</v>
      </c>
      <c r="H44" s="113" t="str">
        <f>IF(LEFT(D44,4)*1&lt;LEFT('General inputs'!$I$16,4)*1,"",IF(LEFT(D44,4)*1&gt;LEFT('General inputs'!$I$16,4)+'General inputs'!$H$38-1,"",E44/(1+'General inputs'!$H$34)^C44))</f>
        <v/>
      </c>
      <c r="I44" s="91"/>
      <c r="J44" s="151"/>
      <c r="K44" s="151"/>
      <c r="L44" s="113">
        <f>IF(LEFT(D44,4)*1&gt;LEFT('General inputs'!$I$18,4)*1,"",SUMIF('Post-1996 commissioned assets'!$F$22:$F$2700,$D44,'Post-1996 commissioned assets'!$P$22:$P$2700)*(1+$K$34)*(1+$K$35))</f>
        <v>0</v>
      </c>
      <c r="M44" s="113">
        <f>IF(L44="","",L44/(1+'General inputs'!$H$32)^C44)</f>
        <v>0</v>
      </c>
      <c r="N44" s="113" t="str">
        <f>IF(LEFT(D44,4)*1&lt;LEFT('General inputs'!$I$18,4)*1+1,"",SUMIF('Uncommissioned assets'!$F$22:$F$1511,$D44,'Uncommissioned assets'!$P$22:$P$1511))</f>
        <v/>
      </c>
      <c r="O44" s="113" t="str">
        <f>IF(N44="","",N44/(1+'General inputs'!$H$32)^C44)</f>
        <v/>
      </c>
      <c r="P44" s="91"/>
      <c r="Q44" s="49"/>
      <c r="R44" s="113" t="str">
        <f>IF(OR(LEFT(D44,4)*1&lt;LEFT('General inputs'!$I$16,4)*1,LEFT(D44,4)*1&gt;LEFT('General inputs'!$I$16,4)+'General inputs'!$H$38-1),"",Q44/(1+'General inputs'!$H$34)^C44)</f>
        <v/>
      </c>
      <c r="S44" s="91"/>
      <c r="T44" s="49"/>
      <c r="U44" s="113" t="str">
        <f>IF(OR(LEFT(D44,4)*1&lt;LEFT('General inputs'!$I$16,4)*1,LEFT(D44,4)*1&gt;LEFT('General inputs'!$I$16,4)+'General inputs'!$H$38-1),"",T44/(1+'General inputs'!$H$34)^C44)</f>
        <v/>
      </c>
      <c r="V44" s="93"/>
      <c r="W44" s="92"/>
      <c r="X44" s="48"/>
      <c r="Y44" s="48"/>
      <c r="Z44" s="48"/>
    </row>
    <row r="45" spans="2:27" x14ac:dyDescent="0.25">
      <c r="B45" s="66"/>
      <c r="C45" s="111">
        <f>IF(D45='General inputs'!$I$16,0,IF(D45&lt;'General inputs'!$I$16,C46-1,C44+1))</f>
        <v>-21</v>
      </c>
      <c r="D45" s="111" t="str">
        <f t="shared" ref="D45:D52" si="2">LEFT(D44,4)+1&amp;"-0"&amp;RIGHT(D44,2)+1</f>
        <v>2001-02</v>
      </c>
      <c r="E45" s="113">
        <f>IF(LEFT(D45,4)*1&gt;LEFT('General inputs'!$I$16,4)+'General inputs'!$H$38-1,"",'ET inputs'!D18)</f>
        <v>3637.0045786847922</v>
      </c>
      <c r="F45" s="113">
        <f>IF(LEFT(D45,4)*1&gt;LEFT('General inputs'!$I$16,4)+'General inputs'!$H$38-1,"",E45/(1+'General inputs'!$H$30)^C45)</f>
        <v>6765.8998750098999</v>
      </c>
      <c r="G45" s="113">
        <f>IF(LEFT(D45,4)*1&gt;LEFT('General inputs'!$I$16,4)+'General inputs'!$H$38-1,"",E45/(1+'General inputs'!$H$32)^C45)</f>
        <v>8629.1088240303343</v>
      </c>
      <c r="H45" s="113" t="str">
        <f>IF(LEFT(D45,4)*1&lt;LEFT('General inputs'!$I$16,4)*1,"",IF(LEFT(D45,4)*1&gt;LEFT('General inputs'!$I$16,4)+'General inputs'!$H$38-1,"",E45/(1+'General inputs'!$H$34)^C45))</f>
        <v/>
      </c>
      <c r="I45" s="91"/>
      <c r="J45" s="151"/>
      <c r="K45" s="151"/>
      <c r="L45" s="113">
        <f>IF(LEFT(D45,4)*1&gt;LEFT('General inputs'!$I$18,4)*1,"",SUMIF('Post-1996 commissioned assets'!$F$22:$F$2700,$D45,'Post-1996 commissioned assets'!$P$22:$P$2700)*(1+$K$34)*(1+$K$35))</f>
        <v>2605942.9435766255</v>
      </c>
      <c r="M45" s="113">
        <f>IF(L45="","",L45/(1+'General inputs'!$H$32)^C45)</f>
        <v>6182825.6640436621</v>
      </c>
      <c r="N45" s="113" t="str">
        <f>IF(LEFT(D45,4)*1&lt;LEFT('General inputs'!$I$18,4)*1+1,"",SUMIF('Uncommissioned assets'!$F$22:$F$1511,$D45,'Uncommissioned assets'!$P$22:$P$1511))</f>
        <v/>
      </c>
      <c r="O45" s="113" t="str">
        <f>IF(N45="","",N45/(1+'General inputs'!$H$32)^C45)</f>
        <v/>
      </c>
      <c r="P45" s="91"/>
      <c r="Q45" s="49"/>
      <c r="R45" s="113" t="str">
        <f>IF(OR(LEFT(D45,4)*1&lt;LEFT('General inputs'!$I$16,4)*1,LEFT(D45,4)*1&gt;LEFT('General inputs'!$I$16,4)+'General inputs'!$H$38-1),"",Q45/(1+'General inputs'!$H$34)^C45)</f>
        <v/>
      </c>
      <c r="S45" s="91"/>
      <c r="T45" s="49"/>
      <c r="U45" s="113" t="str">
        <f>IF(OR(LEFT(D45,4)*1&lt;LEFT('General inputs'!$I$16,4)*1,LEFT(D45,4)*1&gt;LEFT('General inputs'!$I$16,4)+'General inputs'!$H$38-1),"",T45/(1+'General inputs'!$H$34)^C45)</f>
        <v/>
      </c>
      <c r="V45" s="93"/>
      <c r="W45" s="92"/>
      <c r="X45" s="48"/>
      <c r="Y45" s="48"/>
      <c r="Z45" s="48"/>
    </row>
    <row r="46" spans="2:27" x14ac:dyDescent="0.25">
      <c r="B46" s="66"/>
      <c r="C46" s="111">
        <f>IF(D46='General inputs'!$I$16,0,IF(D46&lt;'General inputs'!$I$16,C47-1,C45+1))</f>
        <v>-20</v>
      </c>
      <c r="D46" s="111" t="str">
        <f t="shared" si="2"/>
        <v>2002-03</v>
      </c>
      <c r="E46" s="113">
        <f>IF(LEFT(D46,4)*1&gt;LEFT('General inputs'!$I$16,4)+'General inputs'!$H$38-1,"",'ET inputs'!D19)</f>
        <v>2674.7706877553642</v>
      </c>
      <c r="F46" s="113">
        <f>IF(LEFT(D46,4)*1&gt;LEFT('General inputs'!$I$16,4)+'General inputs'!$H$38-1,"",E46/(1+'General inputs'!$H$30)^C46)</f>
        <v>4830.9333893193962</v>
      </c>
      <c r="G46" s="113">
        <f>IF(LEFT(D46,4)*1&gt;LEFT('General inputs'!$I$16,4)+'General inputs'!$H$38-1,"",E46/(1+'General inputs'!$H$32)^C46)</f>
        <v>6090.3315326164648</v>
      </c>
      <c r="H46" s="113" t="str">
        <f>IF(LEFT(D46,4)*1&lt;LEFT('General inputs'!$I$16,4)*1,"",IF(LEFT(D46,4)*1&gt;LEFT('General inputs'!$I$16,4)+'General inputs'!$H$38-1,"",E46/(1+'General inputs'!$H$34)^C46))</f>
        <v/>
      </c>
      <c r="I46" s="91"/>
      <c r="J46" s="151"/>
      <c r="K46" s="151"/>
      <c r="L46" s="113">
        <f>IF(LEFT(D46,4)*1&gt;LEFT('General inputs'!$I$18,4)*1,"",SUMIF('Post-1996 commissioned assets'!$F$22:$F$2700,$D46,'Post-1996 commissioned assets'!$P$22:$P$2700)*(1+$K$34)*(1+$K$35))</f>
        <v>0</v>
      </c>
      <c r="M46" s="113">
        <f>IF(L46="","",L46/(1+'General inputs'!$H$32)^C46)</f>
        <v>0</v>
      </c>
      <c r="N46" s="113" t="str">
        <f>IF(LEFT(D46,4)*1&lt;LEFT('General inputs'!$I$18,4)*1+1,"",SUMIF('Uncommissioned assets'!$F$22:$F$1511,$D46,'Uncommissioned assets'!$P$22:$P$1511))</f>
        <v/>
      </c>
      <c r="O46" s="113" t="str">
        <f>IF(N46="","",N46/(1+'General inputs'!$H$32)^C46)</f>
        <v/>
      </c>
      <c r="P46" s="91"/>
      <c r="Q46" s="49"/>
      <c r="R46" s="113" t="str">
        <f>IF(OR(LEFT(D46,4)*1&lt;LEFT('General inputs'!$I$16,4)*1,LEFT(D46,4)*1&gt;LEFT('General inputs'!$I$16,4)+'General inputs'!$H$38-1),"",Q46/(1+'General inputs'!$H$34)^C46)</f>
        <v/>
      </c>
      <c r="S46" s="91"/>
      <c r="T46" s="49"/>
      <c r="U46" s="113" t="str">
        <f>IF(OR(LEFT(D46,4)*1&lt;LEFT('General inputs'!$I$16,4)*1,LEFT(D46,4)*1&gt;LEFT('General inputs'!$I$16,4)+'General inputs'!$H$38-1),"",T46/(1+'General inputs'!$H$34)^C46)</f>
        <v/>
      </c>
      <c r="V46" s="93"/>
      <c r="W46" s="92"/>
      <c r="X46" s="48"/>
      <c r="Y46" s="48"/>
      <c r="Z46" s="48"/>
    </row>
    <row r="47" spans="2:27" x14ac:dyDescent="0.25">
      <c r="B47" s="66"/>
      <c r="C47" s="111">
        <f>IF(D47='General inputs'!$I$16,0,IF(D47&lt;'General inputs'!$I$16,C48-1,C46+1))</f>
        <v>-19</v>
      </c>
      <c r="D47" s="111" t="str">
        <f t="shared" si="2"/>
        <v>2003-04</v>
      </c>
      <c r="E47" s="113">
        <f>IF(LEFT(D47,4)*1&gt;LEFT('General inputs'!$I$16,4)+'General inputs'!$H$38-1,"",'ET inputs'!D20)</f>
        <v>787.35863070413359</v>
      </c>
      <c r="F47" s="113">
        <f>IF(LEFT(D47,4)*1&gt;LEFT('General inputs'!$I$16,4)+'General inputs'!$H$38-1,"",E47/(1+'General inputs'!$H$30)^C47)</f>
        <v>1380.6381248821956</v>
      </c>
      <c r="G47" s="113">
        <f>IF(LEFT(D47,4)*1&gt;LEFT('General inputs'!$I$16,4)+'General inputs'!$H$38-1,"",E47/(1+'General inputs'!$H$32)^C47)</f>
        <v>1720.518127409739</v>
      </c>
      <c r="H47" s="113" t="str">
        <f>IF(LEFT(D47,4)*1&lt;LEFT('General inputs'!$I$16,4)*1,"",IF(LEFT(D47,4)*1&gt;LEFT('General inputs'!$I$16,4)+'General inputs'!$H$38-1,"",E47/(1+'General inputs'!$H$34)^C47))</f>
        <v/>
      </c>
      <c r="I47" s="91"/>
      <c r="J47" s="151"/>
      <c r="K47" s="151"/>
      <c r="L47" s="113">
        <f>IF(LEFT(D47,4)*1&gt;LEFT('General inputs'!$I$18,4)*1,"",SUMIF('Post-1996 commissioned assets'!$F$22:$F$2700,$D47,'Post-1996 commissioned assets'!$P$22:$P$2700)*(1+$K$34)*(1+$K$35))</f>
        <v>2915771.9251090321</v>
      </c>
      <c r="M47" s="113">
        <f>IF(L47="","",L47/(1+'General inputs'!$H$32)^C47)</f>
        <v>6371478.3288221657</v>
      </c>
      <c r="N47" s="113" t="str">
        <f>IF(LEFT(D47,4)*1&lt;LEFT('General inputs'!$I$18,4)*1+1,"",SUMIF('Uncommissioned assets'!$F$22:$F$1511,$D47,'Uncommissioned assets'!$P$22:$P$1511))</f>
        <v/>
      </c>
      <c r="O47" s="113" t="str">
        <f>IF(N47="","",N47/(1+'General inputs'!$H$32)^C47)</f>
        <v/>
      </c>
      <c r="P47" s="91"/>
      <c r="Q47" s="49"/>
      <c r="R47" s="113" t="str">
        <f>IF(OR(LEFT(D47,4)*1&lt;LEFT('General inputs'!$I$16,4)*1,LEFT(D47,4)*1&gt;LEFT('General inputs'!$I$16,4)+'General inputs'!$H$38-1),"",Q47/(1+'General inputs'!$H$34)^C47)</f>
        <v/>
      </c>
      <c r="S47" s="91"/>
      <c r="T47" s="49"/>
      <c r="U47" s="113" t="str">
        <f>IF(OR(LEFT(D47,4)*1&lt;LEFT('General inputs'!$I$16,4)*1,LEFT(D47,4)*1&gt;LEFT('General inputs'!$I$16,4)+'General inputs'!$H$38-1),"",T47/(1+'General inputs'!$H$34)^C47)</f>
        <v/>
      </c>
      <c r="V47" s="93"/>
      <c r="W47" s="92"/>
      <c r="X47" s="48"/>
      <c r="Y47" s="48"/>
      <c r="Z47" s="48"/>
    </row>
    <row r="48" spans="2:27" x14ac:dyDescent="0.25">
      <c r="B48" s="66"/>
      <c r="C48" s="111">
        <f>IF(D48='General inputs'!$I$16,0,IF(D48&lt;'General inputs'!$I$16,C49-1,C47+1))</f>
        <v>-18</v>
      </c>
      <c r="D48" s="111" t="str">
        <f t="shared" si="2"/>
        <v>2004-05</v>
      </c>
      <c r="E48" s="113">
        <f>IF(LEFT(D48,4)*1&gt;LEFT('General inputs'!$I$16,4)+'General inputs'!$H$38-1,"",'ET inputs'!D21)</f>
        <v>842.88029614111679</v>
      </c>
      <c r="F48" s="113">
        <f>IF(LEFT(D48,4)*1&gt;LEFT('General inputs'!$I$16,4)+'General inputs'!$H$38-1,"",E48/(1+'General inputs'!$H$30)^C48)</f>
        <v>1434.9472828183177</v>
      </c>
      <c r="G48" s="113">
        <f>IF(LEFT(D48,4)*1&gt;LEFT('General inputs'!$I$16,4)+'General inputs'!$H$38-1,"",E48/(1+'General inputs'!$H$32)^C48)</f>
        <v>1767.6034594859575</v>
      </c>
      <c r="H48" s="113" t="str">
        <f>IF(LEFT(D48,4)*1&lt;LEFT('General inputs'!$I$16,4)*1,"",IF(LEFT(D48,4)*1&gt;LEFT('General inputs'!$I$16,4)+'General inputs'!$H$38-1,"",E48/(1+'General inputs'!$H$34)^C48))</f>
        <v/>
      </c>
      <c r="I48" s="91"/>
      <c r="J48" s="151"/>
      <c r="K48" s="151"/>
      <c r="L48" s="113">
        <f>IF(LEFT(D48,4)*1&gt;LEFT('General inputs'!$I$18,4)*1,"",SUMIF('Post-1996 commissioned assets'!$F$22:$F$2700,$D48,'Post-1996 commissioned assets'!$P$22:$P$2700)*(1+$K$34)*(1+$K$35))</f>
        <v>1552889.4746968988</v>
      </c>
      <c r="M48" s="113">
        <f>IF(L48="","",L48/(1+'General inputs'!$H$32)^C48)</f>
        <v>3256563.0259009087</v>
      </c>
      <c r="N48" s="113" t="str">
        <f>IF(LEFT(D48,4)*1&lt;LEFT('General inputs'!$I$18,4)*1+1,"",SUMIF('Uncommissioned assets'!$F$22:$F$1511,$D48,'Uncommissioned assets'!$P$22:$P$1511))</f>
        <v/>
      </c>
      <c r="O48" s="113" t="str">
        <f>IF(N48="","",N48/(1+'General inputs'!$H$32)^C48)</f>
        <v/>
      </c>
      <c r="P48" s="91"/>
      <c r="Q48" s="119"/>
      <c r="R48" s="113" t="str">
        <f>IF(OR(LEFT(D48,4)*1&lt;LEFT('General inputs'!$I$16,4)*1,LEFT(D48,4)*1&gt;LEFT('General inputs'!$I$16,4)+'General inputs'!$H$38-1),"",Q48/(1+'General inputs'!$H$34)^C48)</f>
        <v/>
      </c>
      <c r="S48" s="91"/>
      <c r="T48" s="119"/>
      <c r="U48" s="113" t="str">
        <f>IF(OR(LEFT(D48,4)*1&lt;LEFT('General inputs'!$I$16,4)*1,LEFT(D48,4)*1&gt;LEFT('General inputs'!$I$16,4)+'General inputs'!$H$38-1),"",T48/(1+'General inputs'!$H$34)^C48)</f>
        <v/>
      </c>
      <c r="V48" s="93"/>
      <c r="W48" s="92"/>
      <c r="X48" s="48"/>
      <c r="Y48" s="48"/>
      <c r="Z48" s="48"/>
    </row>
    <row r="49" spans="1:26" x14ac:dyDescent="0.25">
      <c r="B49" s="66"/>
      <c r="C49" s="111">
        <f>IF(D49='General inputs'!$I$16,0,IF(D49&lt;'General inputs'!$I$16,C50-1,C48+1))</f>
        <v>-17</v>
      </c>
      <c r="D49" s="111" t="str">
        <f t="shared" si="2"/>
        <v>2005-06</v>
      </c>
      <c r="E49" s="113">
        <f>IF(LEFT(D49,4)*1&gt;LEFT('General inputs'!$I$16,4)+'General inputs'!$H$38-1,"",'ET inputs'!D22)</f>
        <v>834.71035788085237</v>
      </c>
      <c r="F49" s="113">
        <f>IF(LEFT(D49,4)*1&gt;LEFT('General inputs'!$I$16,4)+'General inputs'!$H$38-1,"",E49/(1+'General inputs'!$H$30)^C49)</f>
        <v>1379.6490386560724</v>
      </c>
      <c r="G49" s="113">
        <f>IF(LEFT(D49,4)*1&gt;LEFT('General inputs'!$I$16,4)+'General inputs'!$H$38-1,"",E49/(1+'General inputs'!$H$32)^C49)</f>
        <v>1679.9139057651089</v>
      </c>
      <c r="H49" s="113" t="str">
        <f>IF(LEFT(D49,4)*1&lt;LEFT('General inputs'!$I$16,4)*1,"",IF(LEFT(D49,4)*1&gt;LEFT('General inputs'!$I$16,4)+'General inputs'!$H$38-1,"",E49/(1+'General inputs'!$H$34)^C49))</f>
        <v/>
      </c>
      <c r="I49" s="91"/>
      <c r="J49" s="151"/>
      <c r="K49" s="151"/>
      <c r="L49" s="113">
        <f>IF(LEFT(D49,4)*1&gt;LEFT('General inputs'!$I$18,4)*1,"",SUMIF('Post-1996 commissioned assets'!$F$22:$F$2700,$D49,'Post-1996 commissioned assets'!$P$22:$P$2700)*(1+$K$34)*(1+$K$35))</f>
        <v>3619302.5530794612</v>
      </c>
      <c r="M49" s="113">
        <f>IF(L49="","",L49/(1+'General inputs'!$H$32)^C49)</f>
        <v>7284103.5584192807</v>
      </c>
      <c r="N49" s="113" t="str">
        <f>IF(LEFT(D49,4)*1&lt;LEFT('General inputs'!$I$18,4)*1+1,"",SUMIF('Uncommissioned assets'!$F$22:$F$1511,$D49,'Uncommissioned assets'!$P$22:$P$1511))</f>
        <v/>
      </c>
      <c r="O49" s="113" t="str">
        <f>IF(N49="","",N49/(1+'General inputs'!$H$32)^C49)</f>
        <v/>
      </c>
      <c r="P49" s="91"/>
      <c r="Q49" s="119"/>
      <c r="R49" s="113" t="str">
        <f>IF(OR(LEFT(D49,4)*1&lt;LEFT('General inputs'!$I$16,4)*1,LEFT(D49,4)*1&gt;LEFT('General inputs'!$I$16,4)+'General inputs'!$H$38-1),"",Q49/(1+'General inputs'!$H$34)^C49)</f>
        <v/>
      </c>
      <c r="S49" s="91"/>
      <c r="T49" s="119"/>
      <c r="U49" s="113" t="str">
        <f>IF(OR(LEFT(D49,4)*1&lt;LEFT('General inputs'!$I$16,4)*1,LEFT(D49,4)*1&gt;LEFT('General inputs'!$I$16,4)+'General inputs'!$H$38-1),"",T49/(1+'General inputs'!$H$34)^C49)</f>
        <v/>
      </c>
      <c r="V49" s="93"/>
      <c r="W49" s="92"/>
      <c r="X49" s="48"/>
      <c r="Y49" s="48"/>
      <c r="Z49" s="48"/>
    </row>
    <row r="50" spans="1:26" x14ac:dyDescent="0.25">
      <c r="B50" s="66"/>
      <c r="C50" s="111">
        <f>IF(D50='General inputs'!$I$16,0,IF(D50&lt;'General inputs'!$I$16,C51-1,C49+1))</f>
        <v>-16</v>
      </c>
      <c r="D50" s="111" t="str">
        <f t="shared" si="2"/>
        <v>2006-07</v>
      </c>
      <c r="E50" s="113">
        <f>IF(LEFT(D50,4)*1&gt;LEFT('General inputs'!$I$16,4)+'General inputs'!$H$38-1,"",'ET inputs'!D23)</f>
        <v>952.03829711881065</v>
      </c>
      <c r="F50" s="113">
        <f>IF(LEFT(D50,4)*1&gt;LEFT('General inputs'!$I$16,4)+'General inputs'!$H$38-1,"",E50/(1+'General inputs'!$H$30)^C50)</f>
        <v>1527.7419856551996</v>
      </c>
      <c r="G50" s="113">
        <f>IF(LEFT(D50,4)*1&gt;LEFT('General inputs'!$I$16,4)+'General inputs'!$H$38-1,"",E50/(1+'General inputs'!$H$32)^C50)</f>
        <v>1838.8145107910598</v>
      </c>
      <c r="H50" s="113" t="str">
        <f>IF(LEFT(D50,4)*1&lt;LEFT('General inputs'!$I$16,4)*1,"",IF(LEFT(D50,4)*1&gt;LEFT('General inputs'!$I$16,4)+'General inputs'!$H$38-1,"",E50/(1+'General inputs'!$H$34)^C50))</f>
        <v/>
      </c>
      <c r="I50" s="91"/>
      <c r="J50" s="151"/>
      <c r="K50" s="151"/>
      <c r="L50" s="113">
        <f>IF(LEFT(D50,4)*1&gt;LEFT('General inputs'!$I$18,4)*1,"",SUMIF('Post-1996 commissioned assets'!$F$22:$F$2700,$D50,'Post-1996 commissioned assets'!$P$22:$P$2700)*(1+$K$34)*(1+$K$35))</f>
        <v>44402.321351536266</v>
      </c>
      <c r="M50" s="113">
        <f>IF(L50="","",L50/(1+'General inputs'!$H$32)^C50)</f>
        <v>85760.870188842076</v>
      </c>
      <c r="N50" s="113" t="str">
        <f>IF(LEFT(D50,4)*1&lt;LEFT('General inputs'!$I$18,4)*1+1,"",SUMIF('Uncommissioned assets'!$F$22:$F$1511,$D50,'Uncommissioned assets'!$P$22:$P$1511))</f>
        <v/>
      </c>
      <c r="O50" s="113" t="str">
        <f>IF(N50="","",N50/(1+'General inputs'!$H$32)^C50)</f>
        <v/>
      </c>
      <c r="P50" s="91"/>
      <c r="Q50" s="119"/>
      <c r="R50" s="113" t="str">
        <f>IF(OR(LEFT(D50,4)*1&lt;LEFT('General inputs'!$I$16,4)*1,LEFT(D50,4)*1&gt;LEFT('General inputs'!$I$16,4)+'General inputs'!$H$38-1),"",Q50/(1+'General inputs'!$H$34)^C50)</f>
        <v/>
      </c>
      <c r="S50" s="91"/>
      <c r="T50" s="119"/>
      <c r="U50" s="113" t="str">
        <f>IF(OR(LEFT(D50,4)*1&lt;LEFT('General inputs'!$I$16,4)*1,LEFT(D50,4)*1&gt;LEFT('General inputs'!$I$16,4)+'General inputs'!$H$38-1),"",T50/(1+'General inputs'!$H$34)^C50)</f>
        <v/>
      </c>
      <c r="V50" s="93"/>
      <c r="W50" s="92"/>
      <c r="X50" s="48"/>
      <c r="Y50" s="48"/>
      <c r="Z50" s="48"/>
    </row>
    <row r="51" spans="1:26" x14ac:dyDescent="0.25">
      <c r="B51" s="66"/>
      <c r="C51" s="111">
        <f>IF(D51='General inputs'!$I$16,0,IF(D51&lt;'General inputs'!$I$16,C52-1,C50+1))</f>
        <v>-15</v>
      </c>
      <c r="D51" s="111" t="str">
        <f t="shared" si="2"/>
        <v>2007-08</v>
      </c>
      <c r="E51" s="113">
        <f>IF(LEFT(D51,4)*1&gt;LEFT('General inputs'!$I$16,4)+'General inputs'!$H$38-1,"",'ET inputs'!D24)</f>
        <v>668.99131997231189</v>
      </c>
      <c r="F51" s="113">
        <f>IF(LEFT(D51,4)*1&gt;LEFT('General inputs'!$I$16,4)+'General inputs'!$H$38-1,"",E51/(1+'General inputs'!$H$30)^C51)</f>
        <v>1042.2666785055983</v>
      </c>
      <c r="G51" s="113">
        <f>IF(LEFT(D51,4)*1&gt;LEFT('General inputs'!$I$16,4)+'General inputs'!$H$38-1,"",E51/(1+'General inputs'!$H$32)^C51)</f>
        <v>1240.04163590902</v>
      </c>
      <c r="H51" s="113" t="str">
        <f>IF(LEFT(D51,4)*1&lt;LEFT('General inputs'!$I$16,4)*1,"",IF(LEFT(D51,4)*1&gt;LEFT('General inputs'!$I$16,4)+'General inputs'!$H$38-1,"",E51/(1+'General inputs'!$H$34)^C51))</f>
        <v/>
      </c>
      <c r="I51" s="91"/>
      <c r="J51" s="151"/>
      <c r="K51" s="151"/>
      <c r="L51" s="113">
        <f>IF(LEFT(D51,4)*1&gt;LEFT('General inputs'!$I$18,4)*1,"",SUMIF('Post-1996 commissioned assets'!$F$22:$F$2700,$D51,'Post-1996 commissioned assets'!$P$22:$P$2700)*(1+$K$34)*(1+$K$35))</f>
        <v>312730.29163904366</v>
      </c>
      <c r="M51" s="113">
        <f>IF(L51="","",L51/(1+'General inputs'!$H$32)^C51)</f>
        <v>579676.55314038275</v>
      </c>
      <c r="N51" s="113" t="str">
        <f>IF(LEFT(D51,4)*1&lt;LEFT('General inputs'!$I$18,4)*1+1,"",SUMIF('Uncommissioned assets'!$F$22:$F$1511,$D51,'Uncommissioned assets'!$P$22:$P$1511))</f>
        <v/>
      </c>
      <c r="O51" s="113" t="str">
        <f>IF(N51="","",N51/(1+'General inputs'!$H$32)^C51)</f>
        <v/>
      </c>
      <c r="P51" s="91"/>
      <c r="Q51" s="119"/>
      <c r="R51" s="113" t="str">
        <f>IF(OR(LEFT(D51,4)*1&lt;LEFT('General inputs'!$I$16,4)*1,LEFT(D51,4)*1&gt;LEFT('General inputs'!$I$16,4)+'General inputs'!$H$38-1),"",Q51/(1+'General inputs'!$H$34)^C51)</f>
        <v/>
      </c>
      <c r="S51" s="91"/>
      <c r="T51" s="119"/>
      <c r="U51" s="113" t="str">
        <f>IF(OR(LEFT(D51,4)*1&lt;LEFT('General inputs'!$I$16,4)*1,LEFT(D51,4)*1&gt;LEFT('General inputs'!$I$16,4)+'General inputs'!$H$38-1),"",T51/(1+'General inputs'!$H$34)^C51)</f>
        <v/>
      </c>
      <c r="V51" s="93"/>
      <c r="W51" s="92"/>
      <c r="X51" s="48"/>
      <c r="Y51" s="48"/>
      <c r="Z51" s="48"/>
    </row>
    <row r="52" spans="1:26" ht="12" thickBot="1" x14ac:dyDescent="0.3">
      <c r="B52" s="66"/>
      <c r="C52" s="111">
        <f>IF(D52='General inputs'!$I$16,0,IF(D52&lt;'General inputs'!$I$16,C53-1,C51+1))</f>
        <v>-14</v>
      </c>
      <c r="D52" s="116" t="str">
        <f t="shared" si="2"/>
        <v>2008-09</v>
      </c>
      <c r="E52" s="113">
        <f>IF(LEFT(D52,4)*1&gt;LEFT('General inputs'!$I$16,4)+'General inputs'!$H$38-1,"",'ET inputs'!D25)</f>
        <v>1261.3267795514616</v>
      </c>
      <c r="F52" s="113">
        <f>IF(LEFT(D52,4)*1&gt;LEFT('General inputs'!$I$16,4)+'General inputs'!$H$38-1,"",E52/(1+'General inputs'!$H$30)^C52)</f>
        <v>1907.8699264341287</v>
      </c>
      <c r="G52" s="113">
        <f>IF(LEFT(D52,4)*1&gt;LEFT('General inputs'!$I$16,4)+'General inputs'!$H$38-1,"",E52/(1+'General inputs'!$H$32)^C52)</f>
        <v>2243.7562824508273</v>
      </c>
      <c r="H52" s="113" t="str">
        <f>IF(LEFT(D52,4)*1&lt;LEFT('General inputs'!$I$16,4)*1,"",IF(LEFT(D52,4)*1&gt;LEFT('General inputs'!$I$16,4)+'General inputs'!$H$38-1,"",E52/(1+'General inputs'!$H$34)^C52))</f>
        <v/>
      </c>
      <c r="I52" s="91"/>
      <c r="J52" s="151"/>
      <c r="K52" s="151"/>
      <c r="L52" s="113">
        <f>IF(LEFT(D52,4)*1&gt;LEFT('General inputs'!$I$18,4)*1,"",SUMIF('Post-1996 commissioned assets'!$F$22:$F$2700,$D52,'Post-1996 commissioned assets'!$P$22:$P$2700)*(1+$K$34)*(1+$K$35))</f>
        <v>2477831.8417280517</v>
      </c>
      <c r="M52" s="113">
        <f>IF(L52="","",L52/(1+'General inputs'!$H$32)^C52)</f>
        <v>4407779.8488596892</v>
      </c>
      <c r="N52" s="113" t="str">
        <f>IF(LEFT(D52,4)*1&lt;LEFT('General inputs'!$I$18,4)*1+1,"",SUMIF('Uncommissioned assets'!$F$22:$F$1511,$D52,'Uncommissioned assets'!$P$22:$P$1511))</f>
        <v/>
      </c>
      <c r="O52" s="113" t="str">
        <f>IF(N52="","",N52/(1+'General inputs'!$H$32)^C52)</f>
        <v/>
      </c>
      <c r="P52" s="91"/>
      <c r="Q52" s="119"/>
      <c r="R52" s="113" t="str">
        <f>IF(OR(LEFT(D52,4)*1&lt;LEFT('General inputs'!$I$16,4)*1,LEFT(D52,4)*1&gt;LEFT('General inputs'!$I$16,4)+'General inputs'!$H$38-1),"",Q52/(1+'General inputs'!$H$34)^C52)</f>
        <v/>
      </c>
      <c r="S52" s="91"/>
      <c r="T52" s="119"/>
      <c r="U52" s="113" t="str">
        <f>IF(OR(LEFT(D52,4)*1&lt;LEFT('General inputs'!$I$16,4)*1,LEFT(D52,4)*1&gt;LEFT('General inputs'!$I$16,4)+'General inputs'!$H$38-1),"",T52/(1+'General inputs'!$H$34)^C52)</f>
        <v/>
      </c>
      <c r="V52" s="93"/>
      <c r="W52" s="92"/>
      <c r="X52" s="48"/>
      <c r="Y52" s="48"/>
      <c r="Z52" s="48"/>
    </row>
    <row r="53" spans="1:26" ht="12" thickTop="1" x14ac:dyDescent="0.25">
      <c r="B53" s="66"/>
      <c r="C53" s="111">
        <f>IF(D53='General inputs'!$I$16,0,IF(D53&lt;'General inputs'!$I$16,C54-1,C52+1))</f>
        <v>-13</v>
      </c>
      <c r="D53" s="118" t="str">
        <f t="shared" si="1"/>
        <v>2009-10</v>
      </c>
      <c r="E53" s="113">
        <f>IF(LEFT(D53,4)*1&gt;LEFT('General inputs'!$I$16,4)+'General inputs'!$H$38-1,"",'ET inputs'!D26)</f>
        <v>1936.6008164423483</v>
      </c>
      <c r="F53" s="113">
        <f>IF(LEFT(D53,4)*1&gt;LEFT('General inputs'!$I$16,4)+'General inputs'!$H$38-1,"",E53/(1+'General inputs'!$H$30)^C53)</f>
        <v>2843.9635884434124</v>
      </c>
      <c r="G53" s="113">
        <f>IF(LEFT(D53,4)*1&gt;LEFT('General inputs'!$I$16,4)+'General inputs'!$H$38-1,"",E53/(1+'General inputs'!$H$32)^C53)</f>
        <v>3306.1340401467191</v>
      </c>
      <c r="H53" s="113" t="str">
        <f>IF(LEFT(D53,4)*1&lt;LEFT('General inputs'!$I$16,4)*1,"",IF(LEFT(D53,4)*1&gt;LEFT('General inputs'!$I$16,4)+'General inputs'!$H$38-1,"",E53/(1+'General inputs'!$H$34)^C53))</f>
        <v/>
      </c>
      <c r="I53" s="91"/>
      <c r="J53" s="151"/>
      <c r="K53" s="151"/>
      <c r="L53" s="113">
        <f>IF(LEFT(D53,4)*1&gt;LEFT('General inputs'!$I$18,4)*1,"",SUMIF('Post-1996 commissioned assets'!$F$22:$F$2700,$D53,'Post-1996 commissioned assets'!$P$22:$P$2700)*(1+$K$34)*(1+$K$35))</f>
        <v>1263273.8687508395</v>
      </c>
      <c r="M53" s="113">
        <f>IF(L53="","",L53/(1+'General inputs'!$H$32)^C53)</f>
        <v>2156641.0093627693</v>
      </c>
      <c r="N53" s="113" t="str">
        <f>IF(LEFT(D53,4)*1&lt;LEFT('General inputs'!$I$18,4)*1+1,"",SUMIF('Uncommissioned assets'!$F$22:$F$1511,$D53,'Uncommissioned assets'!$P$22:$P$1511))</f>
        <v/>
      </c>
      <c r="O53" s="113" t="str">
        <f>IF(N53="","",N53/(1+'General inputs'!$H$32)^C53)</f>
        <v/>
      </c>
      <c r="P53" s="91"/>
      <c r="Q53" s="119"/>
      <c r="R53" s="113" t="str">
        <f>IF(OR(LEFT(D53,4)*1&lt;LEFT('General inputs'!$I$16,4)*1,LEFT(D53,4)*1&gt;LEFT('General inputs'!$I$16,4)+'General inputs'!$H$38-1),"",Q53/(1+'General inputs'!$H$34)^C53)</f>
        <v/>
      </c>
      <c r="S53" s="91"/>
      <c r="T53" s="119"/>
      <c r="U53" s="113" t="str">
        <f>IF(OR(LEFT(D53,4)*1&lt;LEFT('General inputs'!$I$16,4)*1,LEFT(D53,4)*1&gt;LEFT('General inputs'!$I$16,4)+'General inputs'!$H$38-1),"",T53/(1+'General inputs'!$H$34)^C53)</f>
        <v/>
      </c>
      <c r="V53" s="93"/>
      <c r="W53" s="92"/>
      <c r="X53" s="48"/>
      <c r="Y53" s="48"/>
      <c r="Z53" s="48"/>
    </row>
    <row r="54" spans="1:26" x14ac:dyDescent="0.25">
      <c r="B54" s="66"/>
      <c r="C54" s="111">
        <f>IF(D54='General inputs'!$I$16,0,IF(D54&lt;'General inputs'!$I$16,C55-1,C53+1))</f>
        <v>-12</v>
      </c>
      <c r="D54" s="111" t="str">
        <f t="shared" si="1"/>
        <v>2010-11</v>
      </c>
      <c r="E54" s="113">
        <f>IF(LEFT(D54,4)*1&gt;LEFT('General inputs'!$I$16,4)+'General inputs'!$H$38-1,"",'ET inputs'!D27)</f>
        <v>1098.5962659448303</v>
      </c>
      <c r="F54" s="113">
        <f>IF(LEFT(D54,4)*1&gt;LEFT('General inputs'!$I$16,4)+'General inputs'!$H$38-1,"",E54/(1+'General inputs'!$H$30)^C54)</f>
        <v>1566.3355864194014</v>
      </c>
      <c r="G54" s="113">
        <f>IF(LEFT(D54,4)*1&gt;LEFT('General inputs'!$I$16,4)+'General inputs'!$H$38-1,"",E54/(1+'General inputs'!$H$32)^C54)</f>
        <v>1799.909818787092</v>
      </c>
      <c r="H54" s="113" t="str">
        <f>IF(LEFT(D54,4)*1&lt;LEFT('General inputs'!$I$16,4)*1,"",IF(LEFT(D54,4)*1&gt;LEFT('General inputs'!$I$16,4)+'General inputs'!$H$38-1,"",E54/(1+'General inputs'!$H$34)^C54))</f>
        <v/>
      </c>
      <c r="I54" s="91"/>
      <c r="J54" s="151"/>
      <c r="K54" s="151"/>
      <c r="L54" s="113">
        <f>IF(LEFT(D54,4)*1&gt;LEFT('General inputs'!$I$18,4)*1,"",SUMIF('Post-1996 commissioned assets'!$F$22:$F$2700,$D54,'Post-1996 commissioned assets'!$P$22:$P$2700)*(1+$K$34)*(1+$K$35))</f>
        <v>449487.13916253415</v>
      </c>
      <c r="M54" s="113">
        <f>IF(L54="","",L54/(1+'General inputs'!$H$32)^C54)</f>
        <v>736427.3302907747</v>
      </c>
      <c r="N54" s="113" t="str">
        <f>IF(LEFT(D54,4)*1&lt;LEFT('General inputs'!$I$18,4)*1+1,"",SUMIF('Uncommissioned assets'!$F$22:$F$1511,$D54,'Uncommissioned assets'!$P$22:$P$1511))</f>
        <v/>
      </c>
      <c r="O54" s="113" t="str">
        <f>IF(N54="","",N54/(1+'General inputs'!$H$32)^C54)</f>
        <v/>
      </c>
      <c r="P54" s="91"/>
      <c r="Q54" s="119"/>
      <c r="R54" s="113" t="str">
        <f>IF(OR(LEFT(D54,4)*1&lt;LEFT('General inputs'!$I$16,4)*1,LEFT(D54,4)*1&gt;LEFT('General inputs'!$I$16,4)+'General inputs'!$H$38-1),"",Q54/(1+'General inputs'!$H$34)^C54)</f>
        <v/>
      </c>
      <c r="S54" s="91"/>
      <c r="T54" s="119"/>
      <c r="U54" s="113" t="str">
        <f>IF(OR(LEFT(D54,4)*1&lt;LEFT('General inputs'!$I$16,4)*1,LEFT(D54,4)*1&gt;LEFT('General inputs'!$I$16,4)+'General inputs'!$H$38-1),"",T54/(1+'General inputs'!$H$34)^C54)</f>
        <v/>
      </c>
      <c r="V54" s="93"/>
      <c r="W54" s="92"/>
      <c r="X54" s="48"/>
      <c r="Y54" s="48"/>
      <c r="Z54" s="48"/>
    </row>
    <row r="55" spans="1:26" x14ac:dyDescent="0.25">
      <c r="B55" s="66"/>
      <c r="C55" s="111">
        <f>IF(D55='General inputs'!$I$16,0,IF(D55&lt;'General inputs'!$I$16,C56-1,C54+1))</f>
        <v>-11</v>
      </c>
      <c r="D55" s="111" t="str">
        <f t="shared" si="1"/>
        <v>2011-12</v>
      </c>
      <c r="E55" s="113">
        <f>IF(LEFT(D55,4)*1&gt;LEFT('General inputs'!$I$16,4)+'General inputs'!$H$38-1,"",'ET inputs'!D28)</f>
        <v>1103.3773809820145</v>
      </c>
      <c r="F55" s="113">
        <f>IF(LEFT(D55,4)*1&gt;LEFT('General inputs'!$I$16,4)+'General inputs'!$H$38-1,"",E55/(1+'General inputs'!$H$30)^C55)</f>
        <v>1527.3323429465352</v>
      </c>
      <c r="G55" s="113">
        <f>IF(LEFT(D55,4)*1&gt;LEFT('General inputs'!$I$16,4)+'General inputs'!$H$38-1,"",E55/(1+'General inputs'!$H$32)^C55)</f>
        <v>1734.8781821336163</v>
      </c>
      <c r="H55" s="113" t="str">
        <f>IF(LEFT(D55,4)*1&lt;LEFT('General inputs'!$I$16,4)*1,"",IF(LEFT(D55,4)*1&gt;LEFT('General inputs'!$I$16,4)+'General inputs'!$H$38-1,"",E55/(1+'General inputs'!$H$34)^C55))</f>
        <v/>
      </c>
      <c r="I55" s="91"/>
      <c r="J55" s="151"/>
      <c r="K55" s="151"/>
      <c r="L55" s="113">
        <f>IF(LEFT(D55,4)*1&gt;LEFT('General inputs'!$I$18,4)*1,"",SUMIF('Post-1996 commissioned assets'!$F$22:$F$2700,$D55,'Post-1996 commissioned assets'!$P$22:$P$2700)*(1+$K$34)*(1+$K$35))</f>
        <v>119969.75673810394</v>
      </c>
      <c r="M55" s="113">
        <f>IF(L55="","",L55/(1+'General inputs'!$H$32)^C55)</f>
        <v>188632.57219898235</v>
      </c>
      <c r="N55" s="113" t="str">
        <f>IF(LEFT(D55,4)*1&lt;LEFT('General inputs'!$I$18,4)*1+1,"",SUMIF('Uncommissioned assets'!$F$22:$F$1511,$D55,'Uncommissioned assets'!$P$22:$P$1511))</f>
        <v/>
      </c>
      <c r="O55" s="113" t="str">
        <f>IF(N55="","",N55/(1+'General inputs'!$H$32)^C55)</f>
        <v/>
      </c>
      <c r="P55" s="91"/>
      <c r="Q55" s="119"/>
      <c r="R55" s="113" t="str">
        <f>IF(OR(LEFT(D55,4)*1&lt;LEFT('General inputs'!$I$16,4)*1,LEFT(D55,4)*1&gt;LEFT('General inputs'!$I$16,4)+'General inputs'!$H$38-1),"",Q55/(1+'General inputs'!$H$34)^C55)</f>
        <v/>
      </c>
      <c r="S55" s="91"/>
      <c r="T55" s="119"/>
      <c r="U55" s="113" t="str">
        <f>IF(OR(LEFT(D55,4)*1&lt;LEFT('General inputs'!$I$16,4)*1,LEFT(D55,4)*1&gt;LEFT('General inputs'!$I$16,4)+'General inputs'!$H$38-1),"",T55/(1+'General inputs'!$H$34)^C55)</f>
        <v/>
      </c>
      <c r="V55" s="93"/>
      <c r="W55" s="92"/>
      <c r="X55" s="48"/>
      <c r="Y55" s="48"/>
      <c r="Z55" s="48"/>
    </row>
    <row r="56" spans="1:26" x14ac:dyDescent="0.25">
      <c r="B56" s="66"/>
      <c r="C56" s="111">
        <f>IF(D56='General inputs'!$I$16,0,IF(D56&lt;'General inputs'!$I$16,C57-1,C55+1))</f>
        <v>-10</v>
      </c>
      <c r="D56" s="111" t="str">
        <f t="shared" si="1"/>
        <v>2012-13</v>
      </c>
      <c r="E56" s="113">
        <f>IF(LEFT(D56,4)*1&gt;LEFT('General inputs'!$I$16,4)+'General inputs'!$H$38-1,"",'ET inputs'!D29)</f>
        <v>3421.4288958456</v>
      </c>
      <c r="F56" s="113">
        <f>IF(LEFT(D56,4)*1&gt;LEFT('General inputs'!$I$16,4)+'General inputs'!$H$38-1,"",E56/(1+'General inputs'!$H$30)^C56)</f>
        <v>4598.1143338881757</v>
      </c>
      <c r="G56" s="113">
        <f>IF(LEFT(D56,4)*1&gt;LEFT('General inputs'!$I$16,4)+'General inputs'!$H$38-1,"",E56/(1+'General inputs'!$H$32)^C56)</f>
        <v>5162.7929525434456</v>
      </c>
      <c r="H56" s="113" t="str">
        <f>IF(LEFT(D56,4)*1&lt;LEFT('General inputs'!$I$16,4)*1,"",IF(LEFT(D56,4)*1&gt;LEFT('General inputs'!$I$16,4)+'General inputs'!$H$38-1,"",E56/(1+'General inputs'!$H$34)^C56))</f>
        <v/>
      </c>
      <c r="I56" s="91"/>
      <c r="J56" s="151"/>
      <c r="K56" s="151"/>
      <c r="L56" s="113">
        <f>IF(LEFT(D56,4)*1&gt;LEFT('General inputs'!$I$18,4)*1,"",SUMIF('Post-1996 commissioned assets'!$F$22:$F$2700,$D56,'Post-1996 commissioned assets'!$P$22:$P$2700)*(1+$K$34)*(1+$K$35))</f>
        <v>6903581.0832834002</v>
      </c>
      <c r="M56" s="113">
        <f>IF(L56="","",L56/(1+'General inputs'!$H$32)^C56)</f>
        <v>10417214.809685234</v>
      </c>
      <c r="N56" s="113" t="str">
        <f>IF(LEFT(D56,4)*1&lt;LEFT('General inputs'!$I$18,4)*1+1,"",SUMIF('Uncommissioned assets'!$F$22:$F$1511,$D56,'Uncommissioned assets'!$P$22:$P$1511))</f>
        <v/>
      </c>
      <c r="O56" s="113" t="str">
        <f>IF(N56="","",N56/(1+'General inputs'!$H$32)^C56)</f>
        <v/>
      </c>
      <c r="P56" s="91"/>
      <c r="Q56" s="119"/>
      <c r="R56" s="113" t="str">
        <f>IF(OR(LEFT(D56,4)*1&lt;LEFT('General inputs'!$I$16,4)*1,LEFT(D56,4)*1&gt;LEFT('General inputs'!$I$16,4)+'General inputs'!$H$38-1),"",Q56/(1+'General inputs'!$H$34)^C56)</f>
        <v/>
      </c>
      <c r="S56" s="91"/>
      <c r="T56" s="119"/>
      <c r="U56" s="113" t="str">
        <f>IF(OR(LEFT(D56,4)*1&lt;LEFT('General inputs'!$I$16,4)*1,LEFT(D56,4)*1&gt;LEFT('General inputs'!$I$16,4)+'General inputs'!$H$38-1),"",T56/(1+'General inputs'!$H$34)^C56)</f>
        <v/>
      </c>
      <c r="V56" s="93"/>
      <c r="W56" s="92"/>
      <c r="X56" s="48"/>
      <c r="Y56" s="48"/>
      <c r="Z56" s="48"/>
    </row>
    <row r="57" spans="1:26" x14ac:dyDescent="0.25">
      <c r="B57" s="66"/>
      <c r="C57" s="111">
        <f>IF(D57='General inputs'!$I$16,0,IF(D57&lt;'General inputs'!$I$16,C58-1,C56+1))</f>
        <v>-9</v>
      </c>
      <c r="D57" s="111" t="str">
        <f t="shared" si="1"/>
        <v>2013-14</v>
      </c>
      <c r="E57" s="113">
        <f>IF(LEFT(D57,4)*1&gt;LEFT('General inputs'!$I$16,4)+'General inputs'!$H$38-1,"",'ET inputs'!D30)</f>
        <v>3552.7433113144361</v>
      </c>
      <c r="F57" s="113">
        <f>IF(LEFT(D57,4)*1&gt;LEFT('General inputs'!$I$16,4)+'General inputs'!$H$38-1,"",E57/(1+'General inputs'!$H$30)^C57)</f>
        <v>4635.5242016317898</v>
      </c>
      <c r="G57" s="113">
        <f>IF(LEFT(D57,4)*1&gt;LEFT('General inputs'!$I$16,4)+'General inputs'!$H$38-1,"",E57/(1+'General inputs'!$H$32)^C57)</f>
        <v>5144.8569169890325</v>
      </c>
      <c r="H57" s="113" t="str">
        <f>IF(LEFT(D57,4)*1&lt;LEFT('General inputs'!$I$16,4)*1,"",IF(LEFT(D57,4)*1&gt;LEFT('General inputs'!$I$16,4)+'General inputs'!$H$38-1,"",E57/(1+'General inputs'!$H$34)^C57))</f>
        <v/>
      </c>
      <c r="I57" s="91"/>
      <c r="J57" s="151"/>
      <c r="K57" s="151"/>
      <c r="L57" s="113">
        <f>IF(LEFT(D57,4)*1&gt;LEFT('General inputs'!$I$18,4)*1,"",SUMIF('Post-1996 commissioned assets'!$F$22:$F$2700,$D57,'Post-1996 commissioned assets'!$P$22:$P$2700)*(1+$K$34)*(1+$K$35))</f>
        <v>12951229.220485609</v>
      </c>
      <c r="M57" s="113">
        <f>IF(L57="","",L57/(1+'General inputs'!$H$32)^C57)</f>
        <v>18755146.488158025</v>
      </c>
      <c r="N57" s="113" t="str">
        <f>IF(LEFT(D57,4)*1&lt;LEFT('General inputs'!$I$18,4)*1+1,"",SUMIF('Uncommissioned assets'!$F$22:$F$1511,$D57,'Uncommissioned assets'!$P$22:$P$1511))</f>
        <v/>
      </c>
      <c r="O57" s="113" t="str">
        <f>IF(N57="","",N57/(1+'General inputs'!$H$32)^C57)</f>
        <v/>
      </c>
      <c r="P57" s="91"/>
      <c r="Q57" s="119"/>
      <c r="R57" s="113" t="str">
        <f>IF(OR(LEFT(D57,4)*1&lt;LEFT('General inputs'!$I$16,4)*1,LEFT(D57,4)*1&gt;LEFT('General inputs'!$I$16,4)+'General inputs'!$H$38-1),"",Q57/(1+'General inputs'!$H$34)^C57)</f>
        <v/>
      </c>
      <c r="S57" s="91"/>
      <c r="T57" s="119"/>
      <c r="U57" s="113" t="str">
        <f>IF(OR(LEFT(D57,4)*1&lt;LEFT('General inputs'!$I$16,4)*1,LEFT(D57,4)*1&gt;LEFT('General inputs'!$I$16,4)+'General inputs'!$H$38-1),"",T57/(1+'General inputs'!$H$34)^C57)</f>
        <v/>
      </c>
      <c r="V57" s="93"/>
      <c r="W57" s="92"/>
      <c r="X57" s="48"/>
      <c r="Y57" s="48"/>
      <c r="Z57" s="48"/>
    </row>
    <row r="58" spans="1:26" x14ac:dyDescent="0.25">
      <c r="B58" s="66"/>
      <c r="C58" s="111">
        <f>IF(D58='General inputs'!$I$16,0,IF(D58&lt;'General inputs'!$I$16,C59-1,C57+1))</f>
        <v>-8</v>
      </c>
      <c r="D58" s="111" t="str">
        <f t="shared" si="1"/>
        <v>2014-15</v>
      </c>
      <c r="E58" s="113">
        <f>IF(LEFT(D58,4)*1&gt;LEFT('General inputs'!$I$16,4)+'General inputs'!$H$38-1,"",'ET inputs'!D31)</f>
        <v>3500.092565454725</v>
      </c>
      <c r="F58" s="113">
        <f>IF(LEFT(D58,4)*1&gt;LEFT('General inputs'!$I$16,4)+'General inputs'!$H$38-1,"",E58/(1+'General inputs'!$H$30)^C58)</f>
        <v>4433.8125440052718</v>
      </c>
      <c r="G58" s="113">
        <f>IF(LEFT(D58,4)*1&gt;LEFT('General inputs'!$I$16,4)+'General inputs'!$H$38-1,"",E58/(1+'General inputs'!$H$32)^C58)</f>
        <v>4864.3104177577825</v>
      </c>
      <c r="H58" s="113" t="str">
        <f>IF(LEFT(D58,4)*1&lt;LEFT('General inputs'!$I$16,4)*1,"",IF(LEFT(D58,4)*1&gt;LEFT('General inputs'!$I$16,4)+'General inputs'!$H$38-1,"",E58/(1+'General inputs'!$H$34)^C58))</f>
        <v/>
      </c>
      <c r="I58" s="91"/>
      <c r="J58" s="151"/>
      <c r="K58" s="151"/>
      <c r="L58" s="113">
        <f>IF(LEFT(D58,4)*1&gt;LEFT('General inputs'!$I$18,4)*1,"",SUMIF('Post-1996 commissioned assets'!$F$22:$F$2700,$D58,'Post-1996 commissioned assets'!$P$22:$P$2700)*(1+$K$34)*(1+$K$35))</f>
        <v>48088909.05242864</v>
      </c>
      <c r="M58" s="113">
        <f>IF(L58="","",L58/(1+'General inputs'!$H$32)^C58)</f>
        <v>66832341.404646486</v>
      </c>
      <c r="N58" s="113" t="str">
        <f>IF(LEFT(D58,4)*1&lt;LEFT('General inputs'!$I$18,4)*1+1,"",SUMIF('Uncommissioned assets'!$F$22:$F$1511,$D58,'Uncommissioned assets'!$P$22:$P$1511))</f>
        <v/>
      </c>
      <c r="O58" s="113" t="str">
        <f>IF(N58="","",N58/(1+'General inputs'!$H$32)^C58)</f>
        <v/>
      </c>
      <c r="P58" s="91"/>
      <c r="Q58" s="119"/>
      <c r="R58" s="113" t="str">
        <f>IF(OR(LEFT(D58,4)*1&lt;LEFT('General inputs'!$I$16,4)*1,LEFT(D58,4)*1&gt;LEFT('General inputs'!$I$16,4)+'General inputs'!$H$38-1),"",Q58/(1+'General inputs'!$H$34)^C58)</f>
        <v/>
      </c>
      <c r="S58" s="91"/>
      <c r="T58" s="119"/>
      <c r="U58" s="113" t="str">
        <f>IF(OR(LEFT(D58,4)*1&lt;LEFT('General inputs'!$I$16,4)*1,LEFT(D58,4)*1&gt;LEFT('General inputs'!$I$16,4)+'General inputs'!$H$38-1),"",T58/(1+'General inputs'!$H$34)^C58)</f>
        <v/>
      </c>
      <c r="V58" s="93"/>
      <c r="W58" s="92"/>
      <c r="X58" s="48"/>
      <c r="Y58" s="48"/>
      <c r="Z58" s="48"/>
    </row>
    <row r="59" spans="1:26" x14ac:dyDescent="0.25">
      <c r="B59" s="66"/>
      <c r="C59" s="111">
        <f>IF(D59='General inputs'!$I$16,0,IF(D59&lt;'General inputs'!$I$16,C60-1,C58+1))</f>
        <v>-7</v>
      </c>
      <c r="D59" s="111" t="str">
        <f t="shared" si="1"/>
        <v>2015-16</v>
      </c>
      <c r="E59" s="113">
        <f>IF(LEFT(D59,4)*1&gt;LEFT('General inputs'!$I$16,4)+'General inputs'!$H$38-1,"",'ET inputs'!D32)</f>
        <v>4447.5027060992943</v>
      </c>
      <c r="F59" s="113">
        <f>IF(LEFT(D59,4)*1&gt;LEFT('General inputs'!$I$16,4)+'General inputs'!$H$38-1,"",E59/(1+'General inputs'!$H$30)^C59)</f>
        <v>5469.867344637908</v>
      </c>
      <c r="G59" s="113">
        <f>IF(LEFT(D59,4)*1&gt;LEFT('General inputs'!$I$16,4)+'General inputs'!$H$38-1,"",E59/(1+'General inputs'!$H$32)^C59)</f>
        <v>5931.851275082161</v>
      </c>
      <c r="H59" s="113" t="str">
        <f>IF(LEFT(D59,4)*1&lt;LEFT('General inputs'!$I$16,4)*1,"",IF(LEFT(D59,4)*1&gt;LEFT('General inputs'!$I$16,4)+'General inputs'!$H$38-1,"",E59/(1+'General inputs'!$H$34)^C59))</f>
        <v/>
      </c>
      <c r="I59" s="91"/>
      <c r="J59" s="151"/>
      <c r="K59" s="151"/>
      <c r="L59" s="113">
        <f>IF(LEFT(D59,4)*1&gt;LEFT('General inputs'!$I$18,4)*1,"",SUMIF('Post-1996 commissioned assets'!$F$22:$F$2700,$D59,'Post-1996 commissioned assets'!$P$22:$P$2700)*(1+$K$34)*(1+$K$35))</f>
        <v>25880382.757698055</v>
      </c>
      <c r="M59" s="113">
        <f>IF(L59="","",L59/(1+'General inputs'!$H$32)^C59)</f>
        <v>34517928.735676892</v>
      </c>
      <c r="N59" s="113" t="str">
        <f>IF(LEFT(D59,4)*1&lt;LEFT('General inputs'!$I$18,4)*1+1,"",SUMIF('Uncommissioned assets'!$F$22:$F$1511,$D59,'Uncommissioned assets'!$P$22:$P$1511))</f>
        <v/>
      </c>
      <c r="O59" s="113" t="str">
        <f>IF(N59="","",N59/(1+'General inputs'!$H$32)^C59)</f>
        <v/>
      </c>
      <c r="P59" s="91"/>
      <c r="Q59" s="119"/>
      <c r="R59" s="113" t="str">
        <f>IF(OR(LEFT(D59,4)*1&lt;LEFT('General inputs'!$I$16,4)*1,LEFT(D59,4)*1&gt;LEFT('General inputs'!$I$16,4)+'General inputs'!$H$38-1),"",Q59/(1+'General inputs'!$H$34)^C59)</f>
        <v/>
      </c>
      <c r="S59" s="91"/>
      <c r="T59" s="119"/>
      <c r="U59" s="113" t="str">
        <f>IF(OR(LEFT(D59,4)*1&lt;LEFT('General inputs'!$I$16,4)*1,LEFT(D59,4)*1&gt;LEFT('General inputs'!$I$16,4)+'General inputs'!$H$38-1),"",T59/(1+'General inputs'!$H$34)^C59)</f>
        <v/>
      </c>
      <c r="V59" s="93"/>
      <c r="W59" s="92"/>
      <c r="X59" s="48"/>
      <c r="Y59" s="48"/>
      <c r="Z59" s="48"/>
    </row>
    <row r="60" spans="1:26" x14ac:dyDescent="0.25">
      <c r="B60" s="66"/>
      <c r="C60" s="111">
        <f>IF(D60='General inputs'!$I$16,0,IF(D60&lt;'General inputs'!$I$16,C61-1,C59+1))</f>
        <v>-6</v>
      </c>
      <c r="D60" s="111" t="str">
        <f t="shared" si="1"/>
        <v>2016-17</v>
      </c>
      <c r="E60" s="113">
        <f>IF(LEFT(D60,4)*1&gt;LEFT('General inputs'!$I$16,4)+'General inputs'!$H$38-1,"",'ET inputs'!D33)</f>
        <v>7458.0714953054703</v>
      </c>
      <c r="F60" s="113">
        <f>IF(LEFT(D60,4)*1&gt;LEFT('General inputs'!$I$16,4)+'General inputs'!$H$38-1,"",E60/(1+'General inputs'!$H$30)^C60)</f>
        <v>8905.3273966469696</v>
      </c>
      <c r="G60" s="113">
        <f>IF(LEFT(D60,4)*1&gt;LEFT('General inputs'!$I$16,4)+'General inputs'!$H$38-1,"",E60/(1+'General inputs'!$H$32)^C60)</f>
        <v>9546.2511538406197</v>
      </c>
      <c r="H60" s="113" t="str">
        <f>IF(LEFT(D60,4)*1&lt;LEFT('General inputs'!$I$16,4)*1,"",IF(LEFT(D60,4)*1&gt;LEFT('General inputs'!$I$16,4)+'General inputs'!$H$38-1,"",E60/(1+'General inputs'!$H$34)^C60))</f>
        <v/>
      </c>
      <c r="I60" s="91"/>
      <c r="J60" s="151"/>
      <c r="K60" s="151"/>
      <c r="L60" s="113">
        <f>IF(LEFT(D60,4)*1&gt;LEFT('General inputs'!$I$18,4)*1,"",SUMIF('Post-1996 commissioned assets'!$F$22:$F$2700,$D60,'Post-1996 commissioned assets'!$P$22:$P$2700)*(1+$K$34)*(1+$K$35))</f>
        <v>34827949.348078519</v>
      </c>
      <c r="M60" s="113">
        <f>IF(L60="","",L60/(1+'General inputs'!$H$32)^C60)</f>
        <v>44579399.897047989</v>
      </c>
      <c r="N60" s="113" t="str">
        <f>IF(LEFT(D60,4)*1&lt;LEFT('General inputs'!$I$18,4)*1+1,"",SUMIF('Uncommissioned assets'!$F$22:$F$1511,$D60,'Uncommissioned assets'!$P$22:$P$1511))</f>
        <v/>
      </c>
      <c r="O60" s="113" t="str">
        <f>IF(N60="","",N60/(1+'General inputs'!$H$32)^C60)</f>
        <v/>
      </c>
      <c r="P60" s="91"/>
      <c r="Q60" s="119"/>
      <c r="R60" s="113" t="str">
        <f>IF(OR(LEFT(D60,4)*1&lt;LEFT('General inputs'!$I$16,4)*1,LEFT(D60,4)*1&gt;LEFT('General inputs'!$I$16,4)+'General inputs'!$H$38-1),"",Q60/(1+'General inputs'!$H$34)^C60)</f>
        <v/>
      </c>
      <c r="S60" s="91"/>
      <c r="T60" s="119"/>
      <c r="U60" s="113" t="str">
        <f>IF(OR(LEFT(D60,4)*1&lt;LEFT('General inputs'!$I$16,4)*1,LEFT(D60,4)*1&gt;LEFT('General inputs'!$I$16,4)+'General inputs'!$H$38-1),"",T60/(1+'General inputs'!$H$34)^C60)</f>
        <v/>
      </c>
      <c r="V60" s="93"/>
      <c r="W60" s="92"/>
      <c r="X60" s="48"/>
      <c r="Y60" s="48"/>
      <c r="Z60" s="48"/>
    </row>
    <row r="61" spans="1:26" x14ac:dyDescent="0.25">
      <c r="B61" s="66"/>
      <c r="C61" s="111">
        <f>IF(D61='General inputs'!$I$16,0,IF(D61&lt;'General inputs'!$I$16,C62-1,C60+1))</f>
        <v>-5</v>
      </c>
      <c r="D61" s="111" t="str">
        <f t="shared" si="1"/>
        <v>2017-18</v>
      </c>
      <c r="E61" s="113">
        <f>IF(LEFT(D61,4)*1&gt;LEFT('General inputs'!$I$16,4)+'General inputs'!$H$38-1,"",'ET inputs'!D34)</f>
        <v>7282.0331662393492</v>
      </c>
      <c r="F61" s="113">
        <f>IF(LEFT(D61,4)*1&gt;LEFT('General inputs'!$I$16,4)+'General inputs'!$H$38-1,"",E61/(1+'General inputs'!$H$30)^C61)</f>
        <v>8441.8722578140187</v>
      </c>
      <c r="G61" s="113">
        <f>IF(LEFT(D61,4)*1&gt;LEFT('General inputs'!$I$16,4)+'General inputs'!$H$38-1,"",E61/(1+'General inputs'!$H$32)^C61)</f>
        <v>8945.2245579995433</v>
      </c>
      <c r="H61" s="113" t="str">
        <f>IF(LEFT(D61,4)*1&lt;LEFT('General inputs'!$I$16,4)*1,"",IF(LEFT(D61,4)*1&gt;LEFT('General inputs'!$I$16,4)+'General inputs'!$H$38-1,"",E61/(1+'General inputs'!$H$34)^C61))</f>
        <v/>
      </c>
      <c r="I61" s="91"/>
      <c r="J61" s="151"/>
      <c r="K61" s="151"/>
      <c r="L61" s="113">
        <f>IF(LEFT(D61,4)*1&gt;LEFT('General inputs'!$I$18,4)*1,"",SUMIF('Post-1996 commissioned assets'!$F$22:$F$2700,$D61,'Post-1996 commissioned assets'!$P$22:$P$2700)*(1+$K$34)*(1+$K$35))</f>
        <v>40699098.560034789</v>
      </c>
      <c r="M61" s="113">
        <f>IF(L61="","",L61/(1+'General inputs'!$H$32)^C61)</f>
        <v>49994633.039508581</v>
      </c>
      <c r="N61" s="113" t="str">
        <f>IF(LEFT(D61,4)*1&lt;LEFT('General inputs'!$I$18,4)*1+1,"",SUMIF('Uncommissioned assets'!$F$22:$F$1511,$D61,'Uncommissioned assets'!$P$22:$P$1511))</f>
        <v/>
      </c>
      <c r="O61" s="113" t="str">
        <f>IF(N61="","",N61/(1+'General inputs'!$H$32)^C61)</f>
        <v/>
      </c>
      <c r="P61" s="91"/>
      <c r="Q61" s="119"/>
      <c r="R61" s="113" t="str">
        <f>IF(OR(LEFT(D61,4)*1&lt;LEFT('General inputs'!$I$16,4)*1,LEFT(D61,4)*1&gt;LEFT('General inputs'!$I$16,4)+'General inputs'!$H$38-1),"",Q61/(1+'General inputs'!$H$34)^C61)</f>
        <v/>
      </c>
      <c r="S61" s="91"/>
      <c r="T61" s="119"/>
      <c r="U61" s="113" t="str">
        <f>IF(OR(LEFT(D61,4)*1&lt;LEFT('General inputs'!$I$16,4)*1,LEFT(D61,4)*1&gt;LEFT('General inputs'!$I$16,4)+'General inputs'!$H$38-1),"",T61/(1+'General inputs'!$H$34)^C61)</f>
        <v/>
      </c>
      <c r="V61" s="93"/>
      <c r="W61" s="92"/>
    </row>
    <row r="62" spans="1:26" x14ac:dyDescent="0.25">
      <c r="A62" s="92"/>
      <c r="B62" s="103"/>
      <c r="C62" s="111">
        <f>IF(D62='General inputs'!$I$16,0,IF(D62&lt;'General inputs'!$I$16,C63-1,C61+1))</f>
        <v>-4</v>
      </c>
      <c r="D62" s="111" t="str">
        <f t="shared" si="1"/>
        <v>2018-19</v>
      </c>
      <c r="E62" s="113">
        <f>IF(LEFT(D62,4)*1&gt;LEFT('General inputs'!$I$16,4)+'General inputs'!$H$38-1,"",'ET inputs'!D35)</f>
        <v>4054.9025553688339</v>
      </c>
      <c r="F62" s="113">
        <f>IF(LEFT(D62,4)*1&gt;LEFT('General inputs'!$I$16,4)+'General inputs'!$H$38-1,"",E62/(1+'General inputs'!$H$30)^C62)</f>
        <v>4563.8285497591351</v>
      </c>
      <c r="G62" s="113">
        <f>IF(LEFT(D62,4)*1&gt;LEFT('General inputs'!$I$16,4)+'General inputs'!$H$38-1,"",E62/(1+'General inputs'!$H$32)^C62)</f>
        <v>4780.2575694229745</v>
      </c>
      <c r="H62" s="113" t="str">
        <f>IF(LEFT(D62,4)*1&lt;LEFT('General inputs'!$I$16,4)*1,"",IF(LEFT(D62,4)*1&gt;LEFT('General inputs'!$I$16,4)+'General inputs'!$H$38-1,"",E62/(1+'General inputs'!$H$34)^C62))</f>
        <v/>
      </c>
      <c r="I62" s="91"/>
      <c r="J62" s="151"/>
      <c r="K62" s="151"/>
      <c r="L62" s="113">
        <f>IF(LEFT(D62,4)*1&gt;LEFT('General inputs'!$I$18,4)*1,"",SUMIF('Post-1996 commissioned assets'!$F$22:$F$2700,$D62,'Post-1996 commissioned assets'!$P$22:$P$2700)*(1+$K$34)*(1+$K$35))</f>
        <v>138411917.58991814</v>
      </c>
      <c r="M62" s="113">
        <f>IF(L62="","",L62/(1+'General inputs'!$H$32)^C62)</f>
        <v>163171520.82520807</v>
      </c>
      <c r="N62" s="113" t="str">
        <f>IF(LEFT(D62,4)*1&lt;LEFT('General inputs'!$I$18,4)*1+1,"",SUMIF('Uncommissioned assets'!$F$22:$F$1511,$D62,'Uncommissioned assets'!$P$22:$P$1511))</f>
        <v/>
      </c>
      <c r="O62" s="113" t="str">
        <f>IF(N62="","",N62/(1+'General inputs'!$H$32)^C62)</f>
        <v/>
      </c>
      <c r="P62" s="91"/>
      <c r="Q62" s="119"/>
      <c r="R62" s="113" t="str">
        <f>IF(OR(LEFT(D62,4)*1&lt;LEFT('General inputs'!$I$16,4)*1,LEFT(D62,4)*1&gt;LEFT('General inputs'!$I$16,4)+'General inputs'!$H$38-1),"",Q62/(1+'General inputs'!$H$34)^C62)</f>
        <v/>
      </c>
      <c r="S62" s="91"/>
      <c r="T62" s="119"/>
      <c r="U62" s="113" t="str">
        <f>IF(OR(LEFT(D62,4)*1&lt;LEFT('General inputs'!$I$16,4)*1,LEFT(D62,4)*1&gt;LEFT('General inputs'!$I$16,4)+'General inputs'!$H$38-1),"",T62/(1+'General inputs'!$H$34)^C62)</f>
        <v/>
      </c>
      <c r="V62" s="93"/>
      <c r="W62" s="92"/>
    </row>
    <row r="63" spans="1:26" x14ac:dyDescent="0.25">
      <c r="B63" s="66"/>
      <c r="C63" s="111">
        <f>IF(D63='General inputs'!$I$16,0,IF(D63&lt;'General inputs'!$I$16,C64-1,C62+1))</f>
        <v>-3</v>
      </c>
      <c r="D63" s="111" t="str">
        <f t="shared" si="1"/>
        <v>2019-20</v>
      </c>
      <c r="E63" s="113">
        <f>IF(LEFT(D63,4)*1&gt;LEFT('General inputs'!$I$16,4)+'General inputs'!$H$38-1,"",'ET inputs'!D36)</f>
        <v>5009.59509579307</v>
      </c>
      <c r="F63" s="113">
        <f>IF(LEFT(D63,4)*1&gt;LEFT('General inputs'!$I$16,4)+'General inputs'!$H$38-1,"",E63/(1+'General inputs'!$H$30)^C63)</f>
        <v>5474.119820240674</v>
      </c>
      <c r="G63" s="113">
        <f>IF(LEFT(D63,4)*1&gt;LEFT('General inputs'!$I$16,4)+'General inputs'!$H$38-1,"",E63/(1+'General inputs'!$H$32)^C63)</f>
        <v>5667.6860059913924</v>
      </c>
      <c r="H63" s="113" t="str">
        <f>IF(LEFT(D63,4)*1&lt;LEFT('General inputs'!$I$16,4)*1,"",IF(LEFT(D63,4)*1&gt;LEFT('General inputs'!$I$16,4)+'General inputs'!$H$38-1,"",E63/(1+'General inputs'!$H$34)^C63))</f>
        <v/>
      </c>
      <c r="I63" s="91"/>
      <c r="J63" s="151"/>
      <c r="K63" s="151"/>
      <c r="L63" s="113">
        <f>IF(LEFT(D63,4)*1&gt;LEFT('General inputs'!$I$18,4)*1,"",SUMIF('Post-1996 commissioned assets'!$F$22:$F$2700,$D63,'Post-1996 commissioned assets'!$P$22:$P$2700)*(1+$K$34)*(1+$K$35))</f>
        <v>21935765.293015648</v>
      </c>
      <c r="M63" s="113">
        <f>IF(L63="","",L63/(1+'General inputs'!$H$32)^C63)</f>
        <v>24817380.966845293</v>
      </c>
      <c r="N63" s="113" t="str">
        <f>IF(LEFT(D63,4)*1&lt;LEFT('General inputs'!$I$18,4)*1+1,"",SUMIF('Uncommissioned assets'!$F$22:$F$1511,$D63,'Uncommissioned assets'!$P$22:$P$1511))</f>
        <v/>
      </c>
      <c r="O63" s="113" t="str">
        <f>IF(N63="","",N63/(1+'General inputs'!$H$32)^C63)</f>
        <v/>
      </c>
      <c r="P63" s="91"/>
      <c r="Q63" s="119"/>
      <c r="R63" s="113" t="str">
        <f>IF(OR(LEFT(D63,4)*1&lt;LEFT('General inputs'!$I$16,4)*1,LEFT(D63,4)*1&gt;LEFT('General inputs'!$I$16,4)+'General inputs'!$H$38-1),"",Q63/(1+'General inputs'!$H$34)^C63)</f>
        <v/>
      </c>
      <c r="S63" s="91"/>
      <c r="T63" s="119"/>
      <c r="U63" s="113" t="str">
        <f>IF(OR(LEFT(D63,4)*1&lt;LEFT('General inputs'!$I$16,4)*1,LEFT(D63,4)*1&gt;LEFT('General inputs'!$I$16,4)+'General inputs'!$H$38-1),"",T63/(1+'General inputs'!$H$34)^C63)</f>
        <v/>
      </c>
      <c r="V63" s="93"/>
      <c r="W63" s="92"/>
    </row>
    <row r="64" spans="1:26" x14ac:dyDescent="0.25">
      <c r="B64" s="66"/>
      <c r="C64" s="111">
        <f>IF(D64='General inputs'!$I$16,0,IF(D64&lt;'General inputs'!$I$16,C65-1,C63+1))</f>
        <v>-2</v>
      </c>
      <c r="D64" s="111" t="str">
        <f t="shared" si="1"/>
        <v>2020-21</v>
      </c>
      <c r="E64" s="113">
        <f>IF(LEFT(D64,4)*1&gt;LEFT('General inputs'!$I$16,4)+'General inputs'!$H$38-1,"",'ET inputs'!D37)</f>
        <v>4904.8976499172095</v>
      </c>
      <c r="F64" s="113">
        <f>IF(LEFT(D64,4)*1&gt;LEFT('General inputs'!$I$16,4)+'General inputs'!$H$38-1,"",E64/(1+'General inputs'!$H$30)^C64)</f>
        <v>5203.605916797168</v>
      </c>
      <c r="G64" s="113">
        <f>IF(LEFT(D64,4)*1&gt;LEFT('General inputs'!$I$16,4)+'General inputs'!$H$38-1,"",E64/(1+'General inputs'!$H$32)^C64)</f>
        <v>5325.5612919647101</v>
      </c>
      <c r="H64" s="113" t="str">
        <f>IF(LEFT(D64,4)*1&lt;LEFT('General inputs'!$I$16,4)*1,"",IF(LEFT(D64,4)*1&gt;LEFT('General inputs'!$I$16,4)+'General inputs'!$H$38-1,"",E64/(1+'General inputs'!$H$34)^C64))</f>
        <v/>
      </c>
      <c r="I64" s="91"/>
      <c r="J64" s="151"/>
      <c r="K64" s="151"/>
      <c r="L64" s="113">
        <f>IF(LEFT(D64,4)*1&gt;LEFT('General inputs'!$I$18,4)*1,"",SUMIF('Post-1996 commissioned assets'!$F$22:$F$2700,$D64,'Post-1996 commissioned assets'!$P$22:$P$2700)*(1+$K$34)*(1+$K$35))</f>
        <v>18646291.84803601</v>
      </c>
      <c r="M64" s="113">
        <f>IF(L64="","",L64/(1+'General inputs'!$H$32)^C64)</f>
        <v>20245472.422090974</v>
      </c>
      <c r="N64" s="113" t="str">
        <f>IF(LEFT(D64,4)*1&lt;LEFT('General inputs'!$I$18,4)*1+1,"",SUMIF('Uncommissioned assets'!$F$22:$F$1511,$D64,'Uncommissioned assets'!$P$22:$P$1511))</f>
        <v/>
      </c>
      <c r="O64" s="113" t="str">
        <f>IF(N64="","",N64/(1+'General inputs'!$H$32)^C64)</f>
        <v/>
      </c>
      <c r="P64" s="91"/>
      <c r="Q64" s="119"/>
      <c r="R64" s="113" t="str">
        <f>IF(OR(LEFT(D64,4)*1&lt;LEFT('General inputs'!$I$16,4)*1,LEFT(D64,4)*1&gt;LEFT('General inputs'!$I$16,4)+'General inputs'!$H$38-1),"",Q64/(1+'General inputs'!$H$34)^C64)</f>
        <v/>
      </c>
      <c r="S64" s="91"/>
      <c r="T64" s="119"/>
      <c r="U64" s="113" t="str">
        <f>IF(OR(LEFT(D64,4)*1&lt;LEFT('General inputs'!$I$16,4)*1,LEFT(D64,4)*1&gt;LEFT('General inputs'!$I$16,4)+'General inputs'!$H$38-1),"",T64/(1+'General inputs'!$H$34)^C64)</f>
        <v/>
      </c>
      <c r="V64" s="93"/>
      <c r="W64" s="92"/>
    </row>
    <row r="65" spans="2:23" x14ac:dyDescent="0.25">
      <c r="B65" s="66"/>
      <c r="C65" s="111">
        <f>IF(D65='General inputs'!$I$16,0,IF(D65&lt;'General inputs'!$I$16,C66-1,C64+1))</f>
        <v>-1</v>
      </c>
      <c r="D65" s="111" t="str">
        <f t="shared" si="1"/>
        <v>2021-22</v>
      </c>
      <c r="E65" s="113">
        <f>IF(LEFT(D65,4)*1&gt;LEFT('General inputs'!$I$16,4)+'General inputs'!$H$38-1,"",'ET inputs'!D38)</f>
        <v>7150.9661297425355</v>
      </c>
      <c r="F65" s="113">
        <f>IF(LEFT(D65,4)*1&gt;LEFT('General inputs'!$I$16,4)+'General inputs'!$H$38-1,"",E65/(1+'General inputs'!$H$30)^C65)</f>
        <v>7365.4951136348118</v>
      </c>
      <c r="G65" s="113">
        <f>IF(LEFT(D65,4)*1&gt;LEFT('General inputs'!$I$16,4)+'General inputs'!$H$38-1,"",E65/(1+'General inputs'!$H$32)^C65)</f>
        <v>7451.3067071917221</v>
      </c>
      <c r="H65" s="113" t="str">
        <f>IF(LEFT(D65,4)*1&lt;LEFT('General inputs'!$I$16,4)*1,"",IF(LEFT(D65,4)*1&gt;LEFT('General inputs'!$I$16,4)+'General inputs'!$H$38-1,"",E65/(1+'General inputs'!$H$34)^C65))</f>
        <v/>
      </c>
      <c r="I65" s="91"/>
      <c r="J65" s="151"/>
      <c r="K65" s="151"/>
      <c r="L65" s="113" t="str">
        <f>IF(LEFT(D65,4)*1&gt;LEFT('General inputs'!$I$18,4)*1,"",SUMIF('Post-1996 commissioned assets'!$F$22:$F$2700,$D65,'Post-1996 commissioned assets'!$P$22:$P$2700)*(1+$K$34)*(1+$K$35))</f>
        <v/>
      </c>
      <c r="M65" s="113" t="str">
        <f>IF(L65="","",L65/(1+'General inputs'!$H$32)^C65)</f>
        <v/>
      </c>
      <c r="N65" s="113">
        <f>IF(LEFT(D65,4)*1&lt;LEFT('General inputs'!$I$18,4)*1+1,"",SUMIF('Uncommissioned assets'!$F$22:$F$1511,$D65,'Uncommissioned assets'!$P$22:$P$1511))</f>
        <v>33538657</v>
      </c>
      <c r="O65" s="113">
        <f>IF(N65="","",N65/(1+'General inputs'!$H$32)^C65)</f>
        <v>34947280.593999997</v>
      </c>
      <c r="P65" s="91"/>
      <c r="Q65" s="119"/>
      <c r="R65" s="113" t="str">
        <f>IF(OR(LEFT(D65,4)*1&lt;LEFT('General inputs'!$I$16,4)*1,LEFT(D65,4)*1&gt;LEFT('General inputs'!$I$16,4)+'General inputs'!$H$38-1),"",Q65/(1+'General inputs'!$H$34)^C65)</f>
        <v/>
      </c>
      <c r="S65" s="91"/>
      <c r="T65" s="119"/>
      <c r="U65" s="113" t="str">
        <f>IF(OR(LEFT(D65,4)*1&lt;LEFT('General inputs'!$I$16,4)*1,LEFT(D65,4)*1&gt;LEFT('General inputs'!$I$16,4)+'General inputs'!$H$38-1),"",T65/(1+'General inputs'!$H$34)^C65)</f>
        <v/>
      </c>
      <c r="V65" s="93"/>
      <c r="W65" s="92"/>
    </row>
    <row r="66" spans="2:23" x14ac:dyDescent="0.25">
      <c r="B66" s="66"/>
      <c r="C66" s="111">
        <f>IF(D66='General inputs'!$I$16,0,IF(D66&lt;'General inputs'!$I$16,C67-1,C65+1))</f>
        <v>0</v>
      </c>
      <c r="D66" s="111" t="str">
        <f t="shared" si="1"/>
        <v>2022-23</v>
      </c>
      <c r="E66" s="113">
        <f>IF(LEFT(D66,4)*1&gt;LEFT('General inputs'!$I$16,4)+'General inputs'!$H$38-1,"",'ET inputs'!D39)</f>
        <v>8109.9120035211581</v>
      </c>
      <c r="F66" s="113">
        <f>IF(LEFT(D66,4)*1&gt;LEFT('General inputs'!$I$16,4)+'General inputs'!$H$38-1,"",E66/(1+'General inputs'!$H$30)^C66)</f>
        <v>8109.9120035211581</v>
      </c>
      <c r="G66" s="113">
        <f>IF(LEFT(D66,4)*1&gt;LEFT('General inputs'!$I$16,4)+'General inputs'!$H$38-1,"",E66/(1+'General inputs'!$H$32)^C66)</f>
        <v>8109.9120035211581</v>
      </c>
      <c r="H66" s="113">
        <f>IF(LEFT(D66,4)*1&lt;LEFT('General inputs'!$I$16,4)*1,"",IF(LEFT(D66,4)*1&gt;LEFT('General inputs'!$I$16,4)+'General inputs'!$H$38-1,"",E66/(1+'General inputs'!$H$34)^C66))</f>
        <v>8109.9120035211581</v>
      </c>
      <c r="I66" s="91"/>
      <c r="J66" s="151"/>
      <c r="K66" s="151"/>
      <c r="L66" s="113" t="str">
        <f>IF(LEFT(D66,4)*1&gt;LEFT('General inputs'!$I$18,4)*1,"",SUMIF('Post-1996 commissioned assets'!$F$22:$F$2700,$D66,'Post-1996 commissioned assets'!$P$22:$P$2700)*(1+$K$34)*(1+$K$35))</f>
        <v/>
      </c>
      <c r="M66" s="113" t="str">
        <f>IF(L66="","",L66/(1+'General inputs'!$H$32)^C66)</f>
        <v/>
      </c>
      <c r="N66" s="113">
        <f>IF(LEFT(D66,4)*1&lt;LEFT('General inputs'!$I$18,4)*1+1,"",SUMIF('Uncommissioned assets'!$F$22:$F$1511,$D66,'Uncommissioned assets'!$P$22:$P$1511))</f>
        <v>74104770</v>
      </c>
      <c r="O66" s="113">
        <f>IF(N66="","",N66/(1+'General inputs'!$H$32)^C66)</f>
        <v>74104770</v>
      </c>
      <c r="P66" s="91"/>
      <c r="Q66" s="119">
        <f>'Reduction amount'!M38</f>
        <v>1836457.6761385358</v>
      </c>
      <c r="R66" s="113">
        <f>IF(OR(LEFT(D66,4)*1&lt;LEFT('General inputs'!$I$16,4)*1,LEFT(D66,4)*1&gt;LEFT('General inputs'!$I$16,4)+'General inputs'!$H$38-1),"",Q66/(1+'General inputs'!$H$34)^C66)</f>
        <v>1836457.6761385358</v>
      </c>
      <c r="S66" s="91"/>
      <c r="T66" s="119">
        <f>'Reduction amount'!H38</f>
        <v>754542.7733145738</v>
      </c>
      <c r="U66" s="113">
        <f>IF(OR(LEFT(D66,4)*1&lt;LEFT('General inputs'!$I$16,4)*1,LEFT(D66,4)*1&gt;LEFT('General inputs'!$I$16,4)+'General inputs'!$H$38-1),"",T66/(1+'General inputs'!$H$34)^C66)</f>
        <v>754542.7733145738</v>
      </c>
      <c r="V66" s="93"/>
      <c r="W66" s="92"/>
    </row>
    <row r="67" spans="2:23" x14ac:dyDescent="0.25">
      <c r="B67" s="66"/>
      <c r="C67" s="111">
        <f>IF(D67='General inputs'!$I$16,0,IF(D67&lt;'General inputs'!$I$16,C68-1,C66+1))</f>
        <v>1</v>
      </c>
      <c r="D67" s="111" t="str">
        <f t="shared" si="1"/>
        <v>2023-24</v>
      </c>
      <c r="E67" s="113">
        <f>IF(LEFT(D67,4)*1&gt;LEFT('General inputs'!$I$16,4)+'General inputs'!$H$38-1,"",'ET inputs'!D40)</f>
        <v>7017.0633982109703</v>
      </c>
      <c r="F67" s="113">
        <f>IF(LEFT(D67,4)*1&gt;LEFT('General inputs'!$I$16,4)+'General inputs'!$H$38-1,"",E67/(1+'General inputs'!$H$30)^C67)</f>
        <v>6812.6829108844368</v>
      </c>
      <c r="G67" s="113">
        <f>IF(LEFT(D67,4)*1&gt;LEFT('General inputs'!$I$16,4)+'General inputs'!$H$38-1,"",E67/(1+'General inputs'!$H$32)^C67)</f>
        <v>6734.2259099913335</v>
      </c>
      <c r="H67" s="113">
        <f>IF(LEFT(D67,4)*1&lt;LEFT('General inputs'!$I$16,4)*1,"",IF(LEFT(D67,4)*1&gt;LEFT('General inputs'!$I$16,4)+'General inputs'!$H$38-1,"",E67/(1+'General inputs'!$H$34)^C67))</f>
        <v>6734.2259099913335</v>
      </c>
      <c r="I67" s="91"/>
      <c r="J67" s="151"/>
      <c r="K67" s="151"/>
      <c r="L67" s="113" t="str">
        <f>IF(LEFT(D67,4)*1&gt;LEFT('General inputs'!$I$18,4)*1,"",SUMIF('Post-1996 commissioned assets'!$F$22:$F$2700,$D67,'Post-1996 commissioned assets'!$P$22:$P$2700)*(1+$K$34)*(1+$K$35))</f>
        <v/>
      </c>
      <c r="M67" s="113" t="str">
        <f>IF(L67="","",L67/(1+'General inputs'!$H$32)^C67)</f>
        <v/>
      </c>
      <c r="N67" s="113">
        <f>IF(LEFT(D67,4)*1&lt;LEFT('General inputs'!$I$18,4)*1+1,"",SUMIF('Uncommissioned assets'!$F$22:$F$1511,$D67,'Uncommissioned assets'!$P$22:$P$1511))</f>
        <v>0</v>
      </c>
      <c r="O67" s="113">
        <f>IF(N67="","",N67/(1+'General inputs'!$H$32)^C67)</f>
        <v>0</v>
      </c>
      <c r="P67" s="91"/>
      <c r="Q67" s="119">
        <f>'Reduction amount'!M39</f>
        <v>3371412.3379970351</v>
      </c>
      <c r="R67" s="113">
        <f>IF(OR(LEFT(D67,4)*1&lt;LEFT('General inputs'!$I$16,4)*1,LEFT(D67,4)*1&gt;LEFT('General inputs'!$I$16,4)+'General inputs'!$H$38-1),"",Q67/(1+'General inputs'!$H$34)^C67)</f>
        <v>3235520.4779242179</v>
      </c>
      <c r="S67" s="91"/>
      <c r="T67" s="119">
        <f>'Reduction amount'!H39</f>
        <v>1473617.1722426331</v>
      </c>
      <c r="U67" s="113">
        <f>IF(OR(LEFT(D67,4)*1&lt;LEFT('General inputs'!$I$16,4)*1,LEFT(D67,4)*1&gt;LEFT('General inputs'!$I$16,4)+'General inputs'!$H$38-1),"",T67/(1+'General inputs'!$H$34)^C67)</f>
        <v>1414219.9349737361</v>
      </c>
      <c r="V67" s="93"/>
      <c r="W67" s="92"/>
    </row>
    <row r="68" spans="2:23" x14ac:dyDescent="0.25">
      <c r="B68" s="66"/>
      <c r="C68" s="111">
        <f>IF(D68='General inputs'!$I$16,0,IF(D68&lt;'General inputs'!$I$16,C69-1,C67+1))</f>
        <v>2</v>
      </c>
      <c r="D68" s="111" t="str">
        <f t="shared" si="1"/>
        <v>2024-25</v>
      </c>
      <c r="E68" s="113">
        <f>IF(LEFT(D68,4)*1&gt;LEFT('General inputs'!$I$16,4)+'General inputs'!$H$38-1,"",'ET inputs'!D41)</f>
        <v>7924.406927606824</v>
      </c>
      <c r="F68" s="113">
        <f>IF(LEFT(D68,4)*1&gt;LEFT('General inputs'!$I$16,4)+'General inputs'!$H$38-1,"",E68/(1+'General inputs'!$H$30)^C68)</f>
        <v>7469.5135522733754</v>
      </c>
      <c r="G68" s="113">
        <f>IF(LEFT(D68,4)*1&gt;LEFT('General inputs'!$I$16,4)+'General inputs'!$H$38-1,"",E68/(1+'General inputs'!$H$32)^C68)</f>
        <v>7298.4616616565136</v>
      </c>
      <c r="H68" s="113">
        <f>IF(LEFT(D68,4)*1&lt;LEFT('General inputs'!$I$16,4)*1,"",IF(LEFT(D68,4)*1&gt;LEFT('General inputs'!$I$16,4)+'General inputs'!$H$38-1,"",E68/(1+'General inputs'!$H$34)^C68))</f>
        <v>7298.4616616565136</v>
      </c>
      <c r="I68" s="91"/>
      <c r="J68" s="151"/>
      <c r="K68" s="151"/>
      <c r="L68" s="113" t="str">
        <f>IF(LEFT(D68,4)*1&gt;LEFT('General inputs'!$I$18,4)*1,"",SUMIF('Post-1996 commissioned assets'!$F$22:$F$2700,$D68,'Post-1996 commissioned assets'!$P$22:$P$2700)*(1+$K$34)*(1+$K$35))</f>
        <v/>
      </c>
      <c r="M68" s="113" t="str">
        <f>IF(L68="","",L68/(1+'General inputs'!$H$32)^C68)</f>
        <v/>
      </c>
      <c r="N68" s="113">
        <f>IF(LEFT(D68,4)*1&lt;LEFT('General inputs'!$I$18,4)*1+1,"",SUMIF('Uncommissioned assets'!$F$22:$F$1511,$D68,'Uncommissioned assets'!$P$22:$P$1511))</f>
        <v>232044923.74618614</v>
      </c>
      <c r="O68" s="113">
        <f>IF(N68="","",N68/(1+'General inputs'!$H$32)^C68)</f>
        <v>213715801.7268818</v>
      </c>
      <c r="P68" s="91"/>
      <c r="Q68" s="119">
        <f>'Reduction amount'!M40</f>
        <v>5060637.5333984541</v>
      </c>
      <c r="R68" s="113">
        <f>IF(OR(LEFT(D68,4)*1&lt;LEFT('General inputs'!$I$16,4)*1,LEFT(D68,4)*1&gt;LEFT('General inputs'!$I$16,4)+'General inputs'!$H$38-1),"",Q68/(1+'General inputs'!$H$34)^C68)</f>
        <v>4660900.0974414824</v>
      </c>
      <c r="S68" s="91"/>
      <c r="T68" s="119">
        <f>'Reduction amount'!H40</f>
        <v>2345952.3063646667</v>
      </c>
      <c r="U68" s="113">
        <f>IF(OR(LEFT(D68,4)*1&lt;LEFT('General inputs'!$I$16,4)*1,LEFT(D68,4)*1&gt;LEFT('General inputs'!$I$16,4)+'General inputs'!$H$38-1),"",T68/(1+'General inputs'!$H$34)^C68)</f>
        <v>2160646.6104647662</v>
      </c>
      <c r="V68" s="93"/>
      <c r="W68" s="92"/>
    </row>
    <row r="69" spans="2:23" x14ac:dyDescent="0.25">
      <c r="B69" s="66"/>
      <c r="C69" s="111">
        <f>IF(D69='General inputs'!$I$16,0,IF(D69&lt;'General inputs'!$I$16,C70-1,C68+1))</f>
        <v>3</v>
      </c>
      <c r="D69" s="111" t="str">
        <f t="shared" si="1"/>
        <v>2025-26</v>
      </c>
      <c r="E69" s="113">
        <f>IF(LEFT(D69,4)*1&gt;LEFT('General inputs'!$I$16,4)+'General inputs'!$H$38-1,"",'ET inputs'!D42)</f>
        <v>8224.2598305205684</v>
      </c>
      <c r="F69" s="113">
        <f>IF(LEFT(D69,4)*1&gt;LEFT('General inputs'!$I$16,4)+'General inputs'!$H$38-1,"",E69/(1+'General inputs'!$H$30)^C69)</f>
        <v>7526.3627882541277</v>
      </c>
      <c r="G69" s="113">
        <f>IF(LEFT(D69,4)*1&gt;LEFT('General inputs'!$I$16,4)+'General inputs'!$H$38-1,"",E69/(1+'General inputs'!$H$32)^C69)</f>
        <v>7269.3179667946406</v>
      </c>
      <c r="H69" s="113">
        <f>IF(LEFT(D69,4)*1&lt;LEFT('General inputs'!$I$16,4)*1,"",IF(LEFT(D69,4)*1&gt;LEFT('General inputs'!$I$16,4)+'General inputs'!$H$38-1,"",E69/(1+'General inputs'!$H$34)^C69))</f>
        <v>7269.3179667946406</v>
      </c>
      <c r="I69" s="91"/>
      <c r="J69" s="151"/>
      <c r="K69" s="151"/>
      <c r="L69" s="113" t="str">
        <f>IF(LEFT(D69,4)*1&gt;LEFT('General inputs'!$I$18,4)*1,"",SUMIF('Post-1996 commissioned assets'!$F$22:$F$2700,$D69,'Post-1996 commissioned assets'!$P$22:$P$2700)*(1+$K$34)*(1+$K$35))</f>
        <v/>
      </c>
      <c r="M69" s="113" t="str">
        <f>IF(L69="","",L69/(1+'General inputs'!$H$32)^C69)</f>
        <v/>
      </c>
      <c r="N69" s="113">
        <f>IF(LEFT(D69,4)*1&lt;LEFT('General inputs'!$I$18,4)*1+1,"",SUMIF('Uncommissioned assets'!$F$22:$F$1511,$D69,'Uncommissioned assets'!$P$22:$P$1511))</f>
        <v>497874236</v>
      </c>
      <c r="O69" s="113">
        <f>IF(N69="","",N69/(1+'General inputs'!$H$32)^C69)</f>
        <v>440064662.78313965</v>
      </c>
      <c r="P69" s="91"/>
      <c r="Q69" s="119">
        <f>'Reduction amount'!M41</f>
        <v>6923727.4423287697</v>
      </c>
      <c r="R69" s="113">
        <f>IF(OR(LEFT(D69,4)*1&lt;LEFT('General inputs'!$I$16,4)*1,LEFT(D69,4)*1&gt;LEFT('General inputs'!$I$16,4)+'General inputs'!$H$38-1),"",Q69/(1+'General inputs'!$H$34)^C69)</f>
        <v>6119794.0399365835</v>
      </c>
      <c r="S69" s="91"/>
      <c r="T69" s="119">
        <f>'Reduction amount'!H41</f>
        <v>3321281.8178568715</v>
      </c>
      <c r="U69" s="113">
        <f>IF(OR(LEFT(D69,4)*1&lt;LEFT('General inputs'!$I$16,4)*1,LEFT(D69,4)*1&gt;LEFT('General inputs'!$I$16,4)+'General inputs'!$H$38-1),"",T69/(1+'General inputs'!$H$34)^C69)</f>
        <v>2935638.4755425607</v>
      </c>
      <c r="V69" s="93"/>
      <c r="W69" s="92"/>
    </row>
    <row r="70" spans="2:23" x14ac:dyDescent="0.25">
      <c r="B70" s="66"/>
      <c r="C70" s="111">
        <f>IF(D70='General inputs'!$I$16,0,IF(D70&lt;'General inputs'!$I$16,C71-1,C69+1))</f>
        <v>4</v>
      </c>
      <c r="D70" s="111" t="str">
        <f t="shared" si="1"/>
        <v>2026-27</v>
      </c>
      <c r="E70" s="113">
        <f>IF(LEFT(D70,4)*1&gt;LEFT('General inputs'!$I$16,4)+'General inputs'!$H$38-1,"",'ET inputs'!D43)</f>
        <v>8477.0310079973387</v>
      </c>
      <c r="F70" s="113">
        <f>IF(LEFT(D70,4)*1&gt;LEFT('General inputs'!$I$16,4)+'General inputs'!$H$38-1,"",E70/(1+'General inputs'!$H$30)^C70)</f>
        <v>7531.7322553853128</v>
      </c>
      <c r="G70" s="113">
        <f>IF(LEFT(D70,4)*1&gt;LEFT('General inputs'!$I$16,4)+'General inputs'!$H$38-1,"",E70/(1+'General inputs'!$H$32)^C70)</f>
        <v>7190.7285741547375</v>
      </c>
      <c r="H70" s="113">
        <f>IF(LEFT(D70,4)*1&lt;LEFT('General inputs'!$I$16,4)*1,"",IF(LEFT(D70,4)*1&gt;LEFT('General inputs'!$I$16,4)+'General inputs'!$H$38-1,"",E70/(1+'General inputs'!$H$34)^C70))</f>
        <v>7190.7285741547375</v>
      </c>
      <c r="I70" s="91"/>
      <c r="J70" s="151"/>
      <c r="K70" s="151"/>
      <c r="L70" s="113" t="str">
        <f>IF(LEFT(D70,4)*1&gt;LEFT('General inputs'!$I$18,4)*1,"",SUMIF('Post-1996 commissioned assets'!$F$22:$F$2700,$D70,'Post-1996 commissioned assets'!$P$22:$P$2700)*(1+$K$34)*(1+$K$35))</f>
        <v/>
      </c>
      <c r="M70" s="113" t="str">
        <f>IF(L70="","",L70/(1+'General inputs'!$H$32)^C70)</f>
        <v/>
      </c>
      <c r="N70" s="113">
        <f>IF(LEFT(D70,4)*1&lt;LEFT('General inputs'!$I$18,4)*1+1,"",SUMIF('Uncommissioned assets'!$F$22:$F$1511,$D70,'Uncommissioned assets'!$P$22:$P$1511))</f>
        <v>299900000</v>
      </c>
      <c r="O70" s="113">
        <f>IF(N70="","",N70/(1+'General inputs'!$H$32)^C70)</f>
        <v>254393253.64677051</v>
      </c>
      <c r="P70" s="91"/>
      <c r="Q70" s="119">
        <f>'Reduction amount'!M42</f>
        <v>8892803.388890665</v>
      </c>
      <c r="R70" s="113">
        <f>IF(OR(LEFT(D70,4)*1&lt;LEFT('General inputs'!$I$16,4)*1,LEFT(D70,4)*1&gt;LEFT('General inputs'!$I$16,4)+'General inputs'!$H$38-1),"",Q70/(1+'General inputs'!$H$34)^C70)</f>
        <v>7543411.7643912081</v>
      </c>
      <c r="S70" s="91"/>
      <c r="T70" s="119">
        <f>'Reduction amount'!H42</f>
        <v>4327250.6392013514</v>
      </c>
      <c r="U70" s="113">
        <f>IF(OR(LEFT(D70,4)*1&lt;LEFT('General inputs'!$I$16,4)*1,LEFT(D70,4)*1&gt;LEFT('General inputs'!$I$16,4)+'General inputs'!$H$38-1),"",T70/(1+'General inputs'!$H$34)^C70)</f>
        <v>3670634.7764304741</v>
      </c>
      <c r="V70" s="93"/>
      <c r="W70" s="92"/>
    </row>
    <row r="71" spans="2:23" x14ac:dyDescent="0.25">
      <c r="B71" s="66"/>
      <c r="C71" s="111">
        <f>IF(D71='General inputs'!$I$16,0,IF(D71&lt;'General inputs'!$I$16,C72-1,C70+1))</f>
        <v>5</v>
      </c>
      <c r="D71" s="111" t="str">
        <f t="shared" si="1"/>
        <v>2027-28</v>
      </c>
      <c r="E71" s="113">
        <f>IF(LEFT(D71,4)*1&gt;LEFT('General inputs'!$I$16,4)+'General inputs'!$H$38-1,"",'ET inputs'!D44)</f>
        <v>9575.6516198870195</v>
      </c>
      <c r="F71" s="113">
        <f>IF(LEFT(D71,4)*1&gt;LEFT('General inputs'!$I$16,4)+'General inputs'!$H$38-1,"",E71/(1+'General inputs'!$H$30)^C71)</f>
        <v>8260.0412035169938</v>
      </c>
      <c r="G71" s="113">
        <f>IF(LEFT(D71,4)*1&gt;LEFT('General inputs'!$I$16,4)+'General inputs'!$H$38-1,"",E71/(1+'General inputs'!$H$32)^C71)</f>
        <v>7795.2445164735891</v>
      </c>
      <c r="H71" s="113">
        <f>IF(LEFT(D71,4)*1&lt;LEFT('General inputs'!$I$16,4)*1,"",IF(LEFT(D71,4)*1&gt;LEFT('General inputs'!$I$16,4)+'General inputs'!$H$38-1,"",E71/(1+'General inputs'!$H$34)^C71))</f>
        <v>7795.2445164735891</v>
      </c>
      <c r="I71" s="91"/>
      <c r="J71" s="151"/>
      <c r="K71" s="151"/>
      <c r="L71" s="113" t="str">
        <f>IF(LEFT(D71,4)*1&gt;LEFT('General inputs'!$I$18,4)*1,"",SUMIF('Post-1996 commissioned assets'!$F$22:$F$2700,$D71,'Post-1996 commissioned assets'!$P$22:$P$2700)*(1+$K$34)*(1+$K$35))</f>
        <v/>
      </c>
      <c r="M71" s="113" t="str">
        <f>IF(L71="","",L71/(1+'General inputs'!$H$32)^C71)</f>
        <v/>
      </c>
      <c r="N71" s="113">
        <f>IF(LEFT(D71,4)*1&lt;LEFT('General inputs'!$I$18,4)*1+1,"",SUMIF('Uncommissioned assets'!$F$22:$F$1511,$D71,'Uncommissioned assets'!$P$22:$P$1511))</f>
        <v>0</v>
      </c>
      <c r="O71" s="113">
        <f>IF(N71="","",N71/(1+'General inputs'!$H$32)^C71)</f>
        <v>0</v>
      </c>
      <c r="P71" s="91"/>
      <c r="Q71" s="119">
        <f>'Reduction amount'!M43</f>
        <v>11164258.44173922</v>
      </c>
      <c r="R71" s="113">
        <f>IF(OR(LEFT(D71,4)*1&lt;LEFT('General inputs'!$I$16,4)*1,LEFT(D71,4)*1&gt;LEFT('General inputs'!$I$16,4)+'General inputs'!$H$38-1),"",Q71/(1+'General inputs'!$H$34)^C71)</f>
        <v>9088480.6437317375</v>
      </c>
      <c r="S71" s="91"/>
      <c r="T71" s="119">
        <f>'Reduction amount'!H43</f>
        <v>5445585.8226312445</v>
      </c>
      <c r="U71" s="113">
        <f>IF(OR(LEFT(D71,4)*1&lt;LEFT('General inputs'!$I$16,4)*1,LEFT(D71,4)*1&gt;LEFT('General inputs'!$I$16,4)+'General inputs'!$H$38-1),"",T71/(1+'General inputs'!$H$34)^C71)</f>
        <v>4433084.5260380702</v>
      </c>
      <c r="V71" s="93"/>
      <c r="W71" s="92"/>
    </row>
    <row r="72" spans="2:23" x14ac:dyDescent="0.25">
      <c r="B72" s="66"/>
      <c r="C72" s="111">
        <f>IF(D72='General inputs'!$I$16,0,IF(D72&lt;'General inputs'!$I$16,C73-1,C71+1))</f>
        <v>6</v>
      </c>
      <c r="D72" s="111" t="str">
        <f t="shared" si="1"/>
        <v>2028-29</v>
      </c>
      <c r="E72" s="113">
        <f>IF(LEFT(D72,4)*1&gt;LEFT('General inputs'!$I$16,4)+'General inputs'!$H$38-1,"",'ET inputs'!D45)</f>
        <v>9617.2180472237887</v>
      </c>
      <c r="F72" s="113">
        <f>IF(LEFT(D72,4)*1&gt;LEFT('General inputs'!$I$16,4)+'General inputs'!$H$38-1,"",E72/(1+'General inputs'!$H$30)^C72)</f>
        <v>8054.2687076438415</v>
      </c>
      <c r="G72" s="113">
        <f>IF(LEFT(D72,4)*1&gt;LEFT('General inputs'!$I$16,4)+'General inputs'!$H$38-1,"",E72/(1+'General inputs'!$H$32)^C72)</f>
        <v>7513.5148474781672</v>
      </c>
      <c r="H72" s="113">
        <f>IF(LEFT(D72,4)*1&lt;LEFT('General inputs'!$I$16,4)*1,"",IF(LEFT(D72,4)*1&gt;LEFT('General inputs'!$I$16,4)+'General inputs'!$H$38-1,"",E72/(1+'General inputs'!$H$34)^C72))</f>
        <v>7513.5148474781672</v>
      </c>
      <c r="I72" s="91"/>
      <c r="J72" s="151"/>
      <c r="K72" s="151"/>
      <c r="L72" s="113" t="str">
        <f>IF(LEFT(D72,4)*1&gt;LEFT('General inputs'!$I$18,4)*1,"",SUMIF('Post-1996 commissioned assets'!$F$22:$F$2700,$D72,'Post-1996 commissioned assets'!$P$22:$P$2700)*(1+$K$34)*(1+$K$35))</f>
        <v/>
      </c>
      <c r="M72" s="113" t="str">
        <f>IF(L72="","",L72/(1+'General inputs'!$H$32)^C72)</f>
        <v/>
      </c>
      <c r="N72" s="113">
        <f>IF(LEFT(D72,4)*1&lt;LEFT('General inputs'!$I$18,4)*1+1,"",SUMIF('Uncommissioned assets'!$F$22:$F$1511,$D72,'Uncommissioned assets'!$P$22:$P$1511))</f>
        <v>33100000</v>
      </c>
      <c r="O72" s="113">
        <f>IF(N72="","",N72/(1+'General inputs'!$H$32)^C72)</f>
        <v>25859592.683699112</v>
      </c>
      <c r="P72" s="91"/>
      <c r="Q72" s="119">
        <f>'Reduction amount'!M44</f>
        <v>13384142.274466192</v>
      </c>
      <c r="R72" s="113">
        <f>IF(OR(LEFT(D72,4)*1&lt;LEFT('General inputs'!$I$16,4)*1,LEFT(D72,4)*1&gt;LEFT('General inputs'!$I$16,4)+'General inputs'!$H$38-1),"",Q72/(1+'General inputs'!$H$34)^C72)</f>
        <v>10456449.173364772</v>
      </c>
      <c r="S72" s="91"/>
      <c r="T72" s="119">
        <f>'Reduction amount'!H44</f>
        <v>6595644.5727903983</v>
      </c>
      <c r="U72" s="113">
        <f>IF(OR(LEFT(D72,4)*1&lt;LEFT('General inputs'!$I$16,4)*1,LEFT(D72,4)*1&gt;LEFT('General inputs'!$I$16,4)+'General inputs'!$H$38-1),"",T72/(1+'General inputs'!$H$34)^C72)</f>
        <v>5152890.6990577141</v>
      </c>
      <c r="V72" s="93"/>
      <c r="W72" s="92"/>
    </row>
    <row r="73" spans="2:23" x14ac:dyDescent="0.25">
      <c r="B73" s="66"/>
      <c r="C73" s="111">
        <f>IF(D73='General inputs'!$I$16,0,IF(D73&lt;'General inputs'!$I$16,C74-1,C72+1))</f>
        <v>7</v>
      </c>
      <c r="D73" s="111" t="str">
        <f t="shared" si="1"/>
        <v>2029-30</v>
      </c>
      <c r="E73" s="113">
        <f>IF(LEFT(D73,4)*1&gt;LEFT('General inputs'!$I$16,4)+'General inputs'!$H$38-1,"",'ET inputs'!D46)</f>
        <v>9946.636188644432</v>
      </c>
      <c r="F73" s="113">
        <f>IF(LEFT(D73,4)*1&gt;LEFT('General inputs'!$I$16,4)+'General inputs'!$H$38-1,"",E73/(1+'General inputs'!$H$30)^C73)</f>
        <v>8087.5254514073968</v>
      </c>
      <c r="G73" s="113">
        <f>IF(LEFT(D73,4)*1&gt;LEFT('General inputs'!$I$16,4)+'General inputs'!$H$38-1,"",E73/(1+'General inputs'!$H$32)^C73)</f>
        <v>7457.6534903040974</v>
      </c>
      <c r="H73" s="113">
        <f>IF(LEFT(D73,4)*1&lt;LEFT('General inputs'!$I$16,4)*1,"",IF(LEFT(D73,4)*1&gt;LEFT('General inputs'!$I$16,4)+'General inputs'!$H$38-1,"",E73/(1+'General inputs'!$H$34)^C73))</f>
        <v>7457.6534903040974</v>
      </c>
      <c r="I73" s="91"/>
      <c r="J73" s="151"/>
      <c r="K73" s="151"/>
      <c r="L73" s="113" t="str">
        <f>IF(LEFT(D73,4)*1&gt;LEFT('General inputs'!$I$18,4)*1,"",SUMIF('Post-1996 commissioned assets'!$F$22:$F$2700,$D73,'Post-1996 commissioned assets'!$P$22:$P$2700)*(1+$K$34)*(1+$K$35))</f>
        <v/>
      </c>
      <c r="M73" s="113" t="str">
        <f>IF(L73="","",L73/(1+'General inputs'!$H$32)^C73)</f>
        <v/>
      </c>
      <c r="N73" s="113">
        <f>IF(LEFT(D73,4)*1&lt;LEFT('General inputs'!$I$18,4)*1+1,"",SUMIF('Uncommissioned assets'!$F$22:$F$1511,$D73,'Uncommissioned assets'!$P$22:$P$1511))</f>
        <v>0</v>
      </c>
      <c r="O73" s="113">
        <f>IF(N73="","",N73/(1+'General inputs'!$H$32)^C73)</f>
        <v>0</v>
      </c>
      <c r="P73" s="91"/>
      <c r="Q73" s="119">
        <f>'Reduction amount'!M45</f>
        <v>15534688.465205597</v>
      </c>
      <c r="R73" s="113">
        <f>IF(OR(LEFT(D73,4)*1&lt;LEFT('General inputs'!$I$16,4)*1,LEFT(D73,4)*1&gt;LEFT('General inputs'!$I$16,4)+'General inputs'!$H$38-1),"",Q73/(1+'General inputs'!$H$34)^C73)</f>
        <v>11647387.263001537</v>
      </c>
      <c r="S73" s="91"/>
      <c r="T73" s="119">
        <f>'Reduction amount'!H45</f>
        <v>7648682.8902804423</v>
      </c>
      <c r="U73" s="113">
        <f>IF(OR(LEFT(D73,4)*1&lt;LEFT('General inputs'!$I$16,4)*1,LEFT(D73,4)*1&gt;LEFT('General inputs'!$I$16,4)+'General inputs'!$H$38-1),"",T73/(1+'General inputs'!$H$34)^C73)</f>
        <v>5734725.3454439435</v>
      </c>
      <c r="V73" s="93"/>
      <c r="W73" s="92"/>
    </row>
    <row r="74" spans="2:23" x14ac:dyDescent="0.25">
      <c r="B74" s="66"/>
      <c r="C74" s="111">
        <f>IF(D74='General inputs'!$I$16,0,IF(D74&lt;'General inputs'!$I$16,C75-1,C73+1))</f>
        <v>8</v>
      </c>
      <c r="D74" s="111" t="str">
        <f t="shared" si="1"/>
        <v>2030-31</v>
      </c>
      <c r="E74" s="113">
        <f>IF(LEFT(D74,4)*1&gt;LEFT('General inputs'!$I$16,4)+'General inputs'!$H$38-1,"",'ET inputs'!D47)</f>
        <v>9735.0031548446022</v>
      </c>
      <c r="F74" s="113">
        <f>IF(LEFT(D74,4)*1&gt;LEFT('General inputs'!$I$16,4)+'General inputs'!$H$38-1,"",E74/(1+'General inputs'!$H$30)^C74)</f>
        <v>7684.9013865096267</v>
      </c>
      <c r="G74" s="113">
        <f>IF(LEFT(D74,4)*1&gt;LEFT('General inputs'!$I$16,4)+'General inputs'!$H$38-1,"",E74/(1+'General inputs'!$H$32)^C74)</f>
        <v>7004.7774999228195</v>
      </c>
      <c r="H74" s="113">
        <f>IF(LEFT(D74,4)*1&lt;LEFT('General inputs'!$I$16,4)*1,"",IF(LEFT(D74,4)*1&gt;LEFT('General inputs'!$I$16,4)+'General inputs'!$H$38-1,"",E74/(1+'General inputs'!$H$34)^C74))</f>
        <v>7004.7774999228195</v>
      </c>
      <c r="I74" s="91"/>
      <c r="J74" s="151"/>
      <c r="K74" s="151"/>
      <c r="L74" s="113" t="str">
        <f>IF(LEFT(D74,4)*1&gt;LEFT('General inputs'!$I$18,4)*1,"",SUMIF('Post-1996 commissioned assets'!$F$22:$F$2700,$D74,'Post-1996 commissioned assets'!$P$22:$P$2700)*(1+$K$34)*(1+$K$35))</f>
        <v/>
      </c>
      <c r="M74" s="113" t="str">
        <f>IF(L74="","",L74/(1+'General inputs'!$H$32)^C74)</f>
        <v/>
      </c>
      <c r="N74" s="113">
        <f>IF(LEFT(D74,4)*1&lt;LEFT('General inputs'!$I$18,4)*1+1,"",SUMIF('Uncommissioned assets'!$F$22:$F$1511,$D74,'Uncommissioned assets'!$P$22:$P$1511))</f>
        <v>180160000</v>
      </c>
      <c r="O74" s="113">
        <f>IF(N74="","",N74/(1+'General inputs'!$H$32)^C74)</f>
        <v>129633313.34495494</v>
      </c>
      <c r="P74" s="91"/>
      <c r="Q74" s="119">
        <f>'Reduction amount'!M46</f>
        <v>17841015.963079523</v>
      </c>
      <c r="R74" s="113">
        <f>IF(OR(LEFT(D74,4)*1&lt;LEFT('General inputs'!$I$16,4)*1,LEFT(D74,4)*1&gt;LEFT('General inputs'!$I$16,4)+'General inputs'!$H$38-1),"",Q74/(1+'General inputs'!$H$34)^C74)</f>
        <v>12837422.361979522</v>
      </c>
      <c r="S74" s="91"/>
      <c r="T74" s="119">
        <f>'Reduction amount'!H46</f>
        <v>8785229.2372027002</v>
      </c>
      <c r="U74" s="113">
        <f>IF(OR(LEFT(D74,4)*1&lt;LEFT('General inputs'!$I$16,4)*1,LEFT(D74,4)*1&gt;LEFT('General inputs'!$I$16,4)+'General inputs'!$H$38-1),"",T74/(1+'General inputs'!$H$34)^C74)</f>
        <v>6321371.972211129</v>
      </c>
      <c r="V74" s="93"/>
      <c r="W74" s="92"/>
    </row>
    <row r="75" spans="2:23" x14ac:dyDescent="0.25">
      <c r="B75" s="66"/>
      <c r="C75" s="111">
        <f>IF(D75='General inputs'!$I$16,0,IF(D75&lt;'General inputs'!$I$16,C76-1,C74+1))</f>
        <v>9</v>
      </c>
      <c r="D75" s="111" t="str">
        <f t="shared" si="1"/>
        <v>2031-32</v>
      </c>
      <c r="E75" s="113">
        <f>IF(LEFT(D75,4)*1&gt;LEFT('General inputs'!$I$16,4)+'General inputs'!$H$38-1,"",'ET inputs'!D48)</f>
        <v>6884.4190062036096</v>
      </c>
      <c r="F75" s="113">
        <f>IF(LEFT(D75,4)*1&gt;LEFT('General inputs'!$I$16,4)+'General inputs'!$H$38-1,"",E75/(1+'General inputs'!$H$30)^C75)</f>
        <v>5276.3339188189302</v>
      </c>
      <c r="G75" s="113">
        <f>IF(LEFT(D75,4)*1&gt;LEFT('General inputs'!$I$16,4)+'General inputs'!$H$38-1,"",E75/(1+'General inputs'!$H$32)^C75)</f>
        <v>4753.9851877727142</v>
      </c>
      <c r="H75" s="113">
        <f>IF(LEFT(D75,4)*1&lt;LEFT('General inputs'!$I$16,4)*1,"",IF(LEFT(D75,4)*1&gt;LEFT('General inputs'!$I$16,4)+'General inputs'!$H$38-1,"",E75/(1+'General inputs'!$H$34)^C75))</f>
        <v>4753.9851877727142</v>
      </c>
      <c r="I75" s="91"/>
      <c r="J75" s="151"/>
      <c r="K75" s="151"/>
      <c r="L75" s="113" t="str">
        <f>IF(LEFT(D75,4)*1&gt;LEFT('General inputs'!$I$18,4)*1,"",SUMIF('Post-1996 commissioned assets'!$F$22:$F$2700,$D75,'Post-1996 commissioned assets'!$P$22:$P$2700)*(1+$K$34)*(1+$K$35))</f>
        <v/>
      </c>
      <c r="M75" s="113" t="str">
        <f>IF(L75="","",L75/(1+'General inputs'!$H$32)^C75)</f>
        <v/>
      </c>
      <c r="N75" s="113">
        <f>IF(LEFT(D75,4)*1&lt;LEFT('General inputs'!$I$18,4)*1+1,"",SUMIF('Uncommissioned assets'!$F$22:$F$1511,$D75,'Uncommissioned assets'!$P$22:$P$1511))</f>
        <v>0</v>
      </c>
      <c r="O75" s="113">
        <f>IF(N75="","",N75/(1+'General inputs'!$H$32)^C75)</f>
        <v>0</v>
      </c>
      <c r="P75" s="91"/>
      <c r="Q75" s="119">
        <f>'Reduction amount'!M47</f>
        <v>19363300.277358435</v>
      </c>
      <c r="R75" s="113">
        <f>IF(OR(LEFT(D75,4)*1&lt;LEFT('General inputs'!$I$16,4)*1,LEFT(D75,4)*1&gt;LEFT('General inputs'!$I$16,4)+'General inputs'!$H$38-1),"",Q75/(1+'General inputs'!$H$34)^C75)</f>
        <v>13371185.371199468</v>
      </c>
      <c r="S75" s="91"/>
      <c r="T75" s="119">
        <f>'Reduction amount'!H47</f>
        <v>9510114.484380303</v>
      </c>
      <c r="U75" s="113">
        <f>IF(OR(LEFT(D75,4)*1&lt;LEFT('General inputs'!$I$16,4)*1,LEFT(D75,4)*1&gt;LEFT('General inputs'!$I$16,4)+'General inputs'!$H$38-1),"",T75/(1+'General inputs'!$H$34)^C75)</f>
        <v>6567139.9942430481</v>
      </c>
      <c r="V75" s="93"/>
      <c r="W75" s="92"/>
    </row>
    <row r="76" spans="2:23" x14ac:dyDescent="0.25">
      <c r="B76" s="66"/>
      <c r="C76" s="111">
        <f>IF(D76='General inputs'!$I$16,0,IF(D76&lt;'General inputs'!$I$16,C77-1,C75+1))</f>
        <v>10</v>
      </c>
      <c r="D76" s="111" t="str">
        <f t="shared" si="1"/>
        <v>2032-33</v>
      </c>
      <c r="E76" s="113">
        <f>IF(LEFT(D76,4)*1&gt;LEFT('General inputs'!$I$16,4)+'General inputs'!$H$38-1,"",'ET inputs'!D49)</f>
        <v>6520.0210636503543</v>
      </c>
      <c r="F76" s="113">
        <f>IF(LEFT(D76,4)*1&gt;LEFT('General inputs'!$I$16,4)+'General inputs'!$H$38-1,"",E76/(1+'General inputs'!$H$30)^C76)</f>
        <v>4851.5079984607028</v>
      </c>
      <c r="G76" s="113">
        <f>IF(LEFT(D76,4)*1&gt;LEFT('General inputs'!$I$16,4)+'General inputs'!$H$38-1,"",E76/(1+'General inputs'!$H$32)^C76)</f>
        <v>4320.8760594796613</v>
      </c>
      <c r="H76" s="113">
        <f>IF(LEFT(D76,4)*1&lt;LEFT('General inputs'!$I$16,4)*1,"",IF(LEFT(D76,4)*1&gt;LEFT('General inputs'!$I$16,4)+'General inputs'!$H$38-1,"",E76/(1+'General inputs'!$H$34)^C76))</f>
        <v>4320.8760594796613</v>
      </c>
      <c r="I76" s="91"/>
      <c r="J76" s="151"/>
      <c r="K76" s="151"/>
      <c r="L76" s="113" t="str">
        <f>IF(LEFT(D76,4)*1&gt;LEFT('General inputs'!$I$18,4)*1,"",SUMIF('Post-1996 commissioned assets'!$F$22:$F$2700,$D76,'Post-1996 commissioned assets'!$P$22:$P$2700)*(1+$K$34)*(1+$K$35))</f>
        <v/>
      </c>
      <c r="M76" s="113" t="str">
        <f>IF(L76="","",L76/(1+'General inputs'!$H$32)^C76)</f>
        <v/>
      </c>
      <c r="N76" s="113">
        <f>IF(LEFT(D76,4)*1&lt;LEFT('General inputs'!$I$18,4)*1+1,"",SUMIF('Uncommissioned assets'!$F$22:$F$1511,$D76,'Uncommissioned assets'!$P$22:$P$1511))</f>
        <v>0</v>
      </c>
      <c r="O76" s="113">
        <f>IF(N76="","",N76/(1+'General inputs'!$H$32)^C76)</f>
        <v>0</v>
      </c>
      <c r="P76" s="91"/>
      <c r="Q76" s="119">
        <f>'Reduction amount'!M48</f>
        <v>20801875.430074226</v>
      </c>
      <c r="R76" s="113">
        <f>IF(OR(LEFT(D76,4)*1&lt;LEFT('General inputs'!$I$16,4)*1,LEFT(D76,4)*1&gt;LEFT('General inputs'!$I$16,4)+'General inputs'!$H$38-1),"",Q76/(1+'General inputs'!$H$34)^C76)</f>
        <v>13785588.21522635</v>
      </c>
      <c r="S76" s="91"/>
      <c r="T76" s="119">
        <f>'Reduction amount'!H48</f>
        <v>10183277.338545024</v>
      </c>
      <c r="U76" s="113">
        <f>IF(OR(LEFT(D76,4)*1&lt;LEFT('General inputs'!$I$16,4)*1,LEFT(D76,4)*1&gt;LEFT('General inputs'!$I$16,4)+'General inputs'!$H$38-1),"",T76/(1+'General inputs'!$H$34)^C76)</f>
        <v>6748548.6365171894</v>
      </c>
      <c r="V76" s="93"/>
      <c r="W76" s="92"/>
    </row>
    <row r="77" spans="2:23" x14ac:dyDescent="0.25">
      <c r="B77" s="66"/>
      <c r="C77" s="111">
        <f>IF(D77='General inputs'!$I$16,0,IF(D77&lt;'General inputs'!$I$16,C78-1,C76+1))</f>
        <v>11</v>
      </c>
      <c r="D77" s="111" t="str">
        <f t="shared" si="1"/>
        <v>2033-34</v>
      </c>
      <c r="E77" s="113">
        <f>IF(LEFT(D77,4)*1&gt;LEFT('General inputs'!$I$16,4)+'General inputs'!$H$38-1,"",'ET inputs'!D50)</f>
        <v>7021.4776291737071</v>
      </c>
      <c r="F77" s="113">
        <f>IF(LEFT(D77,4)*1&gt;LEFT('General inputs'!$I$16,4)+'General inputs'!$H$38-1,"",E77/(1+'General inputs'!$H$30)^C77)</f>
        <v>5072.4648324773207</v>
      </c>
      <c r="G77" s="113">
        <f>IF(LEFT(D77,4)*1&gt;LEFT('General inputs'!$I$16,4)+'General inputs'!$H$38-1,"",E77/(1+'General inputs'!$H$32)^C77)</f>
        <v>4465.6389577587115</v>
      </c>
      <c r="H77" s="113">
        <f>IF(LEFT(D77,4)*1&lt;LEFT('General inputs'!$I$16,4)*1,"",IF(LEFT(D77,4)*1&gt;LEFT('General inputs'!$I$16,4)+'General inputs'!$H$38-1,"",E77/(1+'General inputs'!$H$34)^C77))</f>
        <v>4465.6389577587115</v>
      </c>
      <c r="I77" s="91"/>
      <c r="J77" s="151"/>
      <c r="K77" s="151"/>
      <c r="L77" s="113" t="str">
        <f>IF(LEFT(D77,4)*1&gt;LEFT('General inputs'!$I$18,4)*1,"",SUMIF('Post-1996 commissioned assets'!$F$22:$F$2700,$D77,'Post-1996 commissioned assets'!$P$22:$P$2700)*(1+$K$34)*(1+$K$35))</f>
        <v/>
      </c>
      <c r="M77" s="113" t="str">
        <f>IF(L77="","",L77/(1+'General inputs'!$H$32)^C77)</f>
        <v/>
      </c>
      <c r="N77" s="113">
        <f>IF(LEFT(D77,4)*1&lt;LEFT('General inputs'!$I$18,4)*1+1,"",SUMIF('Uncommissioned assets'!$F$22:$F$1511,$D77,'Uncommissioned assets'!$P$22:$P$1511))</f>
        <v>0</v>
      </c>
      <c r="O77" s="113">
        <f>IF(N77="","",N77/(1+'General inputs'!$H$32)^C77)</f>
        <v>0</v>
      </c>
      <c r="P77" s="91"/>
      <c r="Q77" s="119">
        <f>'Reduction amount'!M49</f>
        <v>22343981.758336488</v>
      </c>
      <c r="R77" s="113">
        <f>IF(OR(LEFT(D77,4)*1&lt;LEFT('General inputs'!$I$16,4)*1,LEFT(D77,4)*1&gt;LEFT('General inputs'!$I$16,4)+'General inputs'!$H$38-1),"",Q77/(1+'General inputs'!$H$34)^C77)</f>
        <v>14210706.162033251</v>
      </c>
      <c r="S77" s="91"/>
      <c r="T77" s="119">
        <f>'Reduction amount'!H49</f>
        <v>10837160.60372781</v>
      </c>
      <c r="U77" s="113">
        <f>IF(OR(LEFT(D77,4)*1&lt;LEFT('General inputs'!$I$16,4)*1,LEFT(D77,4)*1&gt;LEFT('General inputs'!$I$16,4)+'General inputs'!$H$38-1),"",T77/(1+'General inputs'!$H$34)^C77)</f>
        <v>6892402.0184039194</v>
      </c>
      <c r="V77" s="93"/>
      <c r="W77" s="92"/>
    </row>
    <row r="78" spans="2:23" x14ac:dyDescent="0.25">
      <c r="B78" s="66"/>
      <c r="C78" s="111">
        <f>IF(D78='General inputs'!$I$16,0,IF(D78&lt;'General inputs'!$I$16,C79-1,C77+1))</f>
        <v>12</v>
      </c>
      <c r="D78" s="111" t="str">
        <f t="shared" si="1"/>
        <v>2034-35</v>
      </c>
      <c r="E78" s="113">
        <f>IF(LEFT(D78,4)*1&gt;LEFT('General inputs'!$I$16,4)+'General inputs'!$H$38-1,"",'ET inputs'!D51)</f>
        <v>6670.3312174987495</v>
      </c>
      <c r="F78" s="113">
        <f>IF(LEFT(D78,4)*1&gt;LEFT('General inputs'!$I$16,4)+'General inputs'!$H$38-1,"",E78/(1+'General inputs'!$H$30)^C78)</f>
        <v>4678.4361101767217</v>
      </c>
      <c r="G78" s="113">
        <f>IF(LEFT(D78,4)*1&gt;LEFT('General inputs'!$I$16,4)+'General inputs'!$H$38-1,"",E78/(1+'General inputs'!$H$32)^C78)</f>
        <v>4071.3156246336221</v>
      </c>
      <c r="H78" s="113">
        <f>IF(LEFT(D78,4)*1&lt;LEFT('General inputs'!$I$16,4)*1,"",IF(LEFT(D78,4)*1&gt;LEFT('General inputs'!$I$16,4)+'General inputs'!$H$38-1,"",E78/(1+'General inputs'!$H$34)^C78))</f>
        <v>4071.3156246336221</v>
      </c>
      <c r="I78" s="91"/>
      <c r="J78" s="151"/>
      <c r="K78" s="151"/>
      <c r="L78" s="113" t="str">
        <f>IF(LEFT(D78,4)*1&gt;LEFT('General inputs'!$I$18,4)*1,"",SUMIF('Post-1996 commissioned assets'!$F$22:$F$2700,$D78,'Post-1996 commissioned assets'!$P$22:$P$2700)*(1+$K$34)*(1+$K$35))</f>
        <v/>
      </c>
      <c r="M78" s="113" t="str">
        <f>IF(L78="","",L78/(1+'General inputs'!$H$32)^C78)</f>
        <v/>
      </c>
      <c r="N78" s="113">
        <f>IF(LEFT(D78,4)*1&lt;LEFT('General inputs'!$I$18,4)*1+1,"",SUMIF('Uncommissioned assets'!$F$22:$F$1511,$D78,'Uncommissioned assets'!$P$22:$P$1511))</f>
        <v>0</v>
      </c>
      <c r="O78" s="113">
        <f>IF(N78="","",N78/(1+'General inputs'!$H$32)^C78)</f>
        <v>0</v>
      </c>
      <c r="P78" s="91"/>
      <c r="Q78" s="119">
        <f>'Reduction amount'!M50</f>
        <v>23822322.944295932</v>
      </c>
      <c r="R78" s="113">
        <f>IF(OR(LEFT(D78,4)*1&lt;LEFT('General inputs'!$I$16,4)*1,LEFT(D78,4)*1&gt;LEFT('General inputs'!$I$16,4)+'General inputs'!$H$38-1),"",Q78/(1+'General inputs'!$H$34)^C78)</f>
        <v>14540236.827182448</v>
      </c>
      <c r="S78" s="91"/>
      <c r="T78" s="119">
        <f>'Reduction amount'!H50</f>
        <v>11450326.991740035</v>
      </c>
      <c r="U78" s="113">
        <f>IF(OR(LEFT(D78,4)*1&lt;LEFT('General inputs'!$I$16,4)*1,LEFT(D78,4)*1&gt;LEFT('General inputs'!$I$16,4)+'General inputs'!$H$38-1),"",T78/(1+'General inputs'!$H$34)^C78)</f>
        <v>6988842.6329324236</v>
      </c>
      <c r="V78" s="93"/>
      <c r="W78" s="92"/>
    </row>
    <row r="79" spans="2:23" x14ac:dyDescent="0.25">
      <c r="B79" s="66"/>
      <c r="C79" s="111">
        <f>IF(D79='General inputs'!$I$16,0,IF(D79&lt;'General inputs'!$I$16,C80-1,C78+1))</f>
        <v>13</v>
      </c>
      <c r="D79" s="111" t="str">
        <f t="shared" si="1"/>
        <v>2035-36</v>
      </c>
      <c r="E79" s="113">
        <f>IF(LEFT(D79,4)*1&gt;LEFT('General inputs'!$I$16,4)+'General inputs'!$H$38-1,"",'ET inputs'!D52)</f>
        <v>7183.2375714555837</v>
      </c>
      <c r="F79" s="113">
        <f>IF(LEFT(D79,4)*1&gt;LEFT('General inputs'!$I$16,4)+'General inputs'!$H$38-1,"",E79/(1+'General inputs'!$H$30)^C79)</f>
        <v>4891.4352497720211</v>
      </c>
      <c r="G79" s="113">
        <f>IF(LEFT(D79,4)*1&gt;LEFT('General inputs'!$I$16,4)+'General inputs'!$H$38-1,"",E79/(1+'General inputs'!$H$32)^C79)</f>
        <v>4207.6526773133774</v>
      </c>
      <c r="H79" s="113">
        <f>IF(LEFT(D79,4)*1&lt;LEFT('General inputs'!$I$16,4)*1,"",IF(LEFT(D79,4)*1&gt;LEFT('General inputs'!$I$16,4)+'General inputs'!$H$38-1,"",E79/(1+'General inputs'!$H$34)^C79))</f>
        <v>4207.6526773133774</v>
      </c>
      <c r="I79" s="91"/>
      <c r="J79" s="151"/>
      <c r="K79" s="151"/>
      <c r="L79" s="113" t="str">
        <f>IF(LEFT(D79,4)*1&gt;LEFT('General inputs'!$I$18,4)*1,"",SUMIF('Post-1996 commissioned assets'!$F$22:$F$2700,$D79,'Post-1996 commissioned assets'!$P$22:$P$2700)*(1+$K$34)*(1+$K$35))</f>
        <v/>
      </c>
      <c r="M79" s="113" t="str">
        <f>IF(L79="","",L79/(1+'General inputs'!$H$32)^C79)</f>
        <v/>
      </c>
      <c r="N79" s="113">
        <f>IF(LEFT(D79,4)*1&lt;LEFT('General inputs'!$I$18,4)*1+1,"",SUMIF('Uncommissioned assets'!$F$22:$F$1511,$D79,'Uncommissioned assets'!$P$22:$P$1511))</f>
        <v>0</v>
      </c>
      <c r="O79" s="113">
        <f>IF(N79="","",N79/(1+'General inputs'!$H$32)^C79)</f>
        <v>0</v>
      </c>
      <c r="P79" s="91"/>
      <c r="Q79" s="119">
        <f>'Reduction amount'!M51</f>
        <v>25397718.070583932</v>
      </c>
      <c r="R79" s="113">
        <f>IF(OR(LEFT(D79,4)*1&lt;LEFT('General inputs'!$I$16,4)*1,LEFT(D79,4)*1&gt;LEFT('General inputs'!$I$16,4)+'General inputs'!$H$38-1),"",Q79/(1+'General inputs'!$H$34)^C79)</f>
        <v>14876965.348048227</v>
      </c>
      <c r="S79" s="91"/>
      <c r="T79" s="119">
        <f>'Reduction amount'!H51</f>
        <v>12090690.113577466</v>
      </c>
      <c r="U79" s="113">
        <f>IF(OR(LEFT(D79,4)*1&lt;LEFT('General inputs'!$I$16,4)*1,LEFT(D79,4)*1&gt;LEFT('General inputs'!$I$16,4)+'General inputs'!$H$38-1),"",T79/(1+'General inputs'!$H$34)^C79)</f>
        <v>7082241.694068294</v>
      </c>
      <c r="V79" s="93"/>
      <c r="W79" s="92"/>
    </row>
    <row r="80" spans="2:23" x14ac:dyDescent="0.25">
      <c r="B80" s="66"/>
      <c r="C80" s="111">
        <f>IF(D80='General inputs'!$I$16,0,IF(D80&lt;'General inputs'!$I$16,C81-1,C79+1))</f>
        <v>14</v>
      </c>
      <c r="D80" s="111" t="str">
        <f t="shared" si="1"/>
        <v>2036-37</v>
      </c>
      <c r="E80" s="113">
        <f>IF(LEFT(D80,4)*1&gt;LEFT('General inputs'!$I$16,4)+'General inputs'!$H$38-1,"",'ET inputs'!D53)</f>
        <v>6365.9388491294494</v>
      </c>
      <c r="F80" s="113">
        <f>IF(LEFT(D80,4)*1&gt;LEFT('General inputs'!$I$16,4)+'General inputs'!$H$38-1,"",E80/(1+'General inputs'!$H$30)^C80)</f>
        <v>4208.6355239119675</v>
      </c>
      <c r="G80" s="113">
        <f>IF(LEFT(D80,4)*1&gt;LEFT('General inputs'!$I$16,4)+'General inputs'!$H$38-1,"",E80/(1+'General inputs'!$H$32)^C80)</f>
        <v>3578.6102127916629</v>
      </c>
      <c r="H80" s="113">
        <f>IF(LEFT(D80,4)*1&lt;LEFT('General inputs'!$I$16,4)*1,"",IF(LEFT(D80,4)*1&gt;LEFT('General inputs'!$I$16,4)+'General inputs'!$H$38-1,"",E80/(1+'General inputs'!$H$34)^C80))</f>
        <v>3578.6102127916629</v>
      </c>
      <c r="I80" s="91"/>
      <c r="J80" s="151"/>
      <c r="K80" s="151"/>
      <c r="L80" s="113" t="str">
        <f>IF(LEFT(D80,4)*1&gt;LEFT('General inputs'!$I$18,4)*1,"",SUMIF('Post-1996 commissioned assets'!$F$22:$F$2700,$D80,'Post-1996 commissioned assets'!$P$22:$P$2700)*(1+$K$34)*(1+$K$35))</f>
        <v/>
      </c>
      <c r="M80" s="113" t="str">
        <f>IF(L80="","",L80/(1+'General inputs'!$H$32)^C80)</f>
        <v/>
      </c>
      <c r="N80" s="113">
        <f>IF(LEFT(D80,4)*1&lt;LEFT('General inputs'!$I$18,4)*1+1,"",SUMIF('Uncommissioned assets'!$F$22:$F$1511,$D80,'Uncommissioned assets'!$P$22:$P$1511))</f>
        <v>0</v>
      </c>
      <c r="O80" s="113">
        <f>IF(N80="","",N80/(1+'General inputs'!$H$32)^C80)</f>
        <v>0</v>
      </c>
      <c r="P80" s="91"/>
      <c r="Q80" s="119">
        <f>'Reduction amount'!M52</f>
        <v>26815566.541669641</v>
      </c>
      <c r="R80" s="113">
        <f>IF(OR(LEFT(D80,4)*1&lt;LEFT('General inputs'!$I$16,4)*1,LEFT(D80,4)*1&gt;LEFT('General inputs'!$I$16,4)+'General inputs'!$H$38-1),"",Q80/(1+'General inputs'!$H$34)^C80)</f>
        <v>15074360.995619113</v>
      </c>
      <c r="S80" s="91"/>
      <c r="T80" s="119">
        <f>'Reduction amount'!H52</f>
        <v>12655796.807004863</v>
      </c>
      <c r="U80" s="113">
        <f>IF(OR(LEFT(D80,4)*1&lt;LEFT('General inputs'!$I$16,4)*1,LEFT(D80,4)*1&gt;LEFT('General inputs'!$I$16,4)+'General inputs'!$H$38-1),"",T80/(1+'General inputs'!$H$34)^C80)</f>
        <v>7114451.5801871419</v>
      </c>
      <c r="V80" s="93"/>
      <c r="W80" s="92"/>
    </row>
    <row r="81" spans="2:23" x14ac:dyDescent="0.25">
      <c r="B81" s="66"/>
      <c r="C81" s="111">
        <f>IF(D81='General inputs'!$I$16,0,IF(D81&lt;'General inputs'!$I$16,C82-1,C80+1))</f>
        <v>15</v>
      </c>
      <c r="D81" s="111" t="str">
        <f t="shared" si="1"/>
        <v>2037-38</v>
      </c>
      <c r="E81" s="113">
        <f>IF(LEFT(D81,4)*1&gt;LEFT('General inputs'!$I$16,4)+'General inputs'!$H$38-1,"",'ET inputs'!D54)</f>
        <v>7684.4335394190193</v>
      </c>
      <c r="F81" s="113">
        <f>IF(LEFT(D81,4)*1&gt;LEFT('General inputs'!$I$16,4)+'General inputs'!$H$38-1,"",E81/(1+'General inputs'!$H$30)^C81)</f>
        <v>4932.3454762521433</v>
      </c>
      <c r="G81" s="113">
        <f>IF(LEFT(D81,4)*1&gt;LEFT('General inputs'!$I$16,4)+'General inputs'!$H$38-1,"",E81/(1+'General inputs'!$H$32)^C81)</f>
        <v>4145.6828447594226</v>
      </c>
      <c r="H81" s="113">
        <f>IF(LEFT(D81,4)*1&lt;LEFT('General inputs'!$I$16,4)*1,"",IF(LEFT(D81,4)*1&gt;LEFT('General inputs'!$I$16,4)+'General inputs'!$H$38-1,"",E81/(1+'General inputs'!$H$34)^C81))</f>
        <v>4145.6828447594226</v>
      </c>
      <c r="I81" s="91"/>
      <c r="J81" s="151"/>
      <c r="K81" s="151"/>
      <c r="L81" s="113" t="str">
        <f>IF(LEFT(D81,4)*1&gt;LEFT('General inputs'!$I$18,4)*1,"",SUMIF('Post-1996 commissioned assets'!$F$22:$F$2700,$D81,'Post-1996 commissioned assets'!$P$22:$P$2700)*(1+$K$34)*(1+$K$35))</f>
        <v/>
      </c>
      <c r="M81" s="113" t="str">
        <f>IF(L81="","",L81/(1+'General inputs'!$H$32)^C81)</f>
        <v/>
      </c>
      <c r="N81" s="113">
        <f>IF(LEFT(D81,4)*1&lt;LEFT('General inputs'!$I$18,4)*1+1,"",SUMIF('Uncommissioned assets'!$F$22:$F$1511,$D81,'Uncommissioned assets'!$P$22:$P$1511))</f>
        <v>0</v>
      </c>
      <c r="O81" s="113">
        <f>IF(N81="","",N81/(1+'General inputs'!$H$32)^C81)</f>
        <v>0</v>
      </c>
      <c r="P81" s="91"/>
      <c r="Q81" s="119">
        <f>'Reduction amount'!M53</f>
        <v>28552446.036712904</v>
      </c>
      <c r="R81" s="113">
        <f>IF(OR(LEFT(D81,4)*1&lt;LEFT('General inputs'!$I$16,4)*1,LEFT(D81,4)*1&gt;LEFT('General inputs'!$I$16,4)+'General inputs'!$H$38-1),"",Q81/(1+'General inputs'!$H$34)^C81)</f>
        <v>15403788.074048351</v>
      </c>
      <c r="S81" s="91"/>
      <c r="T81" s="119">
        <f>'Reduction amount'!H53</f>
        <v>13335475.882750988</v>
      </c>
      <c r="U81" s="113">
        <f>IF(OR(LEFT(D81,4)*1&lt;LEFT('General inputs'!$I$16,4)*1,LEFT(D81,4)*1&gt;LEFT('General inputs'!$I$16,4)+'General inputs'!$H$38-1),"",T81/(1+'General inputs'!$H$34)^C81)</f>
        <v>7194369.4106050627</v>
      </c>
      <c r="V81" s="93"/>
      <c r="W81" s="92"/>
    </row>
    <row r="82" spans="2:23" x14ac:dyDescent="0.25">
      <c r="B82" s="66"/>
      <c r="C82" s="111">
        <f>IF(D82='General inputs'!$I$16,0,IF(D82&lt;'General inputs'!$I$16,C83-1,C81+1))</f>
        <v>16</v>
      </c>
      <c r="D82" s="111" t="str">
        <f t="shared" si="1"/>
        <v>2038-39</v>
      </c>
      <c r="E82" s="113">
        <f>IF(LEFT(D82,4)*1&gt;LEFT('General inputs'!$I$16,4)+'General inputs'!$H$38-1,"",'ET inputs'!D55)</f>
        <v>7096.7376106524925</v>
      </c>
      <c r="F82" s="113">
        <f>IF(LEFT(D82,4)*1&gt;LEFT('General inputs'!$I$16,4)+'General inputs'!$H$38-1,"",E82/(1+'General inputs'!$H$30)^C82)</f>
        <v>4422.4522552785811</v>
      </c>
      <c r="G82" s="113">
        <f>IF(LEFT(D82,4)*1&gt;LEFT('General inputs'!$I$16,4)+'General inputs'!$H$38-1,"",E82/(1+'General inputs'!$H$32)^C82)</f>
        <v>3674.3053474371486</v>
      </c>
      <c r="H82" s="113">
        <f>IF(LEFT(D82,4)*1&lt;LEFT('General inputs'!$I$16,4)*1,"",IF(LEFT(D82,4)*1&gt;LEFT('General inputs'!$I$16,4)+'General inputs'!$H$38-1,"",E82/(1+'General inputs'!$H$34)^C82))</f>
        <v>3674.3053474371486</v>
      </c>
      <c r="I82" s="91"/>
      <c r="J82" s="151"/>
      <c r="K82" s="151"/>
      <c r="L82" s="113" t="str">
        <f>IF(LEFT(D82,4)*1&gt;LEFT('General inputs'!$I$18,4)*1,"",SUMIF('Post-1996 commissioned assets'!$F$22:$F$2700,$D82,'Post-1996 commissioned assets'!$P$22:$P$2700)*(1+$K$34)*(1+$K$35))</f>
        <v/>
      </c>
      <c r="M82" s="113" t="str">
        <f>IF(L82="","",L82/(1+'General inputs'!$H$32)^C82)</f>
        <v/>
      </c>
      <c r="N82" s="113">
        <f>IF(LEFT(D82,4)*1&lt;LEFT('General inputs'!$I$18,4)*1+1,"",SUMIF('Uncommissioned assets'!$F$22:$F$1511,$D82,'Uncommissioned assets'!$P$22:$P$1511))</f>
        <v>0</v>
      </c>
      <c r="O82" s="113">
        <f>IF(N82="","",N82/(1+'General inputs'!$H$32)^C82)</f>
        <v>0</v>
      </c>
      <c r="P82" s="91"/>
      <c r="Q82" s="119">
        <f>'Reduction amount'!M54</f>
        <v>30139034.22695395</v>
      </c>
      <c r="R82" s="113">
        <f>IF(OR(LEFT(D82,4)*1&lt;LEFT('General inputs'!$I$16,4)*1,LEFT(D82,4)*1&gt;LEFT('General inputs'!$I$16,4)+'General inputs'!$H$38-1),"",Q82/(1+'General inputs'!$H$34)^C82)</f>
        <v>15604355.226613265</v>
      </c>
      <c r="S82" s="91"/>
      <c r="T82" s="119">
        <f>'Reduction amount'!H54</f>
        <v>13942447.846676894</v>
      </c>
      <c r="U82" s="113">
        <f>IF(OR(LEFT(D82,4)*1&lt;LEFT('General inputs'!$I$16,4)*1,LEFT(D82,4)*1&gt;LEFT('General inputs'!$I$16,4)+'General inputs'!$H$38-1),"",T82/(1+'General inputs'!$H$34)^C82)</f>
        <v>7218642.3522988837</v>
      </c>
      <c r="V82" s="93"/>
      <c r="W82" s="92"/>
    </row>
    <row r="83" spans="2:23" x14ac:dyDescent="0.25">
      <c r="B83" s="66"/>
      <c r="C83" s="111">
        <f>IF(D83='General inputs'!$I$16,0,IF(D83&lt;'General inputs'!$I$16,C84-1,C82+1))</f>
        <v>17</v>
      </c>
      <c r="D83" s="111" t="str">
        <f t="shared" si="1"/>
        <v>2039-40</v>
      </c>
      <c r="E83" s="113">
        <f>IF(LEFT(D83,4)*1&gt;LEFT('General inputs'!$I$16,4)+'General inputs'!$H$38-1,"",'ET inputs'!D56)</f>
        <v>7105.0959946621069</v>
      </c>
      <c r="F83" s="113">
        <f>IF(LEFT(D83,4)*1&gt;LEFT('General inputs'!$I$16,4)+'General inputs'!$H$38-1,"",E83/(1+'General inputs'!$H$30)^C83)</f>
        <v>4298.6999260763878</v>
      </c>
      <c r="G83" s="113">
        <f>IF(LEFT(D83,4)*1&gt;LEFT('General inputs'!$I$16,4)+'General inputs'!$H$38-1,"",E83/(1+'General inputs'!$H$32)^C83)</f>
        <v>3530.3578356779603</v>
      </c>
      <c r="H83" s="113">
        <f>IF(LEFT(D83,4)*1&lt;LEFT('General inputs'!$I$16,4)*1,"",IF(LEFT(D83,4)*1&gt;LEFT('General inputs'!$I$16,4)+'General inputs'!$H$38-1,"",E83/(1+'General inputs'!$H$34)^C83))</f>
        <v>3530.3578356779603</v>
      </c>
      <c r="I83" s="91"/>
      <c r="J83" s="151"/>
      <c r="K83" s="151"/>
      <c r="L83" s="113" t="str">
        <f>IF(LEFT(D83,4)*1&gt;LEFT('General inputs'!$I$18,4)*1,"",SUMIF('Post-1996 commissioned assets'!$F$22:$F$2700,$D83,'Post-1996 commissioned assets'!$P$22:$P$2700)*(1+$K$34)*(1+$K$35))</f>
        <v/>
      </c>
      <c r="M83" s="113" t="str">
        <f>IF(L83="","",L83/(1+'General inputs'!$H$32)^C83)</f>
        <v/>
      </c>
      <c r="N83" s="113">
        <f>IF(LEFT(D83,4)*1&lt;LEFT('General inputs'!$I$18,4)*1+1,"",SUMIF('Uncommissioned assets'!$F$22:$F$1511,$D83,'Uncommissioned assets'!$P$22:$P$1511))</f>
        <v>0</v>
      </c>
      <c r="O83" s="113">
        <f>IF(N83="","",N83/(1+'General inputs'!$H$32)^C83)</f>
        <v>0</v>
      </c>
      <c r="P83" s="91"/>
      <c r="Q83" s="119">
        <f>'Reduction amount'!M55</f>
        <v>31689115.236016344</v>
      </c>
      <c r="R83" s="113">
        <f>IF(OR(LEFT(D83,4)*1&lt;LEFT('General inputs'!$I$16,4)*1,LEFT(D83,4)*1&gt;LEFT('General inputs'!$I$16,4)+'General inputs'!$H$38-1),"",Q83/(1+'General inputs'!$H$34)^C83)</f>
        <v>15745588.28807104</v>
      </c>
      <c r="S83" s="91"/>
      <c r="T83" s="119">
        <f>'Reduction amount'!H55</f>
        <v>14524012.063708305</v>
      </c>
      <c r="U83" s="113">
        <f>IF(OR(LEFT(D83,4)*1&lt;LEFT('General inputs'!$I$16,4)*1,LEFT(D83,4)*1&gt;LEFT('General inputs'!$I$16,4)+'General inputs'!$H$38-1),"",T83/(1+'General inputs'!$H$34)^C83)</f>
        <v>7216645.6066343822</v>
      </c>
      <c r="V83" s="93"/>
      <c r="W83" s="92"/>
    </row>
    <row r="84" spans="2:23" x14ac:dyDescent="0.25">
      <c r="B84" s="66"/>
      <c r="C84" s="111">
        <f>IF(D84='General inputs'!$I$16,0,IF(D84&lt;'General inputs'!$I$16,C85-1,C83+1))</f>
        <v>18</v>
      </c>
      <c r="D84" s="111" t="str">
        <f t="shared" si="1"/>
        <v>2040-41</v>
      </c>
      <c r="E84" s="113">
        <f>IF(LEFT(D84,4)*1&gt;LEFT('General inputs'!$I$16,4)+'General inputs'!$H$38-1,"",'ET inputs'!D57)</f>
        <v>7203.8409220568683</v>
      </c>
      <c r="F84" s="113">
        <f>IF(LEFT(D84,4)*1&gt;LEFT('General inputs'!$I$16,4)+'General inputs'!$H$38-1,"",E84/(1+'General inputs'!$H$30)^C84)</f>
        <v>4231.4973117417148</v>
      </c>
      <c r="G84" s="113">
        <f>IF(LEFT(D84,4)*1&gt;LEFT('General inputs'!$I$16,4)+'General inputs'!$H$38-1,"",E84/(1+'General inputs'!$H$32)^C84)</f>
        <v>3435.1457829249784</v>
      </c>
      <c r="H84" s="113">
        <f>IF(LEFT(D84,4)*1&lt;LEFT('General inputs'!$I$16,4)*1,"",IF(LEFT(D84,4)*1&gt;LEFT('General inputs'!$I$16,4)+'General inputs'!$H$38-1,"",E84/(1+'General inputs'!$H$34)^C84))</f>
        <v>3435.1457829249784</v>
      </c>
      <c r="I84" s="91"/>
      <c r="J84" s="151"/>
      <c r="K84" s="151"/>
      <c r="L84" s="113" t="str">
        <f>IF(LEFT(D84,4)*1&gt;LEFT('General inputs'!$I$18,4)*1,"",SUMIF('Post-1996 commissioned assets'!$F$22:$F$2700,$D84,'Post-1996 commissioned assets'!$P$22:$P$2700)*(1+$K$34)*(1+$K$35))</f>
        <v/>
      </c>
      <c r="M84" s="113" t="str">
        <f>IF(L84="","",L84/(1+'General inputs'!$H$32)^C84)</f>
        <v/>
      </c>
      <c r="N84" s="113">
        <f>IF(LEFT(D84,4)*1&lt;LEFT('General inputs'!$I$18,4)*1+1,"",SUMIF('Uncommissioned assets'!$F$22:$F$1511,$D84,'Uncommissioned assets'!$P$22:$P$1511))</f>
        <v>0</v>
      </c>
      <c r="O84" s="113">
        <f>IF(N84="","",N84/(1+'General inputs'!$H$32)^C84)</f>
        <v>0</v>
      </c>
      <c r="P84" s="91"/>
      <c r="Q84" s="119">
        <f>'Reduction amount'!M56</f>
        <v>33303618.621154174</v>
      </c>
      <c r="R84" s="113">
        <f>IF(OR(LEFT(D84,4)*1&lt;LEFT('General inputs'!$I$16,4)*1,LEFT(D84,4)*1&gt;LEFT('General inputs'!$I$16,4)+'General inputs'!$H$38-1),"",Q84/(1+'General inputs'!$H$34)^C84)</f>
        <v>15880803.90730433</v>
      </c>
      <c r="S84" s="91"/>
      <c r="T84" s="119">
        <f>'Reduction amount'!H56</f>
        <v>15118845.06622012</v>
      </c>
      <c r="U84" s="113">
        <f>IF(OR(LEFT(D84,4)*1&lt;LEFT('General inputs'!$I$16,4)*1,LEFT(D84,4)*1&gt;LEFT('General inputs'!$I$16,4)+'General inputs'!$H$38-1),"",T84/(1+'General inputs'!$H$34)^C84)</f>
        <v>7209409.1796093341</v>
      </c>
      <c r="V84" s="93"/>
      <c r="W84" s="92"/>
    </row>
    <row r="85" spans="2:23" x14ac:dyDescent="0.25">
      <c r="B85" s="66"/>
      <c r="C85" s="111">
        <f>IF(D85='General inputs'!$I$16,0,IF(D85&lt;'General inputs'!$I$16,C86-1,C84+1))</f>
        <v>19</v>
      </c>
      <c r="D85" s="111" t="str">
        <f t="shared" si="1"/>
        <v>2041-42</v>
      </c>
      <c r="E85" s="113">
        <f>IF(LEFT(D85,4)*1&gt;LEFT('General inputs'!$I$16,4)+'General inputs'!$H$38-1,"",'ET inputs'!D58)</f>
        <v>7301.5463666525102</v>
      </c>
      <c r="F85" s="113">
        <f>IF(LEFT(D85,4)*1&gt;LEFT('General inputs'!$I$16,4)+'General inputs'!$H$38-1,"",E85/(1+'General inputs'!$H$30)^C85)</f>
        <v>4163.9698670213074</v>
      </c>
      <c r="G85" s="113">
        <f>IF(LEFT(D85,4)*1&gt;LEFT('General inputs'!$I$16,4)+'General inputs'!$H$38-1,"",E85/(1+'General inputs'!$H$32)^C85)</f>
        <v>3341.3978368977459</v>
      </c>
      <c r="H85" s="113">
        <f>IF(LEFT(D85,4)*1&lt;LEFT('General inputs'!$I$16,4)*1,"",IF(LEFT(D85,4)*1&gt;LEFT('General inputs'!$I$16,4)+'General inputs'!$H$38-1,"",E85/(1+'General inputs'!$H$34)^C85))</f>
        <v>3341.3978368977459</v>
      </c>
      <c r="I85" s="91"/>
      <c r="J85" s="151"/>
      <c r="K85" s="151"/>
      <c r="L85" s="113" t="str">
        <f>IF(LEFT(D85,4)*1&gt;LEFT('General inputs'!$I$18,4)*1,"",SUMIF('Post-1996 commissioned assets'!$F$22:$F$2700,$D85,'Post-1996 commissioned assets'!$P$22:$P$2700)*(1+$K$34)*(1+$K$35))</f>
        <v/>
      </c>
      <c r="M85" s="113" t="str">
        <f>IF(L85="","",L85/(1+'General inputs'!$H$32)^C85)</f>
        <v/>
      </c>
      <c r="N85" s="113">
        <f>IF(LEFT(D85,4)*1&lt;LEFT('General inputs'!$I$18,4)*1+1,"",SUMIF('Uncommissioned assets'!$F$22:$F$1511,$D85,'Uncommissioned assets'!$P$22:$P$1511))</f>
        <v>0</v>
      </c>
      <c r="O85" s="113">
        <f>IF(N85="","",N85/(1+'General inputs'!$H$32)^C85)</f>
        <v>0</v>
      </c>
      <c r="P85" s="91"/>
      <c r="Q85" s="119">
        <f>'Reduction amount'!M57</f>
        <v>34940513.938812956</v>
      </c>
      <c r="R85" s="113">
        <f>IF(OR(LEFT(D85,4)*1&lt;LEFT('General inputs'!$I$16,4)*1,LEFT(D85,4)*1&gt;LEFT('General inputs'!$I$16,4)+'General inputs'!$H$38-1),"",Q85/(1+'General inputs'!$H$34)^C85)</f>
        <v>15989785.154068781</v>
      </c>
      <c r="S85" s="91"/>
      <c r="T85" s="119">
        <f>'Reduction amount'!H57</f>
        <v>15717424.90710678</v>
      </c>
      <c r="U85" s="113">
        <f>IF(OR(LEFT(D85,4)*1&lt;LEFT('General inputs'!$I$16,4)*1,LEFT(D85,4)*1&gt;LEFT('General inputs'!$I$16,4)+'General inputs'!$H$38-1),"",T85/(1+'General inputs'!$H$34)^C85)</f>
        <v>7192746.1593710305</v>
      </c>
      <c r="V85" s="93"/>
      <c r="W85" s="92"/>
    </row>
    <row r="86" spans="2:23" x14ac:dyDescent="0.25">
      <c r="B86" s="66"/>
      <c r="C86" s="111">
        <f>IF(D86='General inputs'!$I$16,0,IF(D86&lt;'General inputs'!$I$16,C87-1,C85+1))</f>
        <v>20</v>
      </c>
      <c r="D86" s="111" t="str">
        <f t="shared" si="1"/>
        <v>2042-43</v>
      </c>
      <c r="E86" s="113">
        <f>IF(LEFT(D86,4)*1&gt;LEFT('General inputs'!$I$16,4)+'General inputs'!$H$38-1,"",'ET inputs'!D59)</f>
        <v>7340.6052216398075</v>
      </c>
      <c r="F86" s="113">
        <f>IF(LEFT(D86,4)*1&gt;LEFT('General inputs'!$I$16,4)+'General inputs'!$H$38-1,"",E86/(1+'General inputs'!$H$30)^C86)</f>
        <v>4064.3151322755689</v>
      </c>
      <c r="G86" s="113">
        <f>IF(LEFT(D86,4)*1&gt;LEFT('General inputs'!$I$16,4)+'General inputs'!$H$38-1,"",E86/(1+'General inputs'!$H$32)^C86)</f>
        <v>3223.869763423369</v>
      </c>
      <c r="H86" s="113">
        <f>IF(LEFT(D86,4)*1&lt;LEFT('General inputs'!$I$16,4)*1,"",IF(LEFT(D86,4)*1&gt;LEFT('General inputs'!$I$16,4)+'General inputs'!$H$38-1,"",E86/(1+'General inputs'!$H$34)^C86))</f>
        <v>3223.869763423369</v>
      </c>
      <c r="I86" s="91"/>
      <c r="J86" s="151"/>
      <c r="K86" s="151"/>
      <c r="L86" s="113" t="str">
        <f>IF(LEFT(D86,4)*1&gt;LEFT('General inputs'!$I$18,4)*1,"",SUMIF('Post-1996 commissioned assets'!$F$22:$F$2700,$D86,'Post-1996 commissioned assets'!$P$22:$P$2700)*(1+$K$34)*(1+$K$35))</f>
        <v/>
      </c>
      <c r="M86" s="113" t="str">
        <f>IF(L86="","",L86/(1+'General inputs'!$H$32)^C86)</f>
        <v/>
      </c>
      <c r="N86" s="113">
        <f>IF(LEFT(D86,4)*1&lt;LEFT('General inputs'!$I$18,4)*1+1,"",SUMIF('Uncommissioned assets'!$F$22:$F$1511,$D86,'Uncommissioned assets'!$P$22:$P$1511))</f>
        <v>0</v>
      </c>
      <c r="O86" s="113">
        <f>IF(N86="","",N86/(1+'General inputs'!$H$32)^C86)</f>
        <v>0</v>
      </c>
      <c r="P86" s="91"/>
      <c r="Q86" s="119">
        <f>'Reduction amount'!M58</f>
        <v>36585970.983505838</v>
      </c>
      <c r="R86" s="113">
        <f>IF(OR(LEFT(D86,4)*1&lt;LEFT('General inputs'!$I$16,4)*1,LEFT(D86,4)*1&gt;LEFT('General inputs'!$I$16,4)+'General inputs'!$H$38-1),"",Q86/(1+'General inputs'!$H$34)^C86)</f>
        <v>16067940.184482619</v>
      </c>
      <c r="S86" s="91"/>
      <c r="T86" s="119">
        <f>'Reduction amount'!H58</f>
        <v>16307526.325736256</v>
      </c>
      <c r="U86" s="113">
        <f>IF(OR(LEFT(D86,4)*1&lt;LEFT('General inputs'!$I$16,4)*1,LEFT(D86,4)*1&gt;LEFT('General inputs'!$I$16,4)+'General inputs'!$H$38-1),"",T86/(1+'General inputs'!$H$34)^C86)</f>
        <v>7161989.9790806919</v>
      </c>
      <c r="V86" s="93"/>
      <c r="W86" s="92"/>
    </row>
    <row r="87" spans="2:23" x14ac:dyDescent="0.25">
      <c r="B87" s="66"/>
      <c r="C87" s="111">
        <f>IF(D87='General inputs'!$I$16,0,IF(D87&lt;'General inputs'!$I$16,C88-1,C86+1))</f>
        <v>21</v>
      </c>
      <c r="D87" s="111" t="str">
        <f t="shared" si="1"/>
        <v>2043-44</v>
      </c>
      <c r="E87" s="113">
        <f>IF(LEFT(D87,4)*1&gt;LEFT('General inputs'!$I$16,4)+'General inputs'!$H$38-1,"",'ET inputs'!D60)</f>
        <v>7379.0354846191549</v>
      </c>
      <c r="F87" s="113">
        <f>IF(LEFT(D87,4)*1&gt;LEFT('General inputs'!$I$16,4)+'General inputs'!$H$38-1,"",E87/(1+'General inputs'!$H$30)^C87)</f>
        <v>3966.5951816643096</v>
      </c>
      <c r="G87" s="113">
        <f>IF(LEFT(D87,4)*1&gt;LEFT('General inputs'!$I$16,4)+'General inputs'!$H$38-1,"",E87/(1+'General inputs'!$H$32)^C87)</f>
        <v>3110.1225388536232</v>
      </c>
      <c r="H87" s="113">
        <f>IF(LEFT(D87,4)*1&lt;LEFT('General inputs'!$I$16,4)*1,"",IF(LEFT(D87,4)*1&gt;LEFT('General inputs'!$I$16,4)+'General inputs'!$H$38-1,"",E87/(1+'General inputs'!$H$34)^C87))</f>
        <v>3110.1225388536232</v>
      </c>
      <c r="I87" s="91"/>
      <c r="J87" s="151"/>
      <c r="K87" s="151"/>
      <c r="L87" s="113" t="str">
        <f>IF(LEFT(D87,4)*1&gt;LEFT('General inputs'!$I$18,4)*1,"",SUMIF('Post-1996 commissioned assets'!$F$22:$F$2700,$D87,'Post-1996 commissioned assets'!$P$22:$P$2700)*(1+$K$34)*(1+$K$35))</f>
        <v/>
      </c>
      <c r="M87" s="113" t="str">
        <f>IF(L87="","",L87/(1+'General inputs'!$H$32)^C87)</f>
        <v/>
      </c>
      <c r="N87" s="113">
        <f>IF(LEFT(D87,4)*1&lt;LEFT('General inputs'!$I$18,4)*1+1,"",SUMIF('Uncommissioned assets'!$F$22:$F$1511,$D87,'Uncommissioned assets'!$P$22:$P$1511))</f>
        <v>0</v>
      </c>
      <c r="O87" s="113">
        <f>IF(N87="","",N87/(1+'General inputs'!$H$32)^C87)</f>
        <v>0</v>
      </c>
      <c r="P87" s="91"/>
      <c r="Q87" s="119">
        <f>'Reduction amount'!M59</f>
        <v>38239337.481504723</v>
      </c>
      <c r="R87" s="113">
        <f>IF(OR(LEFT(D87,4)*1&lt;LEFT('General inputs'!$I$16,4)*1,LEFT(D87,4)*1&gt;LEFT('General inputs'!$I$16,4)+'General inputs'!$H$38-1),"",Q87/(1+'General inputs'!$H$34)^C87)</f>
        <v>16117150.489376744</v>
      </c>
      <c r="S87" s="91"/>
      <c r="T87" s="119">
        <f>'Reduction amount'!H59</f>
        <v>16888387.524459358</v>
      </c>
      <c r="U87" s="113">
        <f>IF(OR(LEFT(D87,4)*1&lt;LEFT('General inputs'!$I$16,4)*1,LEFT(D87,4)*1&gt;LEFT('General inputs'!$I$16,4)+'General inputs'!$H$38-1),"",T87/(1+'General inputs'!$H$34)^C87)</f>
        <v>7118132.8229411952</v>
      </c>
      <c r="V87" s="93"/>
      <c r="W87" s="92"/>
    </row>
    <row r="88" spans="2:23" x14ac:dyDescent="0.25">
      <c r="B88" s="66"/>
      <c r="C88" s="111">
        <f>IF(D88='General inputs'!$I$16,0,IF(D88&lt;'General inputs'!$I$16,C89-1,C87+1))</f>
        <v>22</v>
      </c>
      <c r="D88" s="111" t="str">
        <f t="shared" si="1"/>
        <v>2044-45</v>
      </c>
      <c r="E88" s="113">
        <f>IF(LEFT(D88,4)*1&gt;LEFT('General inputs'!$I$16,4)+'General inputs'!$H$38-1,"",'ET inputs'!D61)</f>
        <v>7421.6157951676105</v>
      </c>
      <c r="F88" s="113">
        <f>IF(LEFT(D88,4)*1&gt;LEFT('General inputs'!$I$16,4)+'General inputs'!$H$38-1,"",E88/(1+'General inputs'!$H$30)^C88)</f>
        <v>3873.285627929723</v>
      </c>
      <c r="G88" s="113">
        <f>IF(LEFT(D88,4)*1&gt;LEFT('General inputs'!$I$16,4)+'General inputs'!$H$38-1,"",E88/(1+'General inputs'!$H$32)^C88)</f>
        <v>3001.9859180334724</v>
      </c>
      <c r="H88" s="113">
        <f>IF(LEFT(D88,4)*1&lt;LEFT('General inputs'!$I$16,4)*1,"",IF(LEFT(D88,4)*1&gt;LEFT('General inputs'!$I$16,4)+'General inputs'!$H$38-1,"",E88/(1+'General inputs'!$H$34)^C88))</f>
        <v>3001.9859180334724</v>
      </c>
      <c r="I88" s="91"/>
      <c r="J88" s="151"/>
      <c r="K88" s="151"/>
      <c r="L88" s="113" t="str">
        <f>IF(LEFT(D88,4)*1&gt;LEFT('General inputs'!$I$18,4)*1,"",SUMIF('Post-1996 commissioned assets'!$F$22:$F$2700,$D88,'Post-1996 commissioned assets'!$P$22:$P$2700)*(1+$K$34)*(1+$K$35))</f>
        <v/>
      </c>
      <c r="M88" s="113" t="str">
        <f>IF(L88="","",L88/(1+'General inputs'!$H$32)^C88)</f>
        <v/>
      </c>
      <c r="N88" s="113">
        <f>IF(LEFT(D88,4)*1&lt;LEFT('General inputs'!$I$18,4)*1+1,"",SUMIF('Uncommissioned assets'!$F$22:$F$1511,$D88,'Uncommissioned assets'!$P$22:$P$1511))</f>
        <v>0</v>
      </c>
      <c r="O88" s="113">
        <f>IF(N88="","",N88/(1+'General inputs'!$H$32)^C88)</f>
        <v>0</v>
      </c>
      <c r="P88" s="91"/>
      <c r="Q88" s="119">
        <f>'Reduction amount'!M60</f>
        <v>39904088.735616393</v>
      </c>
      <c r="R88" s="113">
        <f>IF(OR(LEFT(D88,4)*1&lt;LEFT('General inputs'!$I$16,4)*1,LEFT(D88,4)*1&gt;LEFT('General inputs'!$I$16,4)+'General inputs'!$H$38-1),"",Q88/(1+'General inputs'!$H$34)^C88)</f>
        <v>16140893.811058989</v>
      </c>
      <c r="S88" s="91"/>
      <c r="T88" s="119">
        <f>'Reduction amount'!H60</f>
        <v>17462990.026914895</v>
      </c>
      <c r="U88" s="113">
        <f>IF(OR(LEFT(D88,4)*1&lt;LEFT('General inputs'!$I$16,4)*1,LEFT(D88,4)*1&gt;LEFT('General inputs'!$I$16,4)+'General inputs'!$H$38-1),"",T88/(1+'General inputs'!$H$34)^C88)</f>
        <v>7063643.766319965</v>
      </c>
      <c r="V88" s="93"/>
      <c r="W88" s="92"/>
    </row>
    <row r="89" spans="2:23" x14ac:dyDescent="0.25">
      <c r="B89" s="66"/>
      <c r="C89" s="111">
        <f>IF(D89='General inputs'!$I$16,0,IF(D89&lt;'General inputs'!$I$16,C90-1,C88+1))</f>
        <v>23</v>
      </c>
      <c r="D89" s="111" t="str">
        <f t="shared" si="1"/>
        <v>2045-46</v>
      </c>
      <c r="E89" s="113">
        <f>IF(LEFT(D89,4)*1&gt;LEFT('General inputs'!$I$16,4)+'General inputs'!$H$38-1,"",'ET inputs'!D62)</f>
        <v>7460.9197254917472</v>
      </c>
      <c r="F89" s="113">
        <f>IF(LEFT(D89,4)*1&gt;LEFT('General inputs'!$I$16,4)+'General inputs'!$H$38-1,"",E89/(1+'General inputs'!$H$30)^C89)</f>
        <v>3780.3864606030111</v>
      </c>
      <c r="G89" s="113">
        <f>IF(LEFT(D89,4)*1&gt;LEFT('General inputs'!$I$16,4)+'General inputs'!$H$38-1,"",E89/(1+'General inputs'!$H$32)^C89)</f>
        <v>2896.2418929277696</v>
      </c>
      <c r="H89" s="113">
        <f>IF(LEFT(D89,4)*1&lt;LEFT('General inputs'!$I$16,4)*1,"",IF(LEFT(D89,4)*1&gt;LEFT('General inputs'!$I$16,4)+'General inputs'!$H$38-1,"",E89/(1+'General inputs'!$H$34)^C89))</f>
        <v>2896.2418929277696</v>
      </c>
      <c r="I89" s="91"/>
      <c r="J89" s="151"/>
      <c r="K89" s="151"/>
      <c r="L89" s="113" t="str">
        <f>IF(LEFT(D89,4)*1&gt;LEFT('General inputs'!$I$18,4)*1,"",SUMIF('Post-1996 commissioned assets'!$F$22:$F$2700,$D89,'Post-1996 commissioned assets'!$P$22:$P$2700)*(1+$K$34)*(1+$K$35))</f>
        <v/>
      </c>
      <c r="M89" s="113" t="str">
        <f>IF(L89="","",L89/(1+'General inputs'!$H$32)^C89)</f>
        <v/>
      </c>
      <c r="N89" s="113">
        <f>IF(LEFT(D89,4)*1&lt;LEFT('General inputs'!$I$18,4)*1+1,"",SUMIF('Uncommissioned assets'!$F$22:$F$1511,$D89,'Uncommissioned assets'!$P$22:$P$1511))</f>
        <v>0</v>
      </c>
      <c r="O89" s="113">
        <f>IF(N89="","",N89/(1+'General inputs'!$H$32)^C89)</f>
        <v>0</v>
      </c>
      <c r="P89" s="91"/>
      <c r="Q89" s="119">
        <f>'Reduction amount'!M61</f>
        <v>41576766.783195041</v>
      </c>
      <c r="R89" s="113">
        <f>IF(OR(LEFT(D89,4)*1&lt;LEFT('General inputs'!$I$16,4)*1,LEFT(D89,4)*1&gt;LEFT('General inputs'!$I$16,4)+'General inputs'!$H$38-1),"",Q89/(1+'General inputs'!$H$34)^C89)</f>
        <v>16139615.24321864</v>
      </c>
      <c r="S89" s="91"/>
      <c r="T89" s="119">
        <f>'Reduction amount'!H61</f>
        <v>18028772.39465417</v>
      </c>
      <c r="U89" s="113">
        <f>IF(OR(LEFT(D89,4)*1&lt;LEFT('General inputs'!$I$16,4)*1,LEFT(D89,4)*1&gt;LEFT('General inputs'!$I$16,4)+'General inputs'!$H$38-1),"",T89/(1+'General inputs'!$H$34)^C89)</f>
        <v>6998558.8652095562</v>
      </c>
      <c r="V89" s="93"/>
      <c r="W89" s="92"/>
    </row>
    <row r="90" spans="2:23" x14ac:dyDescent="0.25">
      <c r="B90" s="66"/>
      <c r="C90" s="111">
        <f>IF(D90='General inputs'!$I$16,0,IF(D90&lt;'General inputs'!$I$16,C91-1,C89+1))</f>
        <v>24</v>
      </c>
      <c r="D90" s="111" t="str">
        <f t="shared" si="1"/>
        <v>2046-47</v>
      </c>
      <c r="E90" s="113">
        <f>IF(LEFT(D90,4)*1&gt;LEFT('General inputs'!$I$16,4)+'General inputs'!$H$38-1,"",'ET inputs'!D63)</f>
        <v>7492.8203151469133</v>
      </c>
      <c r="F90" s="113">
        <f>IF(LEFT(D90,4)*1&gt;LEFT('General inputs'!$I$16,4)+'General inputs'!$H$38-1,"",E90/(1+'General inputs'!$H$30)^C90)</f>
        <v>3685.9710933508018</v>
      </c>
      <c r="G90" s="113">
        <f>IF(LEFT(D90,4)*1&gt;LEFT('General inputs'!$I$16,4)+'General inputs'!$H$38-1,"",E90/(1+'General inputs'!$H$32)^C90)</f>
        <v>2791.38707219663</v>
      </c>
      <c r="H90" s="113">
        <f>IF(LEFT(D90,4)*1&lt;LEFT('General inputs'!$I$16,4)*1,"",IF(LEFT(D90,4)*1&gt;LEFT('General inputs'!$I$16,4)+'General inputs'!$H$38-1,"",E90/(1+'General inputs'!$H$34)^C90))</f>
        <v>2791.38707219663</v>
      </c>
      <c r="I90" s="91"/>
      <c r="J90" s="151"/>
      <c r="K90" s="151"/>
      <c r="L90" s="113" t="str">
        <f>IF(LEFT(D90,4)*1&gt;LEFT('General inputs'!$I$18,4)*1,"",SUMIF('Post-1996 commissioned assets'!$F$22:$F$2700,$D90,'Post-1996 commissioned assets'!$P$22:$P$2700)*(1+$K$34)*(1+$K$35))</f>
        <v/>
      </c>
      <c r="M90" s="113" t="str">
        <f>IF(L90="","",L90/(1+'General inputs'!$H$32)^C90)</f>
        <v/>
      </c>
      <c r="N90" s="113">
        <f>IF(LEFT(D90,4)*1&lt;LEFT('General inputs'!$I$18,4)*1+1,"",SUMIF('Uncommissioned assets'!$F$22:$F$1511,$D90,'Uncommissioned assets'!$P$22:$P$1511))</f>
        <v>0</v>
      </c>
      <c r="O90" s="113">
        <f>IF(N90="","",N90/(1+'General inputs'!$H$32)^C90)</f>
        <v>0</v>
      </c>
      <c r="P90" s="91"/>
      <c r="Q90" s="119">
        <f>'Reduction amount'!M62</f>
        <v>43255475.577961691</v>
      </c>
      <c r="R90" s="113">
        <f>IF(OR(LEFT(D90,4)*1&lt;LEFT('General inputs'!$I$16,4)*1,LEFT(D90,4)*1&gt;LEFT('General inputs'!$I$16,4)+'General inputs'!$H$38-1),"",Q90/(1+'General inputs'!$H$34)^C90)</f>
        <v>16114462.946075853</v>
      </c>
      <c r="S90" s="91"/>
      <c r="T90" s="119">
        <f>'Reduction amount'!H62</f>
        <v>18578087.110325307</v>
      </c>
      <c r="U90" s="113">
        <f>IF(OR(LEFT(D90,4)*1&lt;LEFT('General inputs'!$I$16,4)*1,LEFT(D90,4)*1&gt;LEFT('General inputs'!$I$16,4)+'General inputs'!$H$38-1),"",T90/(1+'General inputs'!$H$34)^C90)</f>
        <v>6921109.8097563423</v>
      </c>
      <c r="V90" s="93"/>
      <c r="W90" s="92"/>
    </row>
    <row r="91" spans="2:23" x14ac:dyDescent="0.25">
      <c r="B91" s="66"/>
      <c r="C91" s="111">
        <f>IF(D91='General inputs'!$I$16,0,IF(D91&lt;'General inputs'!$I$16,C92-1,C90+1))</f>
        <v>25</v>
      </c>
      <c r="D91" s="111" t="str">
        <f t="shared" si="1"/>
        <v>2047-48</v>
      </c>
      <c r="E91" s="113">
        <f>IF(LEFT(D91,4)*1&gt;LEFT('General inputs'!$I$16,4)+'General inputs'!$H$38-1,"",'ET inputs'!D64)</f>
        <v>7530.5785595892357</v>
      </c>
      <c r="F91" s="113">
        <f>IF(LEFT(D91,4)*1&gt;LEFT('General inputs'!$I$16,4)+'General inputs'!$H$38-1,"",E91/(1+'General inputs'!$H$30)^C91)</f>
        <v>3596.6462598222661</v>
      </c>
      <c r="G91" s="113">
        <f>IF(LEFT(D91,4)*1&gt;LEFT('General inputs'!$I$16,4)+'General inputs'!$H$38-1,"",E91/(1+'General inputs'!$H$32)^C91)</f>
        <v>2692.3738848407352</v>
      </c>
      <c r="H91" s="113">
        <f>IF(LEFT(D91,4)*1&lt;LEFT('General inputs'!$I$16,4)*1,"",IF(LEFT(D91,4)*1&gt;LEFT('General inputs'!$I$16,4)+'General inputs'!$H$38-1,"",E91/(1+'General inputs'!$H$34)^C91))</f>
        <v>2692.3738848407352</v>
      </c>
      <c r="I91" s="91"/>
      <c r="J91" s="151"/>
      <c r="K91" s="151"/>
      <c r="L91" s="113" t="str">
        <f>IF(LEFT(D91,4)*1&gt;LEFT('General inputs'!$I$18,4)*1,"",SUMIF('Post-1996 commissioned assets'!$F$22:$F$2700,$D91,'Post-1996 commissioned assets'!$P$22:$P$2700)*(1+$K$34)*(1+$K$35))</f>
        <v/>
      </c>
      <c r="M91" s="113" t="str">
        <f>IF(L91="","",L91/(1+'General inputs'!$H$32)^C91)</f>
        <v/>
      </c>
      <c r="N91" s="113">
        <f>IF(LEFT(D91,4)*1&lt;LEFT('General inputs'!$I$18,4)*1+1,"",SUMIF('Uncommissioned assets'!$F$22:$F$1511,$D91,'Uncommissioned assets'!$P$22:$P$1511))</f>
        <v>0</v>
      </c>
      <c r="O91" s="113">
        <f>IF(N91="","",N91/(1+'General inputs'!$H$32)^C91)</f>
        <v>0</v>
      </c>
      <c r="P91" s="91"/>
      <c r="Q91" s="119">
        <f>'Reduction amount'!M63</f>
        <v>44940090.131373294</v>
      </c>
      <c r="R91" s="113">
        <f>IF(OR(LEFT(D91,4)*1&lt;LEFT('General inputs'!$I$16,4)*1,LEFT(D91,4)*1&gt;LEFT('General inputs'!$I$16,4)+'General inputs'!$H$38-1),"",Q91/(1+'General inputs'!$H$34)^C91)</f>
        <v>16067228.313822694</v>
      </c>
      <c r="S91" s="91"/>
      <c r="T91" s="119">
        <f>'Reduction amount'!H63</f>
        <v>19116542.541757118</v>
      </c>
      <c r="U91" s="113">
        <f>IF(OR(LEFT(D91,4)*1&lt;LEFT('General inputs'!$I$16,4)*1,LEFT(D91,4)*1&gt;LEFT('General inputs'!$I$16,4)+'General inputs'!$H$38-1),"",T91/(1+'General inputs'!$H$34)^C91)</f>
        <v>6834651.4813705394</v>
      </c>
      <c r="V91" s="93"/>
      <c r="W91" s="92"/>
    </row>
    <row r="92" spans="2:23" x14ac:dyDescent="0.25">
      <c r="B92" s="66"/>
      <c r="C92" s="111">
        <f>IF(D92='General inputs'!$I$16,0,IF(D92&lt;'General inputs'!$I$16,C93-1,C91+1))</f>
        <v>26</v>
      </c>
      <c r="D92" s="111" t="str">
        <f t="shared" si="1"/>
        <v>2048-49</v>
      </c>
      <c r="E92" s="113">
        <f>IF(LEFT(D92,4)*1&gt;LEFT('General inputs'!$I$16,4)+'General inputs'!$H$38-1,"",'ET inputs'!D65)</f>
        <v>7560.1442353698985</v>
      </c>
      <c r="F92" s="113">
        <f>IF(LEFT(D92,4)*1&gt;LEFT('General inputs'!$I$16,4)+'General inputs'!$H$38-1,"",E92/(1+'General inputs'!$H$30)^C92)</f>
        <v>3505.5990206156257</v>
      </c>
      <c r="G92" s="113">
        <f>IF(LEFT(D92,4)*1&gt;LEFT('General inputs'!$I$16,4)+'General inputs'!$H$38-1,"",E92/(1+'General inputs'!$H$32)^C92)</f>
        <v>2593.9965143336954</v>
      </c>
      <c r="H92" s="113">
        <f>IF(LEFT(D92,4)*1&lt;LEFT('General inputs'!$I$16,4)*1,"",IF(LEFT(D92,4)*1&gt;LEFT('General inputs'!$I$16,4)+'General inputs'!$H$38-1,"",E92/(1+'General inputs'!$H$34)^C92))</f>
        <v>2593.9965143336954</v>
      </c>
      <c r="I92" s="91"/>
      <c r="J92" s="151"/>
      <c r="K92" s="151"/>
      <c r="L92" s="113" t="str">
        <f>IF(LEFT(D92,4)*1&gt;LEFT('General inputs'!$I$18,4)*1,"",SUMIF('Post-1996 commissioned assets'!$F$22:$F$2700,$D92,'Post-1996 commissioned assets'!$P$22:$P$2700)*(1+$K$34)*(1+$K$35))</f>
        <v/>
      </c>
      <c r="M92" s="113" t="str">
        <f>IF(L92="","",L92/(1+'General inputs'!$H$32)^C92)</f>
        <v/>
      </c>
      <c r="N92" s="113">
        <f>IF(LEFT(D92,4)*1&lt;LEFT('General inputs'!$I$18,4)*1+1,"",SUMIF('Uncommissioned assets'!$F$22:$F$1511,$D92,'Uncommissioned assets'!$P$22:$P$1511))</f>
        <v>0</v>
      </c>
      <c r="O92" s="113">
        <f>IF(N92="","",N92/(1+'General inputs'!$H$32)^C92)</f>
        <v>0</v>
      </c>
      <c r="P92" s="91"/>
      <c r="Q92" s="119">
        <f>'Reduction amount'!M64</f>
        <v>46633355.504925676</v>
      </c>
      <c r="R92" s="113">
        <f>IF(OR(LEFT(D92,4)*1&lt;LEFT('General inputs'!$I$16,4)*1,LEFT(D92,4)*1&gt;LEFT('General inputs'!$I$16,4)+'General inputs'!$H$38-1),"",Q92/(1+'General inputs'!$H$34)^C92)</f>
        <v>16000589.124414058</v>
      </c>
      <c r="S92" s="91"/>
      <c r="T92" s="119">
        <f>'Reduction amount'!H64</f>
        <v>19647691.801297951</v>
      </c>
      <c r="U92" s="113">
        <f>IF(OR(LEFT(D92,4)*1&lt;LEFT('General inputs'!$I$16,4)*1,LEFT(D92,4)*1&gt;LEFT('General inputs'!$I$16,4)+'General inputs'!$H$38-1),"",T92/(1+'General inputs'!$H$34)^C92)</f>
        <v>6741411.6001684945</v>
      </c>
      <c r="V92" s="93"/>
      <c r="W92" s="92"/>
    </row>
    <row r="93" spans="2:23" x14ac:dyDescent="0.25">
      <c r="B93" s="66"/>
      <c r="C93" s="111">
        <f>IF(D93='General inputs'!$I$16,0,IF(D93&lt;'General inputs'!$I$16,C94-1,C92+1))</f>
        <v>27</v>
      </c>
      <c r="D93" s="111" t="str">
        <f t="shared" si="1"/>
        <v>2049-50</v>
      </c>
      <c r="E93" s="113">
        <f>IF(LEFT(D93,4)*1&gt;LEFT('General inputs'!$I$16,4)+'General inputs'!$H$38-1,"",'ET inputs'!D66)</f>
        <v>0</v>
      </c>
      <c r="F93" s="113">
        <f>IF(LEFT(D93,4)*1&gt;LEFT('General inputs'!$I$16,4)+'General inputs'!$H$38-1,"",E93/(1+'General inputs'!$H$30)^C93)</f>
        <v>0</v>
      </c>
      <c r="G93" s="113">
        <f>IF(LEFT(D93,4)*1&gt;LEFT('General inputs'!$I$16,4)+'General inputs'!$H$38-1,"",E93/(1+'General inputs'!$H$32)^C93)</f>
        <v>0</v>
      </c>
      <c r="H93" s="113">
        <f>IF(LEFT(D93,4)*1&lt;LEFT('General inputs'!$I$16,4)*1,"",IF(LEFT(D93,4)*1&gt;LEFT('General inputs'!$I$16,4)+'General inputs'!$H$38-1,"",E93/(1+'General inputs'!$H$34)^C93))</f>
        <v>0</v>
      </c>
      <c r="I93" s="91"/>
      <c r="J93" s="151"/>
      <c r="K93" s="151"/>
      <c r="L93" s="113" t="str">
        <f>IF(LEFT(D93,4)*1&gt;LEFT('General inputs'!$I$18,4)*1,"",SUMIF('Post-1996 commissioned assets'!$F$22:$F$2700,$D93,'Post-1996 commissioned assets'!$P$22:$P$2700)*(1+$K$34)*(1+$K$35))</f>
        <v/>
      </c>
      <c r="M93" s="113" t="str">
        <f>IF(L93="","",L93/(1+'General inputs'!$H$32)^C93)</f>
        <v/>
      </c>
      <c r="N93" s="113">
        <f>IF(LEFT(D93,4)*1&lt;LEFT('General inputs'!$I$18,4)*1+1,"",SUMIF('Uncommissioned assets'!$F$22:$F$1511,$D93,'Uncommissioned assets'!$P$22:$P$1511))</f>
        <v>0</v>
      </c>
      <c r="O93" s="113">
        <f>IF(N93="","",N93/(1+'General inputs'!$H$32)^C93)</f>
        <v>0</v>
      </c>
      <c r="P93" s="91"/>
      <c r="Q93" s="119">
        <f>'Reduction amount'!M65</f>
        <v>46633355.504925676</v>
      </c>
      <c r="R93" s="113">
        <f>IF(OR(LEFT(D93,4)*1&lt;LEFT('General inputs'!$I$16,4)*1,LEFT(D93,4)*1&gt;LEFT('General inputs'!$I$16,4)+'General inputs'!$H$38-1),"",Q93/(1+'General inputs'!$H$34)^C93)</f>
        <v>15355651.750877213</v>
      </c>
      <c r="S93" s="91"/>
      <c r="T93" s="119">
        <f>'Reduction amount'!H65</f>
        <v>19638284.967399798</v>
      </c>
      <c r="U93" s="113">
        <f>IF(OR(LEFT(D93,4)*1&lt;LEFT('General inputs'!$I$16,4)*1,LEFT(D93,4)*1&gt;LEFT('General inputs'!$I$16,4)+'General inputs'!$H$38-1),"",T93/(1+'General inputs'!$H$34)^C93)</f>
        <v>6466587.3102789279</v>
      </c>
      <c r="V93" s="93"/>
      <c r="W93" s="92"/>
    </row>
    <row r="94" spans="2:23" x14ac:dyDescent="0.25">
      <c r="B94" s="66"/>
      <c r="C94" s="111">
        <f>IF(D94='General inputs'!$I$16,0,IF(D94&lt;'General inputs'!$I$16,C95-1,C93+1))</f>
        <v>28</v>
      </c>
      <c r="D94" s="111" t="str">
        <f t="shared" si="1"/>
        <v>2050-51</v>
      </c>
      <c r="E94" s="113">
        <f>IF(LEFT(D94,4)*1&gt;LEFT('General inputs'!$I$16,4)+'General inputs'!$H$38-1,"",'ET inputs'!D67)</f>
        <v>0</v>
      </c>
      <c r="F94" s="113">
        <f>IF(LEFT(D94,4)*1&gt;LEFT('General inputs'!$I$16,4)+'General inputs'!$H$38-1,"",E94/(1+'General inputs'!$H$30)^C94)</f>
        <v>0</v>
      </c>
      <c r="G94" s="113">
        <f>IF(LEFT(D94,4)*1&gt;LEFT('General inputs'!$I$16,4)+'General inputs'!$H$38-1,"",E94/(1+'General inputs'!$H$32)^C94)</f>
        <v>0</v>
      </c>
      <c r="H94" s="113">
        <f>IF(LEFT(D94,4)*1&lt;LEFT('General inputs'!$I$16,4)*1,"",IF(LEFT(D94,4)*1&gt;LEFT('General inputs'!$I$16,4)+'General inputs'!$H$38-1,"",E94/(1+'General inputs'!$H$34)^C94))</f>
        <v>0</v>
      </c>
      <c r="I94" s="91"/>
      <c r="J94" s="151"/>
      <c r="K94" s="151"/>
      <c r="L94" s="113" t="str">
        <f>IF(LEFT(D94,4)*1&gt;LEFT('General inputs'!$I$18,4)*1,"",SUMIF('Post-1996 commissioned assets'!$F$22:$F$2700,$D94,'Post-1996 commissioned assets'!$P$22:$P$2700)*(1+$K$34)*(1+$K$35))</f>
        <v/>
      </c>
      <c r="M94" s="113" t="str">
        <f>IF(L94="","",L94/(1+'General inputs'!$H$32)^C94)</f>
        <v/>
      </c>
      <c r="N94" s="113">
        <f>IF(LEFT(D94,4)*1&lt;LEFT('General inputs'!$I$18,4)*1+1,"",SUMIF('Uncommissioned assets'!$F$22:$F$1511,$D94,'Uncommissioned assets'!$P$22:$P$1511))</f>
        <v>0</v>
      </c>
      <c r="O94" s="113">
        <f>IF(N94="","",N94/(1+'General inputs'!$H$32)^C94)</f>
        <v>0</v>
      </c>
      <c r="P94" s="91"/>
      <c r="Q94" s="119">
        <f>'Reduction amount'!M66</f>
        <v>46633355.504925676</v>
      </c>
      <c r="R94" s="113">
        <f>IF(OR(LEFT(D94,4)*1&lt;LEFT('General inputs'!$I$16,4)*1,LEFT(D94,4)*1&gt;LEFT('General inputs'!$I$16,4)+'General inputs'!$H$38-1),"",Q94/(1+'General inputs'!$H$34)^C94)</f>
        <v>14736709.933663351</v>
      </c>
      <c r="S94" s="91"/>
      <c r="T94" s="119">
        <f>'Reduction amount'!H66</f>
        <v>19629019.611959405</v>
      </c>
      <c r="U94" s="113">
        <f>IF(OR(LEFT(D94,4)*1&lt;LEFT('General inputs'!$I$16,4)*1,LEFT(D94,4)*1&gt;LEFT('General inputs'!$I$16,4)+'General inputs'!$H$38-1),"",T94/(1+'General inputs'!$H$34)^C94)</f>
        <v>6203009.952245038</v>
      </c>
      <c r="V94" s="93"/>
      <c r="W94" s="92"/>
    </row>
    <row r="95" spans="2:23" x14ac:dyDescent="0.25">
      <c r="B95" s="66"/>
      <c r="C95" s="111">
        <f>IF(D95='General inputs'!$I$16,0,IF(D95&lt;'General inputs'!$I$16,C96-1,C94+1))</f>
        <v>29</v>
      </c>
      <c r="D95" s="111" t="str">
        <f t="shared" si="1"/>
        <v>2051-52</v>
      </c>
      <c r="E95" s="113">
        <f>IF(LEFT(D95,4)*1&gt;LEFT('General inputs'!$I$16,4)+'General inputs'!$H$38-1,"",'ET inputs'!D68)</f>
        <v>0</v>
      </c>
      <c r="F95" s="113">
        <f>IF(LEFT(D95,4)*1&gt;LEFT('General inputs'!$I$16,4)+'General inputs'!$H$38-1,"",E95/(1+'General inputs'!$H$30)^C95)</f>
        <v>0</v>
      </c>
      <c r="G95" s="113">
        <f>IF(LEFT(D95,4)*1&gt;LEFT('General inputs'!$I$16,4)+'General inputs'!$H$38-1,"",E95/(1+'General inputs'!$H$32)^C95)</f>
        <v>0</v>
      </c>
      <c r="H95" s="113">
        <f>IF(LEFT(D95,4)*1&lt;LEFT('General inputs'!$I$16,4)*1,"",IF(LEFT(D95,4)*1&gt;LEFT('General inputs'!$I$16,4)+'General inputs'!$H$38-1,"",E95/(1+'General inputs'!$H$34)^C95))</f>
        <v>0</v>
      </c>
      <c r="I95" s="91"/>
      <c r="J95" s="151"/>
      <c r="K95" s="151"/>
      <c r="L95" s="113" t="str">
        <f>IF(LEFT(D95,4)*1&gt;LEFT('General inputs'!$I$18,4)*1,"",SUMIF('Post-1996 commissioned assets'!$F$22:$F$2700,$D95,'Post-1996 commissioned assets'!$P$22:$P$2700)*(1+$K$34)*(1+$K$35))</f>
        <v/>
      </c>
      <c r="M95" s="113" t="str">
        <f>IF(L95="","",L95/(1+'General inputs'!$H$32)^C95)</f>
        <v/>
      </c>
      <c r="N95" s="113">
        <f>IF(LEFT(D95,4)*1&lt;LEFT('General inputs'!$I$18,4)*1+1,"",SUMIF('Uncommissioned assets'!$F$22:$F$1511,$D95,'Uncommissioned assets'!$P$22:$P$1511))</f>
        <v>0</v>
      </c>
      <c r="O95" s="113">
        <f>IF(N95="","",N95/(1+'General inputs'!$H$32)^C95)</f>
        <v>0</v>
      </c>
      <c r="P95" s="91"/>
      <c r="Q95" s="119">
        <f>'Reduction amount'!M67</f>
        <v>46633355.504925676</v>
      </c>
      <c r="R95" s="113">
        <f>IF(OR(LEFT(D95,4)*1&lt;LEFT('General inputs'!$I$16,4)*1,LEFT(D95,4)*1&gt;LEFT('General inputs'!$I$16,4)+'General inputs'!$H$38-1),"",Q95/(1+'General inputs'!$H$34)^C95)</f>
        <v>14142715.8672393</v>
      </c>
      <c r="S95" s="91"/>
      <c r="T95" s="119">
        <f>'Reduction amount'!H67</f>
        <v>19628038.540766511</v>
      </c>
      <c r="U95" s="113">
        <f>IF(OR(LEFT(D95,4)*1&lt;LEFT('General inputs'!$I$16,4)*1,LEFT(D95,4)*1&gt;LEFT('General inputs'!$I$16,4)+'General inputs'!$H$38-1),"",T95/(1+'General inputs'!$H$34)^C95)</f>
        <v>5952687.065033569</v>
      </c>
      <c r="V95" s="93"/>
      <c r="W95" s="92"/>
    </row>
    <row r="96" spans="2:23" x14ac:dyDescent="0.25">
      <c r="B96" s="66"/>
      <c r="C96" s="111">
        <f>IF(D96='General inputs'!$I$16,0,IF(D96&lt;'General inputs'!$I$16,C97-1,C95+1))</f>
        <v>30</v>
      </c>
      <c r="D96" s="111" t="str">
        <f t="shared" si="1"/>
        <v>2052-53</v>
      </c>
      <c r="E96" s="113" t="str">
        <f>IF(LEFT(D96,4)*1&gt;LEFT('General inputs'!$I$16,4)+'General inputs'!$H$38-1,"",'ET inputs'!D69)</f>
        <v/>
      </c>
      <c r="F96" s="113" t="str">
        <f>IF(LEFT(D96,4)*1&gt;LEFT('General inputs'!$I$16,4)+'General inputs'!$H$38-1,"",E96/(1+'General inputs'!$H$30)^C96)</f>
        <v/>
      </c>
      <c r="G96" s="113" t="str">
        <f>IF(LEFT(D96,4)*1&gt;LEFT('General inputs'!$I$16,4)+'General inputs'!$H$38-1,"",E96/(1+'General inputs'!$H$32)^C96)</f>
        <v/>
      </c>
      <c r="H96" s="113" t="str">
        <f>IF(LEFT(D96,4)*1&lt;LEFT('General inputs'!$I$16,4)*1,"",IF(LEFT(D96,4)*1&gt;LEFT('General inputs'!$I$16,4)+'General inputs'!$H$38-1,"",E96/(1+'General inputs'!$H$34)^C96))</f>
        <v/>
      </c>
      <c r="I96" s="91"/>
      <c r="J96" s="151"/>
      <c r="K96" s="151"/>
      <c r="L96" s="113" t="str">
        <f>IF(LEFT(D96,4)*1&gt;LEFT('General inputs'!$I$18,4)*1,"",SUMIF('Post-1996 commissioned assets'!$F$22:$F$2700,$D96,'Post-1996 commissioned assets'!$P$22:$P$2700)*(1+$K$34)*(1+$K$35))</f>
        <v/>
      </c>
      <c r="M96" s="113" t="str">
        <f>IF(L96="","",L96/(1+'General inputs'!$H$32)^C96)</f>
        <v/>
      </c>
      <c r="N96" s="113">
        <f>IF(LEFT(D96,4)*1&lt;LEFT('General inputs'!$I$18,4)*1+1,"",SUMIF('Uncommissioned assets'!$F$22:$F$1511,$D96,'Uncommissioned assets'!$P$22:$P$1511))</f>
        <v>0</v>
      </c>
      <c r="O96" s="113">
        <f>IF(N96="","",N96/(1+'General inputs'!$H$32)^C96)</f>
        <v>0</v>
      </c>
      <c r="P96" s="91"/>
      <c r="Q96" s="120"/>
      <c r="R96" s="113" t="str">
        <f>IF(OR(LEFT(D96,4)*1&lt;LEFT('General inputs'!$I$16,4)*1,LEFT(D96,4)*1&gt;LEFT('General inputs'!$I$16,4)+'General inputs'!$H$38-1),"",Q96/(1+'General inputs'!$H$34)^C96)</f>
        <v/>
      </c>
      <c r="S96" s="91"/>
      <c r="T96" s="120"/>
      <c r="U96" s="113" t="str">
        <f>IF(OR(LEFT(D96,4)*1&lt;LEFT('General inputs'!$I$16,4)*1,LEFT(D96,4)*1&gt;LEFT('General inputs'!$I$16,4)+'General inputs'!$H$38-1),"",T96/(1+'General inputs'!$H$34)^C96)</f>
        <v/>
      </c>
      <c r="V96" s="93"/>
      <c r="W96" s="92"/>
    </row>
    <row r="97" spans="2:23" x14ac:dyDescent="0.25">
      <c r="B97" s="66"/>
      <c r="C97" s="111">
        <f>IF(D97='General inputs'!$I$16,0,IF(D97&lt;'General inputs'!$I$16,C98-1,C96+1))</f>
        <v>31</v>
      </c>
      <c r="D97" s="111" t="str">
        <f t="shared" si="1"/>
        <v>2053-54</v>
      </c>
      <c r="E97" s="113" t="str">
        <f>IF(LEFT(D97,4)*1&gt;LEFT('General inputs'!$I$16,4)+'General inputs'!$H$38-1,"",'ET inputs'!D70)</f>
        <v/>
      </c>
      <c r="F97" s="113" t="str">
        <f>IF(LEFT(D97,4)*1&gt;LEFT('General inputs'!$I$16,4)+'General inputs'!$H$38-1,"",E97/(1+'General inputs'!$H$30)^C97)</f>
        <v/>
      </c>
      <c r="G97" s="113" t="str">
        <f>IF(LEFT(D97,4)*1&gt;LEFT('General inputs'!$I$16,4)+'General inputs'!$H$38-1,"",E97/(1+'General inputs'!$H$32)^C97)</f>
        <v/>
      </c>
      <c r="H97" s="113" t="str">
        <f>IF(LEFT(D97,4)*1&lt;LEFT('General inputs'!$I$16,4)*1,"",IF(LEFT(D97,4)*1&gt;LEFT('General inputs'!$I$16,4)+'General inputs'!$H$38-1,"",E97/(1+'General inputs'!$H$34)^C97))</f>
        <v/>
      </c>
      <c r="I97" s="91"/>
      <c r="J97" s="151"/>
      <c r="K97" s="151"/>
      <c r="L97" s="113" t="str">
        <f>IF(LEFT(D97,4)*1&gt;LEFT('General inputs'!$I$18,4)*1,"",SUMIF('Post-1996 commissioned assets'!$F$22:$F$2700,$D97,'Post-1996 commissioned assets'!$P$22:$P$2700)*(1+$K$34)*(1+$K$35))</f>
        <v/>
      </c>
      <c r="M97" s="113" t="str">
        <f>IF(L97="","",L97/(1+'General inputs'!$H$32)^C97)</f>
        <v/>
      </c>
      <c r="N97" s="113">
        <f>IF(LEFT(D97,4)*1&lt;LEFT('General inputs'!$I$18,4)*1+1,"",SUMIF('Uncommissioned assets'!$F$22:$F$1511,$D97,'Uncommissioned assets'!$P$22:$P$1511))</f>
        <v>0</v>
      </c>
      <c r="O97" s="113">
        <f>IF(N97="","",N97/(1+'General inputs'!$H$32)^C97)</f>
        <v>0</v>
      </c>
      <c r="P97" s="91"/>
      <c r="Q97" s="120"/>
      <c r="R97" s="113" t="str">
        <f>IF(OR(LEFT(D97,4)*1&lt;LEFT('General inputs'!$I$16,4)*1,LEFT(D97,4)*1&gt;LEFT('General inputs'!$I$16,4)+'General inputs'!$H$38-1),"",Q97/(1+'General inputs'!$H$34)^C97)</f>
        <v/>
      </c>
      <c r="S97" s="91"/>
      <c r="T97" s="120"/>
      <c r="U97" s="113" t="str">
        <f>IF(OR(LEFT(D97,4)*1&lt;LEFT('General inputs'!$I$16,4)*1,LEFT(D97,4)*1&gt;LEFT('General inputs'!$I$16,4)+'General inputs'!$H$38-1),"",T97/(1+'General inputs'!$H$34)^C97)</f>
        <v/>
      </c>
      <c r="V97" s="93"/>
      <c r="W97" s="92"/>
    </row>
    <row r="98" spans="2:23" x14ac:dyDescent="0.25">
      <c r="B98" s="66"/>
      <c r="C98" s="111">
        <f>IF(D98='General inputs'!$I$16,0,IF(D98&lt;'General inputs'!$I$16,C99-1,C97+1))</f>
        <v>32</v>
      </c>
      <c r="D98" s="111" t="str">
        <f t="shared" si="1"/>
        <v>2054-55</v>
      </c>
      <c r="E98" s="113" t="str">
        <f>IF(LEFT(D98,4)*1&gt;LEFT('General inputs'!$I$16,4)+'General inputs'!$H$38-1,"",'ET inputs'!D71)</f>
        <v/>
      </c>
      <c r="F98" s="113" t="str">
        <f>IF(LEFT(D98,4)*1&gt;LEFT('General inputs'!$I$16,4)+'General inputs'!$H$38-1,"",E98/(1+'General inputs'!$H$30)^C98)</f>
        <v/>
      </c>
      <c r="G98" s="113" t="str">
        <f>IF(LEFT(D98,4)*1&gt;LEFT('General inputs'!$I$16,4)+'General inputs'!$H$38-1,"",E98/(1+'General inputs'!$H$32)^C98)</f>
        <v/>
      </c>
      <c r="H98" s="113" t="str">
        <f>IF(LEFT(D98,4)*1&lt;LEFT('General inputs'!$I$16,4)*1,"",IF(LEFT(D98,4)*1&gt;LEFT('General inputs'!$I$16,4)+'General inputs'!$H$38-1,"",E98/(1+'General inputs'!$H$34)^C98))</f>
        <v/>
      </c>
      <c r="I98" s="91"/>
      <c r="J98" s="151"/>
      <c r="K98" s="151"/>
      <c r="L98" s="113" t="str">
        <f>IF(LEFT(D98,4)*1&gt;LEFT('General inputs'!$I$18,4)*1,"",SUMIF('Post-1996 commissioned assets'!$F$22:$F$2700,$D98,'Post-1996 commissioned assets'!$P$22:$P$2700)*(1+$K$34)*(1+$K$35))</f>
        <v/>
      </c>
      <c r="M98" s="113" t="str">
        <f>IF(L98="","",L98/(1+'General inputs'!$H$32)^C98)</f>
        <v/>
      </c>
      <c r="N98" s="113">
        <f>IF(LEFT(D98,4)*1&lt;LEFT('General inputs'!$I$18,4)*1+1,"",SUMIF('Uncommissioned assets'!$F$22:$F$1511,$D98,'Uncommissioned assets'!$P$22:$P$1511))</f>
        <v>0</v>
      </c>
      <c r="O98" s="113">
        <f>IF(N98="","",N98/(1+'General inputs'!$H$32)^C98)</f>
        <v>0</v>
      </c>
      <c r="P98" s="91"/>
      <c r="Q98" s="120"/>
      <c r="R98" s="113" t="str">
        <f>IF(OR(LEFT(D98,4)*1&lt;LEFT('General inputs'!$I$16,4)*1,LEFT(D98,4)*1&gt;LEFT('General inputs'!$I$16,4)+'General inputs'!$H$38-1),"",Q98/(1+'General inputs'!$H$34)^C98)</f>
        <v/>
      </c>
      <c r="S98" s="91"/>
      <c r="T98" s="120"/>
      <c r="U98" s="113" t="str">
        <f>IF(OR(LEFT(D98,4)*1&lt;LEFT('General inputs'!$I$16,4)*1,LEFT(D98,4)*1&gt;LEFT('General inputs'!$I$16,4)+'General inputs'!$H$38-1),"",T98/(1+'General inputs'!$H$34)^C98)</f>
        <v/>
      </c>
      <c r="V98" s="93"/>
      <c r="W98" s="92"/>
    </row>
    <row r="99" spans="2:23" x14ac:dyDescent="0.25">
      <c r="B99" s="66"/>
      <c r="C99" s="111">
        <f>IF(D99='General inputs'!$I$16,0,IF(D99&lt;'General inputs'!$I$16,C100-1,C98+1))</f>
        <v>33</v>
      </c>
      <c r="D99" s="111" t="str">
        <f t="shared" si="1"/>
        <v>2055-56</v>
      </c>
      <c r="E99" s="113" t="str">
        <f>IF(LEFT(D99,4)*1&gt;LEFT('General inputs'!$I$16,4)+'General inputs'!$H$38-1,"",'ET inputs'!D72)</f>
        <v/>
      </c>
      <c r="F99" s="113" t="str">
        <f>IF(LEFT(D99,4)*1&gt;LEFT('General inputs'!$I$16,4)+'General inputs'!$H$38-1,"",E99/(1+'General inputs'!$H$30)^C99)</f>
        <v/>
      </c>
      <c r="G99" s="113" t="str">
        <f>IF(LEFT(D99,4)*1&gt;LEFT('General inputs'!$I$16,4)+'General inputs'!$H$38-1,"",E99/(1+'General inputs'!$H$32)^C99)</f>
        <v/>
      </c>
      <c r="H99" s="113" t="str">
        <f>IF(LEFT(D99,4)*1&lt;LEFT('General inputs'!$I$16,4)*1,"",IF(LEFT(D99,4)*1&gt;LEFT('General inputs'!$I$16,4)+'General inputs'!$H$38-1,"",E99/(1+'General inputs'!$H$34)^C99))</f>
        <v/>
      </c>
      <c r="I99" s="91"/>
      <c r="J99" s="151"/>
      <c r="K99" s="151"/>
      <c r="L99" s="113" t="str">
        <f>IF(LEFT(D99,4)*1&gt;LEFT('General inputs'!$I$18,4)*1,"",SUMIF('Post-1996 commissioned assets'!$F$22:$F$2700,$D99,'Post-1996 commissioned assets'!$P$22:$P$2700)*(1+$K$34)*(1+$K$35))</f>
        <v/>
      </c>
      <c r="M99" s="113" t="str">
        <f>IF(L99="","",L99/(1+'General inputs'!$H$32)^C99)</f>
        <v/>
      </c>
      <c r="N99" s="113">
        <f>IF(LEFT(D99,4)*1&lt;LEFT('General inputs'!$I$18,4)*1+1,"",SUMIF('Uncommissioned assets'!$F$22:$F$1511,$D99,'Uncommissioned assets'!$P$22:$P$1511))</f>
        <v>0</v>
      </c>
      <c r="O99" s="113">
        <f>IF(N99="","",N99/(1+'General inputs'!$H$32)^C99)</f>
        <v>0</v>
      </c>
      <c r="P99" s="91"/>
      <c r="Q99" s="120"/>
      <c r="R99" s="113" t="str">
        <f>IF(OR(LEFT(D99,4)*1&lt;LEFT('General inputs'!$I$16,4)*1,LEFT(D99,4)*1&gt;LEFT('General inputs'!$I$16,4)+'General inputs'!$H$38-1),"",Q99/(1+'General inputs'!$H$34)^C99)</f>
        <v/>
      </c>
      <c r="S99" s="91"/>
      <c r="T99" s="120"/>
      <c r="U99" s="113" t="str">
        <f>IF(OR(LEFT(D99,4)*1&lt;LEFT('General inputs'!$I$16,4)*1,LEFT(D99,4)*1&gt;LEFT('General inputs'!$I$16,4)+'General inputs'!$H$38-1),"",T99/(1+'General inputs'!$H$34)^C99)</f>
        <v/>
      </c>
      <c r="V99" s="93"/>
      <c r="W99" s="92"/>
    </row>
    <row r="100" spans="2:23" x14ac:dyDescent="0.25">
      <c r="B100" s="66"/>
      <c r="C100" s="111">
        <f>IF(D100='General inputs'!$I$16,0,IF(D100&lt;'General inputs'!$I$16,C101-1,C99+1))</f>
        <v>34</v>
      </c>
      <c r="D100" s="111" t="str">
        <f t="shared" ref="D100:D122" si="3">LEFT(D99,4)+1&amp;"-"&amp;RIGHT(D99,2)+1</f>
        <v>2056-57</v>
      </c>
      <c r="E100" s="113" t="str">
        <f>IF(LEFT(D100,4)*1&gt;LEFT('General inputs'!$I$16,4)+'General inputs'!$H$38-1,"",'ET inputs'!D73)</f>
        <v/>
      </c>
      <c r="F100" s="113" t="str">
        <f>IF(LEFT(D100,4)*1&gt;LEFT('General inputs'!$I$16,4)+'General inputs'!$H$38-1,"",E100/(1+'General inputs'!$H$30)^C100)</f>
        <v/>
      </c>
      <c r="G100" s="113" t="str">
        <f>IF(LEFT(D100,4)*1&gt;LEFT('General inputs'!$I$16,4)+'General inputs'!$H$38-1,"",E100/(1+'General inputs'!$H$32)^C100)</f>
        <v/>
      </c>
      <c r="H100" s="113" t="str">
        <f>IF(LEFT(D100,4)*1&lt;LEFT('General inputs'!$I$16,4)*1,"",IF(LEFT(D100,4)*1&gt;LEFT('General inputs'!$I$16,4)+'General inputs'!$H$38-1,"",E100/(1+'General inputs'!$H$34)^C100))</f>
        <v/>
      </c>
      <c r="I100" s="91"/>
      <c r="J100" s="151"/>
      <c r="K100" s="151"/>
      <c r="L100" s="113" t="str">
        <f>IF(LEFT(D100,4)*1&gt;LEFT('General inputs'!$I$18,4)*1,"",SUMIF('Post-1996 commissioned assets'!$F$22:$F$2700,$D100,'Post-1996 commissioned assets'!$P$22:$P$2700)*(1+$K$34)*(1+$K$35))</f>
        <v/>
      </c>
      <c r="M100" s="113" t="str">
        <f>IF(L100="","",L100/(1+'General inputs'!$H$32)^C100)</f>
        <v/>
      </c>
      <c r="N100" s="113">
        <f>IF(LEFT(D100,4)*1&lt;LEFT('General inputs'!$I$18,4)*1+1,"",SUMIF('Uncommissioned assets'!$F$22:$F$1511,$D100,'Uncommissioned assets'!$P$22:$P$1511))</f>
        <v>0</v>
      </c>
      <c r="O100" s="113">
        <f>IF(N100="","",N100/(1+'General inputs'!$H$32)^C100)</f>
        <v>0</v>
      </c>
      <c r="P100" s="91"/>
      <c r="Q100" s="120"/>
      <c r="R100" s="113" t="str">
        <f>IF(OR(LEFT(D100,4)*1&lt;LEFT('General inputs'!$I$16,4)*1,LEFT(D100,4)*1&gt;LEFT('General inputs'!$I$16,4)+'General inputs'!$H$38-1),"",Q100/(1+'General inputs'!$H$34)^C100)</f>
        <v/>
      </c>
      <c r="S100" s="91"/>
      <c r="T100" s="120"/>
      <c r="U100" s="113" t="str">
        <f>IF(OR(LEFT(D100,4)*1&lt;LEFT('General inputs'!$I$16,4)*1,LEFT(D100,4)*1&gt;LEFT('General inputs'!$I$16,4)+'General inputs'!$H$38-1),"",T100/(1+'General inputs'!$H$34)^C100)</f>
        <v/>
      </c>
      <c r="V100" s="93"/>
      <c r="W100" s="92"/>
    </row>
    <row r="101" spans="2:23" x14ac:dyDescent="0.25">
      <c r="B101" s="66"/>
      <c r="C101" s="111">
        <f>IF(D101='General inputs'!$I$16,0,IF(D101&lt;'General inputs'!$I$16,C102-1,C100+1))</f>
        <v>35</v>
      </c>
      <c r="D101" s="111" t="str">
        <f t="shared" si="3"/>
        <v>2057-58</v>
      </c>
      <c r="E101" s="113" t="str">
        <f>IF(LEFT(D101,4)*1&gt;LEFT('General inputs'!$I$16,4)+'General inputs'!$H$38-1,"",'ET inputs'!D74)</f>
        <v/>
      </c>
      <c r="F101" s="113" t="str">
        <f>IF(LEFT(D101,4)*1&gt;LEFT('General inputs'!$I$16,4)+'General inputs'!$H$38-1,"",E101/(1+'General inputs'!$H$30)^C101)</f>
        <v/>
      </c>
      <c r="G101" s="113" t="str">
        <f>IF(LEFT(D101,4)*1&gt;LEFT('General inputs'!$I$16,4)+'General inputs'!$H$38-1,"",E101/(1+'General inputs'!$H$32)^C101)</f>
        <v/>
      </c>
      <c r="H101" s="113" t="str">
        <f>IF(LEFT(D101,4)*1&lt;LEFT('General inputs'!$I$16,4)*1,"",IF(LEFT(D101,4)*1&gt;LEFT('General inputs'!$I$16,4)+'General inputs'!$H$38-1,"",E101/(1+'General inputs'!$H$34)^C101))</f>
        <v/>
      </c>
      <c r="I101" s="91"/>
      <c r="J101" s="151"/>
      <c r="K101" s="151"/>
      <c r="L101" s="113" t="str">
        <f>IF(LEFT(D101,4)*1&gt;LEFT('General inputs'!$I$18,4)*1,"",SUMIF('Post-1996 commissioned assets'!$F$22:$F$2700,$D101,'Post-1996 commissioned assets'!$P$22:$P$2700)*(1+$K$34)*(1+$K$35))</f>
        <v/>
      </c>
      <c r="M101" s="113" t="str">
        <f>IF(L101="","",L101/(1+'General inputs'!$H$32)^C101)</f>
        <v/>
      </c>
      <c r="N101" s="113">
        <f>IF(LEFT(D101,4)*1&lt;LEFT('General inputs'!$I$18,4)*1+1,"",SUMIF('Uncommissioned assets'!$F$22:$F$1511,$D101,'Uncommissioned assets'!$P$22:$P$1511))</f>
        <v>0</v>
      </c>
      <c r="O101" s="113">
        <f>IF(N101="","",N101/(1+'General inputs'!$H$32)^C101)</f>
        <v>0</v>
      </c>
      <c r="P101" s="91"/>
      <c r="Q101" s="120"/>
      <c r="R101" s="113" t="str">
        <f>IF(OR(LEFT(D101,4)*1&lt;LEFT('General inputs'!$I$16,4)*1,LEFT(D101,4)*1&gt;LEFT('General inputs'!$I$16,4)+'General inputs'!$H$38-1),"",Q101/(1+'General inputs'!$H$34)^C101)</f>
        <v/>
      </c>
      <c r="S101" s="91"/>
      <c r="T101" s="120"/>
      <c r="U101" s="113" t="str">
        <f>IF(OR(LEFT(D101,4)*1&lt;LEFT('General inputs'!$I$16,4)*1,LEFT(D101,4)*1&gt;LEFT('General inputs'!$I$16,4)+'General inputs'!$H$38-1),"",T101/(1+'General inputs'!$H$34)^C101)</f>
        <v/>
      </c>
      <c r="V101" s="93"/>
      <c r="W101" s="92"/>
    </row>
    <row r="102" spans="2:23" x14ac:dyDescent="0.25">
      <c r="B102" s="66"/>
      <c r="C102" s="111">
        <f>IF(D102='General inputs'!$I$16,0,IF(D102&lt;'General inputs'!$I$16,C103-1,C101+1))</f>
        <v>36</v>
      </c>
      <c r="D102" s="111" t="str">
        <f t="shared" si="3"/>
        <v>2058-59</v>
      </c>
      <c r="E102" s="113" t="str">
        <f>IF(LEFT(D102,4)*1&gt;LEFT('General inputs'!$I$16,4)+'General inputs'!$H$38-1,"",'ET inputs'!D75)</f>
        <v/>
      </c>
      <c r="F102" s="113" t="str">
        <f>IF(LEFT(D102,4)*1&gt;LEFT('General inputs'!$I$16,4)+'General inputs'!$H$38-1,"",E102/(1+'General inputs'!$H$30)^C102)</f>
        <v/>
      </c>
      <c r="G102" s="113" t="str">
        <f>IF(LEFT(D102,4)*1&gt;LEFT('General inputs'!$I$16,4)+'General inputs'!$H$38-1,"",E102/(1+'General inputs'!$H$32)^C102)</f>
        <v/>
      </c>
      <c r="H102" s="113" t="str">
        <f>IF(LEFT(D102,4)*1&lt;LEFT('General inputs'!$I$16,4)*1,"",IF(LEFT(D102,4)*1&gt;LEFT('General inputs'!$I$16,4)+'General inputs'!$H$38-1,"",E102/(1+'General inputs'!$H$34)^C102))</f>
        <v/>
      </c>
      <c r="I102" s="91"/>
      <c r="J102" s="151"/>
      <c r="K102" s="151"/>
      <c r="L102" s="113" t="str">
        <f>IF(LEFT(D102,4)*1&gt;LEFT('General inputs'!$I$18,4)*1,"",SUMIF('Post-1996 commissioned assets'!$F$22:$F$2700,$D102,'Post-1996 commissioned assets'!$P$22:$P$2700)*(1+$K$34)*(1+$K$35))</f>
        <v/>
      </c>
      <c r="M102" s="113" t="str">
        <f>IF(L102="","",L102/(1+'General inputs'!$H$32)^C102)</f>
        <v/>
      </c>
      <c r="N102" s="113">
        <f>IF(LEFT(D102,4)*1&lt;LEFT('General inputs'!$I$18,4)*1+1,"",SUMIF('Uncommissioned assets'!$F$22:$F$1511,$D102,'Uncommissioned assets'!$P$22:$P$1511))</f>
        <v>0</v>
      </c>
      <c r="O102" s="113">
        <f>IF(N102="","",N102/(1+'General inputs'!$H$32)^C102)</f>
        <v>0</v>
      </c>
      <c r="P102" s="91"/>
      <c r="Q102" s="120"/>
      <c r="R102" s="113" t="str">
        <f>IF(OR(LEFT(D102,4)*1&lt;LEFT('General inputs'!$I$16,4)*1,LEFT(D102,4)*1&gt;LEFT('General inputs'!$I$16,4)+'General inputs'!$H$38-1),"",Q102/(1+'General inputs'!$H$34)^C102)</f>
        <v/>
      </c>
      <c r="S102" s="91"/>
      <c r="T102" s="120"/>
      <c r="U102" s="113" t="str">
        <f>IF(OR(LEFT(D102,4)*1&lt;LEFT('General inputs'!$I$16,4)*1,LEFT(D102,4)*1&gt;LEFT('General inputs'!$I$16,4)+'General inputs'!$H$38-1),"",T102/(1+'General inputs'!$H$34)^C102)</f>
        <v/>
      </c>
      <c r="V102" s="93"/>
      <c r="W102" s="92"/>
    </row>
    <row r="103" spans="2:23" x14ac:dyDescent="0.25">
      <c r="B103" s="66"/>
      <c r="C103" s="111">
        <f>IF(D103='General inputs'!$I$16,0,IF(D103&lt;'General inputs'!$I$16,C104-1,C102+1))</f>
        <v>37</v>
      </c>
      <c r="D103" s="111" t="str">
        <f t="shared" si="3"/>
        <v>2059-60</v>
      </c>
      <c r="E103" s="113" t="str">
        <f>IF(LEFT(D103,4)*1&gt;LEFT('General inputs'!$I$16,4)+'General inputs'!$H$38-1,"",'ET inputs'!D76)</f>
        <v/>
      </c>
      <c r="F103" s="113" t="str">
        <f>IF(LEFT(D103,4)*1&gt;LEFT('General inputs'!$I$16,4)+'General inputs'!$H$38-1,"",E103/(1+'General inputs'!$H$30)^C103)</f>
        <v/>
      </c>
      <c r="G103" s="113" t="str">
        <f>IF(LEFT(D103,4)*1&gt;LEFT('General inputs'!$I$16,4)+'General inputs'!$H$38-1,"",E103/(1+'General inputs'!$H$32)^C103)</f>
        <v/>
      </c>
      <c r="H103" s="113" t="str">
        <f>IF(LEFT(D103,4)*1&lt;LEFT('General inputs'!$I$16,4)*1,"",IF(LEFT(D103,4)*1&gt;LEFT('General inputs'!$I$16,4)+'General inputs'!$H$38-1,"",E103/(1+'General inputs'!$H$34)^C103))</f>
        <v/>
      </c>
      <c r="I103" s="91"/>
      <c r="J103" s="151"/>
      <c r="K103" s="151"/>
      <c r="L103" s="113" t="str">
        <f>IF(LEFT(D103,4)*1&gt;LEFT('General inputs'!$I$18,4)*1,"",SUMIF('Post-1996 commissioned assets'!$F$22:$F$2700,$D103,'Post-1996 commissioned assets'!$P$22:$P$2700)*(1+$K$34)*(1+$K$35))</f>
        <v/>
      </c>
      <c r="M103" s="113" t="str">
        <f>IF(L103="","",L103/(1+'General inputs'!$H$32)^C103)</f>
        <v/>
      </c>
      <c r="N103" s="113">
        <f>IF(LEFT(D103,4)*1&lt;LEFT('General inputs'!$I$18,4)*1+1,"",SUMIF('Uncommissioned assets'!$F$22:$F$1511,$D103,'Uncommissioned assets'!$P$22:$P$1511))</f>
        <v>0</v>
      </c>
      <c r="O103" s="113">
        <f>IF(N103="","",N103/(1+'General inputs'!$H$32)^C103)</f>
        <v>0</v>
      </c>
      <c r="P103" s="91"/>
      <c r="Q103" s="120"/>
      <c r="R103" s="113" t="str">
        <f>IF(OR(LEFT(D103,4)*1&lt;LEFT('General inputs'!$I$16,4)*1,LEFT(D103,4)*1&gt;LEFT('General inputs'!$I$16,4)+'General inputs'!$H$38-1),"",Q103/(1+'General inputs'!$H$34)^C103)</f>
        <v/>
      </c>
      <c r="S103" s="91"/>
      <c r="T103" s="120"/>
      <c r="U103" s="113" t="str">
        <f>IF(OR(LEFT(D103,4)*1&lt;LEFT('General inputs'!$I$16,4)*1,LEFT(D103,4)*1&gt;LEFT('General inputs'!$I$16,4)+'General inputs'!$H$38-1),"",T103/(1+'General inputs'!$H$34)^C103)</f>
        <v/>
      </c>
      <c r="V103" s="93"/>
      <c r="W103" s="92"/>
    </row>
    <row r="104" spans="2:23" x14ac:dyDescent="0.25">
      <c r="B104" s="66"/>
      <c r="C104" s="111">
        <f>IF(D104='General inputs'!$I$16,0,IF(D104&lt;'General inputs'!$I$16,C105-1,C103+1))</f>
        <v>38</v>
      </c>
      <c r="D104" s="111" t="str">
        <f t="shared" si="3"/>
        <v>2060-61</v>
      </c>
      <c r="E104" s="113" t="str">
        <f>IF(LEFT(D104,4)*1&gt;LEFT('General inputs'!$I$16,4)+'General inputs'!$H$38-1,"",'ET inputs'!D77)</f>
        <v/>
      </c>
      <c r="F104" s="113" t="str">
        <f>IF(LEFT(D104,4)*1&gt;LEFT('General inputs'!$I$16,4)+'General inputs'!$H$38-1,"",E104/(1+'General inputs'!$H$30)^C104)</f>
        <v/>
      </c>
      <c r="G104" s="113" t="str">
        <f>IF(LEFT(D104,4)*1&gt;LEFT('General inputs'!$I$16,4)+'General inputs'!$H$38-1,"",E104/(1+'General inputs'!$H$32)^C104)</f>
        <v/>
      </c>
      <c r="H104" s="113" t="str">
        <f>IF(LEFT(D104,4)*1&lt;LEFT('General inputs'!$I$16,4)*1,"",IF(LEFT(D104,4)*1&gt;LEFT('General inputs'!$I$16,4)+'General inputs'!$H$38-1,"",E104/(1+'General inputs'!$H$34)^C104))</f>
        <v/>
      </c>
      <c r="I104" s="91"/>
      <c r="J104" s="151"/>
      <c r="K104" s="151"/>
      <c r="L104" s="113" t="str">
        <f>IF(LEFT(D104,4)*1&gt;LEFT('General inputs'!$I$18,4)*1,"",SUMIF('Post-1996 commissioned assets'!$F$22:$F$2700,$D104,'Post-1996 commissioned assets'!$P$22:$P$2700)*(1+$K$34)*(1+$K$35))</f>
        <v/>
      </c>
      <c r="M104" s="113" t="str">
        <f>IF(L104="","",L104/(1+'General inputs'!$H$32)^C104)</f>
        <v/>
      </c>
      <c r="N104" s="113">
        <f>IF(LEFT(D104,4)*1&lt;LEFT('General inputs'!$I$18,4)*1+1,"",SUMIF('Uncommissioned assets'!$F$22:$F$1511,$D104,'Uncommissioned assets'!$P$22:$P$1511))</f>
        <v>0</v>
      </c>
      <c r="O104" s="113">
        <f>IF(N104="","",N104/(1+'General inputs'!$H$32)^C104)</f>
        <v>0</v>
      </c>
      <c r="P104" s="91"/>
      <c r="Q104" s="120"/>
      <c r="R104" s="113" t="str">
        <f>IF(OR(LEFT(D104,4)*1&lt;LEFT('General inputs'!$I$16,4)*1,LEFT(D104,4)*1&gt;LEFT('General inputs'!$I$16,4)+'General inputs'!$H$38-1),"",Q104/(1+'General inputs'!$H$34)^C104)</f>
        <v/>
      </c>
      <c r="S104" s="91"/>
      <c r="T104" s="120"/>
      <c r="U104" s="113" t="str">
        <f>IF(OR(LEFT(D104,4)*1&lt;LEFT('General inputs'!$I$16,4)*1,LEFT(D104,4)*1&gt;LEFT('General inputs'!$I$16,4)+'General inputs'!$H$38-1),"",T104/(1+'General inputs'!$H$34)^C104)</f>
        <v/>
      </c>
      <c r="V104" s="93"/>
      <c r="W104" s="92"/>
    </row>
    <row r="105" spans="2:23" x14ac:dyDescent="0.25">
      <c r="B105" s="66"/>
      <c r="C105" s="111">
        <f>IF(D105='General inputs'!$I$16,0,IF(D105&lt;'General inputs'!$I$16,C106-1,C104+1))</f>
        <v>39</v>
      </c>
      <c r="D105" s="111" t="str">
        <f t="shared" si="3"/>
        <v>2061-62</v>
      </c>
      <c r="E105" s="113" t="str">
        <f>IF(LEFT(D105,4)*1&gt;LEFT('General inputs'!$I$16,4)+'General inputs'!$H$38-1,"",'ET inputs'!D78)</f>
        <v/>
      </c>
      <c r="F105" s="113" t="str">
        <f>IF(LEFT(D105,4)*1&gt;LEFT('General inputs'!$I$16,4)+'General inputs'!$H$38-1,"",E105/(1+'General inputs'!$H$30)^C105)</f>
        <v/>
      </c>
      <c r="G105" s="113" t="str">
        <f>IF(LEFT(D105,4)*1&gt;LEFT('General inputs'!$I$16,4)+'General inputs'!$H$38-1,"",E105/(1+'General inputs'!$H$32)^C105)</f>
        <v/>
      </c>
      <c r="H105" s="113" t="str">
        <f>IF(LEFT(D105,4)*1&lt;LEFT('General inputs'!$I$16,4)*1,"",IF(LEFT(D105,4)*1&gt;LEFT('General inputs'!$I$16,4)+'General inputs'!$H$38-1,"",E105/(1+'General inputs'!$H$34)^C105))</f>
        <v/>
      </c>
      <c r="I105" s="91"/>
      <c r="J105" s="151"/>
      <c r="K105" s="151"/>
      <c r="L105" s="113" t="str">
        <f>IF(LEFT(D105,4)*1&gt;LEFT('General inputs'!$I$18,4)*1,"",SUMIF('Post-1996 commissioned assets'!$F$22:$F$2700,$D105,'Post-1996 commissioned assets'!$P$22:$P$2700)*(1+$K$34)*(1+$K$35))</f>
        <v/>
      </c>
      <c r="M105" s="113" t="str">
        <f>IF(L105="","",L105/(1+'General inputs'!$H$32)^C105)</f>
        <v/>
      </c>
      <c r="N105" s="113">
        <f>IF(LEFT(D105,4)*1&lt;LEFT('General inputs'!$I$18,4)*1+1,"",SUMIF('Uncommissioned assets'!$F$22:$F$1511,$D105,'Uncommissioned assets'!$P$22:$P$1511))</f>
        <v>0</v>
      </c>
      <c r="O105" s="113">
        <f>IF(N105="","",N105/(1+'General inputs'!$H$32)^C105)</f>
        <v>0</v>
      </c>
      <c r="P105" s="91"/>
      <c r="Q105" s="120"/>
      <c r="R105" s="113" t="str">
        <f>IF(OR(LEFT(D105,4)*1&lt;LEFT('General inputs'!$I$16,4)*1,LEFT(D105,4)*1&gt;LEFT('General inputs'!$I$16,4)+'General inputs'!$H$38-1),"",Q105/(1+'General inputs'!$H$34)^C105)</f>
        <v/>
      </c>
      <c r="S105" s="91"/>
      <c r="T105" s="120"/>
      <c r="U105" s="113" t="str">
        <f>IF(OR(LEFT(D105,4)*1&lt;LEFT('General inputs'!$I$16,4)*1,LEFT(D105,4)*1&gt;LEFT('General inputs'!$I$16,4)+'General inputs'!$H$38-1),"",T105/(1+'General inputs'!$H$34)^C105)</f>
        <v/>
      </c>
      <c r="V105" s="93"/>
      <c r="W105" s="92"/>
    </row>
    <row r="106" spans="2:23" x14ac:dyDescent="0.25">
      <c r="B106" s="66"/>
      <c r="C106" s="111">
        <f>IF(D106='General inputs'!$I$16,0,IF(D106&lt;'General inputs'!$I$16,C107-1,C105+1))</f>
        <v>40</v>
      </c>
      <c r="D106" s="111" t="str">
        <f t="shared" si="3"/>
        <v>2062-63</v>
      </c>
      <c r="E106" s="113" t="str">
        <f>IF(LEFT(D106,4)*1&gt;LEFT('General inputs'!$I$16,4)+'General inputs'!$H$38-1,"",'ET inputs'!D79)</f>
        <v/>
      </c>
      <c r="F106" s="113" t="str">
        <f>IF(LEFT(D106,4)*1&gt;LEFT('General inputs'!$I$16,4)+'General inputs'!$H$38-1,"",E106/(1+'General inputs'!$H$30)^C106)</f>
        <v/>
      </c>
      <c r="G106" s="113" t="str">
        <f>IF(LEFT(D106,4)*1&gt;LEFT('General inputs'!$I$16,4)+'General inputs'!$H$38-1,"",E106/(1+'General inputs'!$H$32)^C106)</f>
        <v/>
      </c>
      <c r="H106" s="113" t="str">
        <f>IF(LEFT(D106,4)*1&lt;LEFT('General inputs'!$I$16,4)*1,"",IF(LEFT(D106,4)*1&gt;LEFT('General inputs'!$I$16,4)+'General inputs'!$H$38-1,"",E106/(1+'General inputs'!$H$34)^C106))</f>
        <v/>
      </c>
      <c r="I106" s="91"/>
      <c r="J106" s="151"/>
      <c r="K106" s="151"/>
      <c r="L106" s="113" t="str">
        <f>IF(LEFT(D106,4)*1&gt;LEFT('General inputs'!$I$18,4)*1,"",SUMIF('Post-1996 commissioned assets'!$F$22:$F$2700,$D106,'Post-1996 commissioned assets'!$P$22:$P$2700)*(1+$K$34)*(1+$K$35))</f>
        <v/>
      </c>
      <c r="M106" s="113" t="str">
        <f>IF(L106="","",L106/(1+'General inputs'!$H$32)^C106)</f>
        <v/>
      </c>
      <c r="N106" s="113">
        <f>IF(LEFT(D106,4)*1&lt;LEFT('General inputs'!$I$18,4)*1+1,"",SUMIF('Uncommissioned assets'!$F$22:$F$1511,$D106,'Uncommissioned assets'!$P$22:$P$1511))</f>
        <v>0</v>
      </c>
      <c r="O106" s="113">
        <f>IF(N106="","",N106/(1+'General inputs'!$H$32)^C106)</f>
        <v>0</v>
      </c>
      <c r="P106" s="91"/>
      <c r="Q106" s="120"/>
      <c r="R106" s="113" t="str">
        <f>IF(OR(LEFT(D106,4)*1&lt;LEFT('General inputs'!$I$16,4)*1,LEFT(D106,4)*1&gt;LEFT('General inputs'!$I$16,4)+'General inputs'!$H$38-1),"",Q106/(1+'General inputs'!$H$34)^C106)</f>
        <v/>
      </c>
      <c r="S106" s="91"/>
      <c r="T106" s="120"/>
      <c r="U106" s="113" t="str">
        <f>IF(OR(LEFT(D106,4)*1&lt;LEFT('General inputs'!$I$16,4)*1,LEFT(D106,4)*1&gt;LEFT('General inputs'!$I$16,4)+'General inputs'!$H$38-1),"",T106/(1+'General inputs'!$H$34)^C106)</f>
        <v/>
      </c>
      <c r="V106" s="93"/>
      <c r="W106" s="92"/>
    </row>
    <row r="107" spans="2:23" x14ac:dyDescent="0.25">
      <c r="B107" s="66"/>
      <c r="C107" s="111">
        <f>IF(D107='General inputs'!$I$16,0,IF(D107&lt;'General inputs'!$I$16,C108-1,C106+1))</f>
        <v>41</v>
      </c>
      <c r="D107" s="111" t="str">
        <f t="shared" si="3"/>
        <v>2063-64</v>
      </c>
      <c r="E107" s="113" t="str">
        <f>IF(LEFT(D107,4)*1&gt;LEFT('General inputs'!$I$16,4)+'General inputs'!$H$38-1,"",'ET inputs'!D80)</f>
        <v/>
      </c>
      <c r="F107" s="113" t="str">
        <f>IF(LEFT(D107,4)*1&gt;LEFT('General inputs'!$I$16,4)+'General inputs'!$H$38-1,"",E107/(1+'General inputs'!$H$30)^C107)</f>
        <v/>
      </c>
      <c r="G107" s="113" t="str">
        <f>IF(LEFT(D107,4)*1&gt;LEFT('General inputs'!$I$16,4)+'General inputs'!$H$38-1,"",E107/(1+'General inputs'!$H$32)^C107)</f>
        <v/>
      </c>
      <c r="H107" s="113" t="str">
        <f>IF(LEFT(D107,4)*1&lt;LEFT('General inputs'!$I$16,4)*1,"",IF(LEFT(D107,4)*1&gt;LEFT('General inputs'!$I$16,4)+'General inputs'!$H$38-1,"",E107/(1+'General inputs'!$H$34)^C107))</f>
        <v/>
      </c>
      <c r="I107" s="91"/>
      <c r="J107" s="151"/>
      <c r="K107" s="151"/>
      <c r="L107" s="113" t="str">
        <f>IF(LEFT(D107,4)*1&gt;LEFT('General inputs'!$I$18,4)*1,"",SUMIF('Post-1996 commissioned assets'!$F$22:$F$2700,$D107,'Post-1996 commissioned assets'!$P$22:$P$2700)*(1+$K$34)*(1+$K$35))</f>
        <v/>
      </c>
      <c r="M107" s="113" t="str">
        <f>IF(L107="","",L107/(1+'General inputs'!$H$32)^C107)</f>
        <v/>
      </c>
      <c r="N107" s="113">
        <f>IF(LEFT(D107,4)*1&lt;LEFT('General inputs'!$I$18,4)*1+1,"",SUMIF('Uncommissioned assets'!$F$22:$F$1511,$D107,'Uncommissioned assets'!$P$22:$P$1511))</f>
        <v>0</v>
      </c>
      <c r="O107" s="113">
        <f>IF(N107="","",N107/(1+'General inputs'!$H$32)^C107)</f>
        <v>0</v>
      </c>
      <c r="P107" s="91"/>
      <c r="Q107" s="120"/>
      <c r="R107" s="113" t="str">
        <f>IF(OR(LEFT(D107,4)*1&lt;LEFT('General inputs'!$I$16,4)*1,LEFT(D107,4)*1&gt;LEFT('General inputs'!$I$16,4)+'General inputs'!$H$38-1),"",Q107/(1+'General inputs'!$H$34)^C107)</f>
        <v/>
      </c>
      <c r="S107" s="91"/>
      <c r="T107" s="120"/>
      <c r="U107" s="113" t="str">
        <f>IF(OR(LEFT(D107,4)*1&lt;LEFT('General inputs'!$I$16,4)*1,LEFT(D107,4)*1&gt;LEFT('General inputs'!$I$16,4)+'General inputs'!$H$38-1),"",T107/(1+'General inputs'!$H$34)^C107)</f>
        <v/>
      </c>
      <c r="V107" s="93"/>
      <c r="W107" s="92"/>
    </row>
    <row r="108" spans="2:23" x14ac:dyDescent="0.25">
      <c r="B108" s="66"/>
      <c r="C108" s="111">
        <f>IF(D108='General inputs'!$I$16,0,IF(D108&lt;'General inputs'!$I$16,C109-1,C107+1))</f>
        <v>42</v>
      </c>
      <c r="D108" s="111" t="str">
        <f t="shared" si="3"/>
        <v>2064-65</v>
      </c>
      <c r="E108" s="113" t="str">
        <f>IF(LEFT(D108,4)*1&gt;LEFT('General inputs'!$I$16,4)+'General inputs'!$H$38-1,"",'ET inputs'!D81)</f>
        <v/>
      </c>
      <c r="F108" s="113" t="str">
        <f>IF(LEFT(D108,4)*1&gt;LEFT('General inputs'!$I$16,4)+'General inputs'!$H$38-1,"",E108/(1+'General inputs'!$H$30)^C108)</f>
        <v/>
      </c>
      <c r="G108" s="113" t="str">
        <f>IF(LEFT(D108,4)*1&gt;LEFT('General inputs'!$I$16,4)+'General inputs'!$H$38-1,"",E108/(1+'General inputs'!$H$32)^C108)</f>
        <v/>
      </c>
      <c r="H108" s="113" t="str">
        <f>IF(LEFT(D108,4)*1&lt;LEFT('General inputs'!$I$16,4)*1,"",IF(LEFT(D108,4)*1&gt;LEFT('General inputs'!$I$16,4)+'General inputs'!$H$38-1,"",E108/(1+'General inputs'!$H$34)^C108))</f>
        <v/>
      </c>
      <c r="I108" s="91"/>
      <c r="J108" s="151"/>
      <c r="K108" s="151"/>
      <c r="L108" s="113" t="str">
        <f>IF(LEFT(D108,4)*1&gt;LEFT('General inputs'!$I$18,4)*1,"",SUMIF('Post-1996 commissioned assets'!$F$22:$F$2700,$D108,'Post-1996 commissioned assets'!$P$22:$P$2700)*(1+$K$34)*(1+$K$35))</f>
        <v/>
      </c>
      <c r="M108" s="113" t="str">
        <f>IF(L108="","",L108/(1+'General inputs'!$H$32)^C108)</f>
        <v/>
      </c>
      <c r="N108" s="113">
        <f>IF(LEFT(D108,4)*1&lt;LEFT('General inputs'!$I$18,4)*1+1,"",SUMIF('Uncommissioned assets'!$F$22:$F$1511,$D108,'Uncommissioned assets'!$P$22:$P$1511))</f>
        <v>0</v>
      </c>
      <c r="O108" s="113">
        <f>IF(N108="","",N108/(1+'General inputs'!$H$32)^C108)</f>
        <v>0</v>
      </c>
      <c r="P108" s="91"/>
      <c r="Q108" s="120"/>
      <c r="R108" s="113" t="str">
        <f>IF(OR(LEFT(D108,4)*1&lt;LEFT('General inputs'!$I$16,4)*1,LEFT(D108,4)*1&gt;LEFT('General inputs'!$I$16,4)+'General inputs'!$H$38-1),"",Q108/(1+'General inputs'!$H$34)^C108)</f>
        <v/>
      </c>
      <c r="S108" s="91"/>
      <c r="T108" s="120"/>
      <c r="U108" s="113" t="str">
        <f>IF(OR(LEFT(D108,4)*1&lt;LEFT('General inputs'!$I$16,4)*1,LEFT(D108,4)*1&gt;LEFT('General inputs'!$I$16,4)+'General inputs'!$H$38-1),"",T108/(1+'General inputs'!$H$34)^C108)</f>
        <v/>
      </c>
      <c r="V108" s="93"/>
      <c r="W108" s="92"/>
    </row>
    <row r="109" spans="2:23" x14ac:dyDescent="0.25">
      <c r="B109" s="66"/>
      <c r="C109" s="111">
        <f>IF(D109='General inputs'!$I$16,0,IF(D109&lt;'General inputs'!$I$16,C110-1,C108+1))</f>
        <v>43</v>
      </c>
      <c r="D109" s="111" t="str">
        <f t="shared" si="3"/>
        <v>2065-66</v>
      </c>
      <c r="E109" s="113" t="str">
        <f>IF(LEFT(D109,4)*1&gt;LEFT('General inputs'!$I$16,4)+'General inputs'!$H$38-1,"",'ET inputs'!D82)</f>
        <v/>
      </c>
      <c r="F109" s="113" t="str">
        <f>IF(LEFT(D109,4)*1&gt;LEFT('General inputs'!$I$16,4)+'General inputs'!$H$38-1,"",E109/(1+'General inputs'!$H$30)^C109)</f>
        <v/>
      </c>
      <c r="G109" s="113" t="str">
        <f>IF(LEFT(D109,4)*1&gt;LEFT('General inputs'!$I$16,4)+'General inputs'!$H$38-1,"",E109/(1+'General inputs'!$H$32)^C109)</f>
        <v/>
      </c>
      <c r="H109" s="113" t="str">
        <f>IF(LEFT(D109,4)*1&lt;LEFT('General inputs'!$I$16,4)*1,"",IF(LEFT(D109,4)*1&gt;LEFT('General inputs'!$I$16,4)+'General inputs'!$H$38-1,"",E109/(1+'General inputs'!$H$34)^C109))</f>
        <v/>
      </c>
      <c r="I109" s="91"/>
      <c r="J109" s="151"/>
      <c r="K109" s="151"/>
      <c r="L109" s="113" t="str">
        <f>IF(LEFT(D109,4)*1&gt;LEFT('General inputs'!$I$18,4)*1,"",SUMIF('Post-1996 commissioned assets'!$F$22:$F$2700,$D109,'Post-1996 commissioned assets'!$P$22:$P$2700)*(1+$K$34)*(1+$K$35))</f>
        <v/>
      </c>
      <c r="M109" s="113" t="str">
        <f>IF(L109="","",L109/(1+'General inputs'!$H$32)^C109)</f>
        <v/>
      </c>
      <c r="N109" s="113">
        <f>IF(LEFT(D109,4)*1&lt;LEFT('General inputs'!$I$18,4)*1+1,"",SUMIF('Uncommissioned assets'!$F$22:$F$1511,$D109,'Uncommissioned assets'!$P$22:$P$1511))</f>
        <v>0</v>
      </c>
      <c r="O109" s="113">
        <f>IF(N109="","",N109/(1+'General inputs'!$H$32)^C109)</f>
        <v>0</v>
      </c>
      <c r="P109" s="91"/>
      <c r="Q109" s="120"/>
      <c r="R109" s="113" t="str">
        <f>IF(OR(LEFT(D109,4)*1&lt;LEFT('General inputs'!$I$16,4)*1,LEFT(D109,4)*1&gt;LEFT('General inputs'!$I$16,4)+'General inputs'!$H$38-1),"",Q109/(1+'General inputs'!$H$34)^C109)</f>
        <v/>
      </c>
      <c r="S109" s="91"/>
      <c r="T109" s="120"/>
      <c r="U109" s="113" t="str">
        <f>IF(OR(LEFT(D109,4)*1&lt;LEFT('General inputs'!$I$16,4)*1,LEFT(D109,4)*1&gt;LEFT('General inputs'!$I$16,4)+'General inputs'!$H$38-1),"",T109/(1+'General inputs'!$H$34)^C109)</f>
        <v/>
      </c>
      <c r="V109" s="93"/>
      <c r="W109" s="92"/>
    </row>
    <row r="110" spans="2:23" x14ac:dyDescent="0.25">
      <c r="B110" s="66"/>
      <c r="C110" s="111">
        <f>IF(D110='General inputs'!$I$16,0,IF(D110&lt;'General inputs'!$I$16,C111-1,C109+1))</f>
        <v>44</v>
      </c>
      <c r="D110" s="111" t="str">
        <f t="shared" si="3"/>
        <v>2066-67</v>
      </c>
      <c r="E110" s="113" t="str">
        <f>IF(LEFT(D110,4)*1&gt;LEFT('General inputs'!$I$16,4)+'General inputs'!$H$38-1,"",'ET inputs'!D83)</f>
        <v/>
      </c>
      <c r="F110" s="113" t="str">
        <f>IF(LEFT(D110,4)*1&gt;LEFT('General inputs'!$I$16,4)+'General inputs'!$H$38-1,"",E110/(1+'General inputs'!$H$30)^C110)</f>
        <v/>
      </c>
      <c r="G110" s="113" t="str">
        <f>IF(LEFT(D110,4)*1&gt;LEFT('General inputs'!$I$16,4)+'General inputs'!$H$38-1,"",E110/(1+'General inputs'!$H$32)^C110)</f>
        <v/>
      </c>
      <c r="H110" s="113" t="str">
        <f>IF(LEFT(D110,4)*1&lt;LEFT('General inputs'!$I$16,4)*1,"",IF(LEFT(D110,4)*1&gt;LEFT('General inputs'!$I$16,4)+'General inputs'!$H$38-1,"",E110/(1+'General inputs'!$H$34)^C110))</f>
        <v/>
      </c>
      <c r="I110" s="91"/>
      <c r="J110" s="151"/>
      <c r="K110" s="151"/>
      <c r="L110" s="113" t="str">
        <f>IF(LEFT(D110,4)*1&gt;LEFT('General inputs'!$I$18,4)*1,"",SUMIF('Post-1996 commissioned assets'!$F$22:$F$2700,$D110,'Post-1996 commissioned assets'!$P$22:$P$2700)*(1+$K$34)*(1+$K$35))</f>
        <v/>
      </c>
      <c r="M110" s="113" t="str">
        <f>IF(L110="","",L110/(1+'General inputs'!$H$32)^C110)</f>
        <v/>
      </c>
      <c r="N110" s="113">
        <f>IF(LEFT(D110,4)*1&lt;LEFT('General inputs'!$I$18,4)*1+1,"",SUMIF('Uncommissioned assets'!$F$22:$F$1511,$D110,'Uncommissioned assets'!$P$22:$P$1511))</f>
        <v>0</v>
      </c>
      <c r="O110" s="113">
        <f>IF(N110="","",N110/(1+'General inputs'!$H$32)^C110)</f>
        <v>0</v>
      </c>
      <c r="P110" s="91"/>
      <c r="Q110" s="120"/>
      <c r="R110" s="113" t="str">
        <f>IF(OR(LEFT(D110,4)*1&lt;LEFT('General inputs'!$I$16,4)*1,LEFT(D110,4)*1&gt;LEFT('General inputs'!$I$16,4)+'General inputs'!$H$38-1),"",Q110/(1+'General inputs'!$H$34)^C110)</f>
        <v/>
      </c>
      <c r="S110" s="91"/>
      <c r="T110" s="120"/>
      <c r="U110" s="113" t="str">
        <f>IF(OR(LEFT(D110,4)*1&lt;LEFT('General inputs'!$I$16,4)*1,LEFT(D110,4)*1&gt;LEFT('General inputs'!$I$16,4)+'General inputs'!$H$38-1),"",T110/(1+'General inputs'!$H$34)^C110)</f>
        <v/>
      </c>
      <c r="V110" s="93"/>
      <c r="W110" s="92"/>
    </row>
    <row r="111" spans="2:23" x14ac:dyDescent="0.25">
      <c r="B111" s="66"/>
      <c r="C111" s="111">
        <f>IF(D111='General inputs'!$I$16,0,IF(D111&lt;'General inputs'!$I$16,C112-1,C110+1))</f>
        <v>45</v>
      </c>
      <c r="D111" s="111" t="str">
        <f t="shared" si="3"/>
        <v>2067-68</v>
      </c>
      <c r="E111" s="113" t="str">
        <f>IF(LEFT(D111,4)*1&gt;LEFT('General inputs'!$I$16,4)+'General inputs'!$H$38-1,"",'ET inputs'!D84)</f>
        <v/>
      </c>
      <c r="F111" s="113" t="str">
        <f>IF(LEFT(D111,4)*1&gt;LEFT('General inputs'!$I$16,4)+'General inputs'!$H$38-1,"",E111/(1+'General inputs'!$H$30)^C111)</f>
        <v/>
      </c>
      <c r="G111" s="113" t="str">
        <f>IF(LEFT(D111,4)*1&gt;LEFT('General inputs'!$I$16,4)+'General inputs'!$H$38-1,"",E111/(1+'General inputs'!$H$32)^C111)</f>
        <v/>
      </c>
      <c r="H111" s="113" t="str">
        <f>IF(LEFT(D111,4)*1&lt;LEFT('General inputs'!$I$16,4)*1,"",IF(LEFT(D111,4)*1&gt;LEFT('General inputs'!$I$16,4)+'General inputs'!$H$38-1,"",E111/(1+'General inputs'!$H$34)^C111))</f>
        <v/>
      </c>
      <c r="I111" s="91"/>
      <c r="J111" s="151"/>
      <c r="K111" s="151"/>
      <c r="L111" s="113" t="str">
        <f>IF(LEFT(D111,4)*1&gt;LEFT('General inputs'!$I$18,4)*1,"",SUMIF('Post-1996 commissioned assets'!$F$22:$F$2700,$D111,'Post-1996 commissioned assets'!$P$22:$P$2700)*(1+$K$34)*(1+$K$35))</f>
        <v/>
      </c>
      <c r="M111" s="113" t="str">
        <f>IF(L111="","",L111/(1+'General inputs'!$H$32)^C111)</f>
        <v/>
      </c>
      <c r="N111" s="113">
        <f>IF(LEFT(D111,4)*1&lt;LEFT('General inputs'!$I$18,4)*1+1,"",SUMIF('Uncommissioned assets'!$F$22:$F$1511,$D111,'Uncommissioned assets'!$P$22:$P$1511))</f>
        <v>0</v>
      </c>
      <c r="O111" s="113">
        <f>IF(N111="","",N111/(1+'General inputs'!$H$32)^C111)</f>
        <v>0</v>
      </c>
      <c r="P111" s="91"/>
      <c r="Q111" s="120"/>
      <c r="R111" s="113" t="str">
        <f>IF(OR(LEFT(D111,4)*1&lt;LEFT('General inputs'!$I$16,4)*1,LEFT(D111,4)*1&gt;LEFT('General inputs'!$I$16,4)+'General inputs'!$H$38-1),"",Q111/(1+'General inputs'!$H$34)^C111)</f>
        <v/>
      </c>
      <c r="S111" s="91"/>
      <c r="T111" s="120"/>
      <c r="U111" s="113" t="str">
        <f>IF(OR(LEFT(D111,4)*1&lt;LEFT('General inputs'!$I$16,4)*1,LEFT(D111,4)*1&gt;LEFT('General inputs'!$I$16,4)+'General inputs'!$H$38-1),"",T111/(1+'General inputs'!$H$34)^C111)</f>
        <v/>
      </c>
      <c r="V111" s="93"/>
      <c r="W111" s="92"/>
    </row>
    <row r="112" spans="2:23" x14ac:dyDescent="0.25">
      <c r="B112" s="66"/>
      <c r="C112" s="111">
        <f>IF(D112='General inputs'!$I$16,0,IF(D112&lt;'General inputs'!$I$16,C113-1,C111+1))</f>
        <v>46</v>
      </c>
      <c r="D112" s="111" t="str">
        <f t="shared" si="3"/>
        <v>2068-69</v>
      </c>
      <c r="E112" s="113" t="str">
        <f>IF(LEFT(D112,4)*1&gt;LEFT('General inputs'!$I$16,4)+'General inputs'!$H$38-1,"",'ET inputs'!D85)</f>
        <v/>
      </c>
      <c r="F112" s="113" t="str">
        <f>IF(LEFT(D112,4)*1&gt;LEFT('General inputs'!$I$16,4)+'General inputs'!$H$38-1,"",E112/(1+'General inputs'!$H$30)^C112)</f>
        <v/>
      </c>
      <c r="G112" s="113" t="str">
        <f>IF(LEFT(D112,4)*1&gt;LEFT('General inputs'!$I$16,4)+'General inputs'!$H$38-1,"",E112/(1+'General inputs'!$H$32)^C112)</f>
        <v/>
      </c>
      <c r="H112" s="113" t="str">
        <f>IF(LEFT(D112,4)*1&lt;LEFT('General inputs'!$I$16,4)*1,"",IF(LEFT(D112,4)*1&gt;LEFT('General inputs'!$I$16,4)+'General inputs'!$H$38-1,"",E112/(1+'General inputs'!$H$34)^C112))</f>
        <v/>
      </c>
      <c r="I112" s="91"/>
      <c r="J112" s="151"/>
      <c r="K112" s="151"/>
      <c r="L112" s="113" t="str">
        <f>IF(LEFT(D112,4)*1&gt;LEFT('General inputs'!$I$18,4)*1,"",SUMIF('Post-1996 commissioned assets'!$F$22:$F$2700,$D112,'Post-1996 commissioned assets'!$P$22:$P$2700)*(1+$K$34)*(1+$K$35))</f>
        <v/>
      </c>
      <c r="M112" s="113" t="str">
        <f>IF(L112="","",L112/(1+'General inputs'!$H$32)^C112)</f>
        <v/>
      </c>
      <c r="N112" s="113">
        <f>IF(LEFT(D112,4)*1&lt;LEFT('General inputs'!$I$18,4)*1+1,"",SUMIF('Uncommissioned assets'!$F$22:$F$1511,$D112,'Uncommissioned assets'!$P$22:$P$1511))</f>
        <v>0</v>
      </c>
      <c r="O112" s="113">
        <f>IF(N112="","",N112/(1+'General inputs'!$H$32)^C112)</f>
        <v>0</v>
      </c>
      <c r="P112" s="91"/>
      <c r="Q112" s="120"/>
      <c r="R112" s="113" t="str">
        <f>IF(OR(LEFT(D112,4)*1&lt;LEFT('General inputs'!$I$16,4)*1,LEFT(D112,4)*1&gt;LEFT('General inputs'!$I$16,4)+'General inputs'!$H$38-1),"",Q112/(1+'General inputs'!$H$34)^C112)</f>
        <v/>
      </c>
      <c r="S112" s="91"/>
      <c r="T112" s="120"/>
      <c r="U112" s="113" t="str">
        <f>IF(OR(LEFT(D112,4)*1&lt;LEFT('General inputs'!$I$16,4)*1,LEFT(D112,4)*1&gt;LEFT('General inputs'!$I$16,4)+'General inputs'!$H$38-1),"",T112/(1+'General inputs'!$H$34)^C112)</f>
        <v/>
      </c>
      <c r="V112" s="93"/>
      <c r="W112" s="92"/>
    </row>
    <row r="113" spans="2:23" x14ac:dyDescent="0.25">
      <c r="B113" s="66"/>
      <c r="C113" s="111">
        <f>IF(D113='General inputs'!$I$16,0,IF(D113&lt;'General inputs'!$I$16,C114-1,C112+1))</f>
        <v>47</v>
      </c>
      <c r="D113" s="111" t="str">
        <f t="shared" si="3"/>
        <v>2069-70</v>
      </c>
      <c r="E113" s="113" t="str">
        <f>IF(LEFT(D113,4)*1&gt;LEFT('General inputs'!$I$16,4)+'General inputs'!$H$38-1,"",'ET inputs'!D86)</f>
        <v/>
      </c>
      <c r="F113" s="113" t="str">
        <f>IF(LEFT(D113,4)*1&gt;LEFT('General inputs'!$I$16,4)+'General inputs'!$H$38-1,"",E113/(1+'General inputs'!$H$30)^C113)</f>
        <v/>
      </c>
      <c r="G113" s="113" t="str">
        <f>IF(LEFT(D113,4)*1&gt;LEFT('General inputs'!$I$16,4)+'General inputs'!$H$38-1,"",E113/(1+'General inputs'!$H$32)^C113)</f>
        <v/>
      </c>
      <c r="H113" s="113" t="str">
        <f>IF(LEFT(D113,4)*1&lt;LEFT('General inputs'!$I$16,4)*1,"",IF(LEFT(D113,4)*1&gt;LEFT('General inputs'!$I$16,4)+'General inputs'!$H$38-1,"",E113/(1+'General inputs'!$H$34)^C113))</f>
        <v/>
      </c>
      <c r="I113" s="91"/>
      <c r="J113" s="151"/>
      <c r="K113" s="151"/>
      <c r="L113" s="113" t="str">
        <f>IF(LEFT(D113,4)*1&gt;LEFT('General inputs'!$I$18,4)*1,"",SUMIF('Post-1996 commissioned assets'!$F$22:$F$2700,$D113,'Post-1996 commissioned assets'!$P$22:$P$2700)*(1+$K$34)*(1+$K$35))</f>
        <v/>
      </c>
      <c r="M113" s="113" t="str">
        <f>IF(L113="","",L113/(1+'General inputs'!$H$32)^C113)</f>
        <v/>
      </c>
      <c r="N113" s="113">
        <f>IF(LEFT(D113,4)*1&lt;LEFT('General inputs'!$I$18,4)*1+1,"",SUMIF('Uncommissioned assets'!$F$22:$F$1511,$D113,'Uncommissioned assets'!$P$22:$P$1511))</f>
        <v>0</v>
      </c>
      <c r="O113" s="113">
        <f>IF(N113="","",N113/(1+'General inputs'!$H$32)^C113)</f>
        <v>0</v>
      </c>
      <c r="P113" s="91"/>
      <c r="Q113" s="120"/>
      <c r="R113" s="113" t="str">
        <f>IF(OR(LEFT(D113,4)*1&lt;LEFT('General inputs'!$I$16,4)*1,LEFT(D113,4)*1&gt;LEFT('General inputs'!$I$16,4)+'General inputs'!$H$38-1),"",Q113/(1+'General inputs'!$H$34)^C113)</f>
        <v/>
      </c>
      <c r="S113" s="91"/>
      <c r="T113" s="120"/>
      <c r="U113" s="113" t="str">
        <f>IF(OR(LEFT(D113,4)*1&lt;LEFT('General inputs'!$I$16,4)*1,LEFT(D113,4)*1&gt;LEFT('General inputs'!$I$16,4)+'General inputs'!$H$38-1),"",T113/(1+'General inputs'!$H$34)^C113)</f>
        <v/>
      </c>
      <c r="V113" s="93"/>
      <c r="W113" s="92"/>
    </row>
    <row r="114" spans="2:23" x14ac:dyDescent="0.25">
      <c r="B114" s="66"/>
      <c r="C114" s="111">
        <f>IF(D114='General inputs'!$I$16,0,IF(D114&lt;'General inputs'!$I$16,C115-1,C113+1))</f>
        <v>48</v>
      </c>
      <c r="D114" s="111" t="str">
        <f t="shared" si="3"/>
        <v>2070-71</v>
      </c>
      <c r="E114" s="113" t="str">
        <f>IF(LEFT(D114,4)*1&gt;LEFT('General inputs'!$I$16,4)+'General inputs'!$H$38-1,"",'ET inputs'!D87)</f>
        <v/>
      </c>
      <c r="F114" s="113" t="str">
        <f>IF(LEFT(D114,4)*1&gt;LEFT('General inputs'!$I$16,4)+'General inputs'!$H$38-1,"",E114/(1+'General inputs'!$H$30)^C114)</f>
        <v/>
      </c>
      <c r="G114" s="113" t="str">
        <f>IF(LEFT(D114,4)*1&gt;LEFT('General inputs'!$I$16,4)+'General inputs'!$H$38-1,"",E114/(1+'General inputs'!$H$32)^C114)</f>
        <v/>
      </c>
      <c r="H114" s="113" t="str">
        <f>IF(LEFT(D114,4)*1&lt;LEFT('General inputs'!$I$16,4)*1,"",IF(LEFT(D114,4)*1&gt;LEFT('General inputs'!$I$16,4)+'General inputs'!$H$38-1,"",E114/(1+'General inputs'!$H$34)^C114))</f>
        <v/>
      </c>
      <c r="I114" s="91"/>
      <c r="J114" s="151"/>
      <c r="K114" s="151"/>
      <c r="L114" s="113" t="str">
        <f>IF(LEFT(D114,4)*1&gt;LEFT('General inputs'!$I$18,4)*1,"",SUMIF('Post-1996 commissioned assets'!$F$22:$F$2700,$D114,'Post-1996 commissioned assets'!$P$22:$P$2700)*(1+$K$34)*(1+$K$35))</f>
        <v/>
      </c>
      <c r="M114" s="113" t="str">
        <f>IF(L114="","",L114/(1+'General inputs'!$H$32)^C114)</f>
        <v/>
      </c>
      <c r="N114" s="113">
        <f>IF(LEFT(D114,4)*1&lt;LEFT('General inputs'!$I$18,4)*1+1,"",SUMIF('Uncommissioned assets'!$F$22:$F$1511,$D114,'Uncommissioned assets'!$P$22:$P$1511))</f>
        <v>0</v>
      </c>
      <c r="O114" s="113">
        <f>IF(N114="","",N114/(1+'General inputs'!$H$32)^C114)</f>
        <v>0</v>
      </c>
      <c r="P114" s="91"/>
      <c r="Q114" s="120"/>
      <c r="R114" s="113" t="str">
        <f>IF(OR(LEFT(D114,4)*1&lt;LEFT('General inputs'!$I$16,4)*1,LEFT(D114,4)*1&gt;LEFT('General inputs'!$I$16,4)+'General inputs'!$H$38-1),"",Q114/(1+'General inputs'!$H$34)^C114)</f>
        <v/>
      </c>
      <c r="S114" s="91"/>
      <c r="T114" s="120"/>
      <c r="U114" s="113" t="str">
        <f>IF(OR(LEFT(D114,4)*1&lt;LEFT('General inputs'!$I$16,4)*1,LEFT(D114,4)*1&gt;LEFT('General inputs'!$I$16,4)+'General inputs'!$H$38-1),"",T114/(1+'General inputs'!$H$34)^C114)</f>
        <v/>
      </c>
      <c r="V114" s="93"/>
      <c r="W114" s="92"/>
    </row>
    <row r="115" spans="2:23" x14ac:dyDescent="0.25">
      <c r="B115" s="66"/>
      <c r="C115" s="111">
        <f>IF(D115='General inputs'!$I$16,0,IF(D115&lt;'General inputs'!$I$16,C116-1,C114+1))</f>
        <v>49</v>
      </c>
      <c r="D115" s="111" t="str">
        <f t="shared" si="3"/>
        <v>2071-72</v>
      </c>
      <c r="E115" s="113" t="str">
        <f>IF(LEFT(D115,4)*1&gt;LEFT('General inputs'!$I$16,4)+'General inputs'!$H$38-1,"",'ET inputs'!D88)</f>
        <v/>
      </c>
      <c r="F115" s="113" t="str">
        <f>IF(LEFT(D115,4)*1&gt;LEFT('General inputs'!$I$16,4)+'General inputs'!$H$38-1,"",E115/(1+'General inputs'!$H$30)^C115)</f>
        <v/>
      </c>
      <c r="G115" s="113" t="str">
        <f>IF(LEFT(D115,4)*1&gt;LEFT('General inputs'!$I$16,4)+'General inputs'!$H$38-1,"",E115/(1+'General inputs'!$H$32)^C115)</f>
        <v/>
      </c>
      <c r="H115" s="113" t="str">
        <f>IF(LEFT(D115,4)*1&lt;LEFT('General inputs'!$I$16,4)*1,"",IF(LEFT(D115,4)*1&gt;LEFT('General inputs'!$I$16,4)+'General inputs'!$H$38-1,"",E115/(1+'General inputs'!$H$34)^C115))</f>
        <v/>
      </c>
      <c r="I115" s="91"/>
      <c r="J115" s="151"/>
      <c r="K115" s="151"/>
      <c r="L115" s="113" t="str">
        <f>IF(LEFT(D115,4)*1&gt;LEFT('General inputs'!$I$18,4)*1,"",SUMIF('Post-1996 commissioned assets'!$F$22:$F$2700,$D115,'Post-1996 commissioned assets'!$P$22:$P$2700)*(1+$K$34)*(1+$K$35))</f>
        <v/>
      </c>
      <c r="M115" s="113" t="str">
        <f>IF(L115="","",L115/(1+'General inputs'!$H$32)^C115)</f>
        <v/>
      </c>
      <c r="N115" s="113">
        <f>IF(LEFT(D115,4)*1&lt;LEFT('General inputs'!$I$18,4)*1+1,"",SUMIF('Uncommissioned assets'!$F$22:$F$1511,$D115,'Uncommissioned assets'!$P$22:$P$1511))</f>
        <v>0</v>
      </c>
      <c r="O115" s="113">
        <f>IF(N115="","",N115/(1+'General inputs'!$H$32)^C115)</f>
        <v>0</v>
      </c>
      <c r="P115" s="91"/>
      <c r="Q115" s="120"/>
      <c r="R115" s="113" t="str">
        <f>IF(OR(LEFT(D115,4)*1&lt;LEFT('General inputs'!$I$16,4)*1,LEFT(D115,4)*1&gt;LEFT('General inputs'!$I$16,4)+'General inputs'!$H$38-1),"",Q115/(1+'General inputs'!$H$34)^C115)</f>
        <v/>
      </c>
      <c r="S115" s="91"/>
      <c r="T115" s="120"/>
      <c r="U115" s="113" t="str">
        <f>IF(OR(LEFT(D115,4)*1&lt;LEFT('General inputs'!$I$16,4)*1,LEFT(D115,4)*1&gt;LEFT('General inputs'!$I$16,4)+'General inputs'!$H$38-1),"",T115/(1+'General inputs'!$H$34)^C115)</f>
        <v/>
      </c>
      <c r="V115" s="93"/>
      <c r="W115" s="92"/>
    </row>
    <row r="116" spans="2:23" x14ac:dyDescent="0.25">
      <c r="B116" s="66"/>
      <c r="C116" s="111">
        <f>IF(D116='General inputs'!$I$16,0,IF(D116&lt;'General inputs'!$I$16,C117-1,C115+1))</f>
        <v>50</v>
      </c>
      <c r="D116" s="111" t="str">
        <f t="shared" si="3"/>
        <v>2072-73</v>
      </c>
      <c r="E116" s="113" t="str">
        <f>IF(LEFT(D116,4)*1&gt;LEFT('General inputs'!$I$16,4)+'General inputs'!$H$38-1,"",'ET inputs'!D89)</f>
        <v/>
      </c>
      <c r="F116" s="113" t="str">
        <f>IF(LEFT(D116,4)*1&gt;LEFT('General inputs'!$I$16,4)+'General inputs'!$H$38-1,"",E116/(1+'General inputs'!$H$30)^C116)</f>
        <v/>
      </c>
      <c r="G116" s="113" t="str">
        <f>IF(LEFT(D116,4)*1&gt;LEFT('General inputs'!$I$16,4)+'General inputs'!$H$38-1,"",E116/(1+'General inputs'!$H$32)^C116)</f>
        <v/>
      </c>
      <c r="H116" s="113" t="str">
        <f>IF(LEFT(D116,4)*1&lt;LEFT('General inputs'!$I$16,4)*1,"",IF(LEFT(D116,4)*1&gt;LEFT('General inputs'!$I$16,4)+'General inputs'!$H$38-1,"",E116/(1+'General inputs'!$H$34)^C116))</f>
        <v/>
      </c>
      <c r="I116" s="91"/>
      <c r="J116" s="151"/>
      <c r="K116" s="151"/>
      <c r="L116" s="113" t="str">
        <f>IF(LEFT(D116,4)*1&gt;LEFT('General inputs'!$I$18,4)*1,"",SUMIF('Post-1996 commissioned assets'!$F$22:$F$2700,$D116,'Post-1996 commissioned assets'!$P$22:$P$2700)*(1+$K$34)*(1+$K$35))</f>
        <v/>
      </c>
      <c r="M116" s="113" t="str">
        <f>IF(L116="","",L116/(1+'General inputs'!$H$32)^C116)</f>
        <v/>
      </c>
      <c r="N116" s="113">
        <f>IF(LEFT(D116,4)*1&lt;LEFT('General inputs'!$I$18,4)*1+1,"",SUMIF('Uncommissioned assets'!$F$22:$F$1511,$D116,'Uncommissioned assets'!$P$22:$P$1511))</f>
        <v>0</v>
      </c>
      <c r="O116" s="113">
        <f>IF(N116="","",N116/(1+'General inputs'!$H$32)^C116)</f>
        <v>0</v>
      </c>
      <c r="P116" s="91"/>
      <c r="Q116" s="120"/>
      <c r="R116" s="113" t="str">
        <f>IF(OR(LEFT(D116,4)*1&lt;LEFT('General inputs'!$I$16,4)*1,LEFT(D116,4)*1&gt;LEFT('General inputs'!$I$16,4)+'General inputs'!$H$38-1),"",Q116/(1+'General inputs'!$H$34)^C116)</f>
        <v/>
      </c>
      <c r="S116" s="91"/>
      <c r="T116" s="120"/>
      <c r="U116" s="113" t="str">
        <f>IF(OR(LEFT(D116,4)*1&lt;LEFT('General inputs'!$I$16,4)*1,LEFT(D116,4)*1&gt;LEFT('General inputs'!$I$16,4)+'General inputs'!$H$38-1),"",T116/(1+'General inputs'!$H$34)^C116)</f>
        <v/>
      </c>
      <c r="V116" s="93"/>
      <c r="W116" s="92"/>
    </row>
    <row r="117" spans="2:23" x14ac:dyDescent="0.25">
      <c r="B117" s="66"/>
      <c r="C117" s="111">
        <f>IF(D117='General inputs'!$I$16,0,IF(D117&lt;'General inputs'!$I$16,C118-1,C116+1))</f>
        <v>51</v>
      </c>
      <c r="D117" s="111" t="str">
        <f t="shared" si="3"/>
        <v>2073-74</v>
      </c>
      <c r="E117" s="113" t="str">
        <f>IF(LEFT(D117,4)*1&gt;LEFT('General inputs'!$I$16,4)+'General inputs'!$H$38-1,"",'ET inputs'!D90)</f>
        <v/>
      </c>
      <c r="F117" s="113" t="str">
        <f>IF(LEFT(D117,4)*1&gt;LEFT('General inputs'!$I$16,4)+'General inputs'!$H$38-1,"",E117/(1+'General inputs'!$H$30)^C117)</f>
        <v/>
      </c>
      <c r="G117" s="113" t="str">
        <f>IF(LEFT(D117,4)*1&gt;LEFT('General inputs'!$I$16,4)+'General inputs'!$H$38-1,"",E117/(1+'General inputs'!$H$32)^C117)</f>
        <v/>
      </c>
      <c r="H117" s="113" t="str">
        <f>IF(LEFT(D117,4)*1&lt;LEFT('General inputs'!$I$16,4)*1,"",IF(LEFT(D117,4)*1&gt;LEFT('General inputs'!$I$16,4)+'General inputs'!$H$38-1,"",E117/(1+'General inputs'!$H$34)^C117))</f>
        <v/>
      </c>
      <c r="I117" s="91"/>
      <c r="J117" s="151"/>
      <c r="K117" s="151"/>
      <c r="L117" s="113" t="str">
        <f>IF(LEFT(D117,4)*1&gt;LEFT('General inputs'!$I$18,4)*1,"",SUMIF('Post-1996 commissioned assets'!$F$22:$F$2700,$D117,'Post-1996 commissioned assets'!$P$22:$P$2700)*(1+$K$34)*(1+$K$35))</f>
        <v/>
      </c>
      <c r="M117" s="113" t="str">
        <f>IF(L117="","",L117/(1+'General inputs'!$H$32)^C117)</f>
        <v/>
      </c>
      <c r="N117" s="113">
        <f>IF(LEFT(D117,4)*1&lt;LEFT('General inputs'!$I$18,4)*1+1,"",SUMIF('Uncommissioned assets'!$F$22:$F$1511,$D117,'Uncommissioned assets'!$P$22:$P$1511))</f>
        <v>0</v>
      </c>
      <c r="O117" s="113">
        <f>IF(N117="","",N117/(1+'General inputs'!$H$32)^C117)</f>
        <v>0</v>
      </c>
      <c r="P117" s="91"/>
      <c r="Q117" s="120"/>
      <c r="R117" s="113" t="str">
        <f>IF(OR(LEFT(D117,4)*1&lt;LEFT('General inputs'!$I$16,4)*1,LEFT(D117,4)*1&gt;LEFT('General inputs'!$I$16,4)+'General inputs'!$H$38-1),"",Q117/(1+'General inputs'!$H$34)^C117)</f>
        <v/>
      </c>
      <c r="S117" s="91"/>
      <c r="T117" s="120"/>
      <c r="U117" s="113" t="str">
        <f>IF(OR(LEFT(D117,4)*1&lt;LEFT('General inputs'!$I$16,4)*1,LEFT(D117,4)*1&gt;LEFT('General inputs'!$I$16,4)+'General inputs'!$H$38-1),"",T117/(1+'General inputs'!$H$34)^C117)</f>
        <v/>
      </c>
      <c r="V117" s="93"/>
      <c r="W117" s="92"/>
    </row>
    <row r="118" spans="2:23" x14ac:dyDescent="0.25">
      <c r="B118" s="66"/>
      <c r="C118" s="111">
        <f>IF(D118='General inputs'!$I$16,0,IF(D118&lt;'General inputs'!$I$16,C119-1,C117+1))</f>
        <v>52</v>
      </c>
      <c r="D118" s="111" t="str">
        <f t="shared" si="3"/>
        <v>2074-75</v>
      </c>
      <c r="E118" s="113" t="str">
        <f>IF(LEFT(D118,4)*1&gt;LEFT('General inputs'!$I$16,4)+'General inputs'!$H$38-1,"",'ET inputs'!D91)</f>
        <v/>
      </c>
      <c r="F118" s="113" t="str">
        <f>IF(LEFT(D118,4)*1&gt;LEFT('General inputs'!$I$16,4)+'General inputs'!$H$38-1,"",E118/(1+'General inputs'!$H$30)^C118)</f>
        <v/>
      </c>
      <c r="G118" s="113" t="str">
        <f>IF(LEFT(D118,4)*1&gt;LEFT('General inputs'!$I$16,4)+'General inputs'!$H$38-1,"",E118/(1+'General inputs'!$H$32)^C118)</f>
        <v/>
      </c>
      <c r="H118" s="113" t="str">
        <f>IF(LEFT(D118,4)*1&lt;LEFT('General inputs'!$I$16,4)*1,"",IF(LEFT(D118,4)*1&gt;LEFT('General inputs'!$I$16,4)+'General inputs'!$H$38-1,"",E118/(1+'General inputs'!$H$34)^C118))</f>
        <v/>
      </c>
      <c r="I118" s="91"/>
      <c r="J118" s="151"/>
      <c r="K118" s="151"/>
      <c r="L118" s="113" t="str">
        <f>IF(LEFT(D118,4)*1&gt;LEFT('General inputs'!$I$18,4)*1,"",SUMIF('Post-1996 commissioned assets'!$F$22:$F$2700,$D118,'Post-1996 commissioned assets'!$P$22:$P$2700)*(1+$K$34)*(1+$K$35))</f>
        <v/>
      </c>
      <c r="M118" s="113" t="str">
        <f>IF(L118="","",L118/(1+'General inputs'!$H$32)^C118)</f>
        <v/>
      </c>
      <c r="N118" s="113">
        <f>IF(LEFT(D118,4)*1&lt;LEFT('General inputs'!$I$18,4)*1+1,"",SUMIF('Uncommissioned assets'!$F$22:$F$1511,$D118,'Uncommissioned assets'!$P$22:$P$1511))</f>
        <v>0</v>
      </c>
      <c r="O118" s="113">
        <f>IF(N118="","",N118/(1+'General inputs'!$H$32)^C118)</f>
        <v>0</v>
      </c>
      <c r="P118" s="91"/>
      <c r="Q118" s="120"/>
      <c r="R118" s="113" t="str">
        <f>IF(OR(LEFT(D118,4)*1&lt;LEFT('General inputs'!$I$16,4)*1,LEFT(D118,4)*1&gt;LEFT('General inputs'!$I$16,4)+'General inputs'!$H$38-1),"",Q118/(1+'General inputs'!$H$34)^C118)</f>
        <v/>
      </c>
      <c r="S118" s="91"/>
      <c r="T118" s="120"/>
      <c r="U118" s="113" t="str">
        <f>IF(OR(LEFT(D118,4)*1&lt;LEFT('General inputs'!$I$16,4)*1,LEFT(D118,4)*1&gt;LEFT('General inputs'!$I$16,4)+'General inputs'!$H$38-1),"",T118/(1+'General inputs'!$H$34)^C118)</f>
        <v/>
      </c>
      <c r="V118" s="93"/>
      <c r="W118" s="92"/>
    </row>
    <row r="119" spans="2:23" x14ac:dyDescent="0.25">
      <c r="B119" s="66"/>
      <c r="C119" s="111">
        <f>IF(D119='General inputs'!$I$16,0,IF(D119&lt;'General inputs'!$I$16,C120-1,C118+1))</f>
        <v>53</v>
      </c>
      <c r="D119" s="111" t="str">
        <f t="shared" si="3"/>
        <v>2075-76</v>
      </c>
      <c r="E119" s="113" t="str">
        <f>IF(LEFT(D119,4)*1&gt;LEFT('General inputs'!$I$16,4)+'General inputs'!$H$38-1,"",'ET inputs'!D92)</f>
        <v/>
      </c>
      <c r="F119" s="113" t="str">
        <f>IF(LEFT(D119,4)*1&gt;LEFT('General inputs'!$I$16,4)+'General inputs'!$H$38-1,"",E119/(1+'General inputs'!$H$30)^C119)</f>
        <v/>
      </c>
      <c r="G119" s="113" t="str">
        <f>IF(LEFT(D119,4)*1&gt;LEFT('General inputs'!$I$16,4)+'General inputs'!$H$38-1,"",E119/(1+'General inputs'!$H$32)^C119)</f>
        <v/>
      </c>
      <c r="H119" s="113" t="str">
        <f>IF(LEFT(D119,4)*1&lt;LEFT('General inputs'!$I$16,4)*1,"",IF(LEFT(D119,4)*1&gt;LEFT('General inputs'!$I$16,4)+'General inputs'!$H$38-1,"",E119/(1+'General inputs'!$H$34)^C119))</f>
        <v/>
      </c>
      <c r="I119" s="91"/>
      <c r="J119" s="151"/>
      <c r="K119" s="151"/>
      <c r="L119" s="113" t="str">
        <f>IF(LEFT(D119,4)*1&gt;LEFT('General inputs'!$I$18,4)*1,"",SUMIF('Post-1996 commissioned assets'!$F$22:$F$2700,$D119,'Post-1996 commissioned assets'!$P$22:$P$2700)*(1+$K$34)*(1+$K$35))</f>
        <v/>
      </c>
      <c r="M119" s="113" t="str">
        <f>IF(L119="","",L119/(1+'General inputs'!$H$32)^C119)</f>
        <v/>
      </c>
      <c r="N119" s="113">
        <f>IF(LEFT(D119,4)*1&lt;LEFT('General inputs'!$I$18,4)*1+1,"",SUMIF('Uncommissioned assets'!$F$22:$F$1511,$D119,'Uncommissioned assets'!$P$22:$P$1511))</f>
        <v>0</v>
      </c>
      <c r="O119" s="113">
        <f>IF(N119="","",N119/(1+'General inputs'!$H$32)^C119)</f>
        <v>0</v>
      </c>
      <c r="P119" s="91"/>
      <c r="Q119" s="120"/>
      <c r="R119" s="113" t="str">
        <f>IF(OR(LEFT(D119,4)*1&lt;LEFT('General inputs'!$I$16,4)*1,LEFT(D119,4)*1&gt;LEFT('General inputs'!$I$16,4)+'General inputs'!$H$38-1),"",Q119/(1+'General inputs'!$H$34)^C119)</f>
        <v/>
      </c>
      <c r="S119" s="91"/>
      <c r="T119" s="120"/>
      <c r="U119" s="113" t="str">
        <f>IF(OR(LEFT(D119,4)*1&lt;LEFT('General inputs'!$I$16,4)*1,LEFT(D119,4)*1&gt;LEFT('General inputs'!$I$16,4)+'General inputs'!$H$38-1),"",T119/(1+'General inputs'!$H$34)^C119)</f>
        <v/>
      </c>
      <c r="V119" s="93"/>
      <c r="W119" s="92"/>
    </row>
    <row r="120" spans="2:23" x14ac:dyDescent="0.25">
      <c r="B120" s="66"/>
      <c r="C120" s="111">
        <f>IF(D120='General inputs'!$I$16,0,IF(D120&lt;'General inputs'!$I$16,C121-1,C119+1))</f>
        <v>54</v>
      </c>
      <c r="D120" s="111" t="str">
        <f t="shared" si="3"/>
        <v>2076-77</v>
      </c>
      <c r="E120" s="113" t="str">
        <f>IF(LEFT(D120,4)*1&gt;LEFT('General inputs'!$I$16,4)+'General inputs'!$H$38-1,"",'ET inputs'!D93)</f>
        <v/>
      </c>
      <c r="F120" s="113" t="str">
        <f>IF(LEFT(D120,4)*1&gt;LEFT('General inputs'!$I$16,4)+'General inputs'!$H$38-1,"",E120/(1+'General inputs'!$H$30)^C120)</f>
        <v/>
      </c>
      <c r="G120" s="113" t="str">
        <f>IF(LEFT(D120,4)*1&gt;LEFT('General inputs'!$I$16,4)+'General inputs'!$H$38-1,"",E120/(1+'General inputs'!$H$32)^C120)</f>
        <v/>
      </c>
      <c r="H120" s="113" t="str">
        <f>IF(LEFT(D120,4)*1&lt;LEFT('General inputs'!$I$16,4)*1,"",IF(LEFT(D120,4)*1&gt;LEFT('General inputs'!$I$16,4)+'General inputs'!$H$38-1,"",E120/(1+'General inputs'!$H$34)^C120))</f>
        <v/>
      </c>
      <c r="I120" s="91"/>
      <c r="J120" s="151"/>
      <c r="K120" s="151"/>
      <c r="L120" s="113" t="str">
        <f>IF(LEFT(D120,4)*1&gt;LEFT('General inputs'!$I$18,4)*1,"",SUMIF('Post-1996 commissioned assets'!$F$22:$F$2700,$D120,'Post-1996 commissioned assets'!$P$22:$P$2700)*(1+$K$34)*(1+$K$35))</f>
        <v/>
      </c>
      <c r="M120" s="113" t="str">
        <f>IF(L120="","",L120/(1+'General inputs'!$H$32)^C120)</f>
        <v/>
      </c>
      <c r="N120" s="113">
        <f>IF(LEFT(D120,4)*1&lt;LEFT('General inputs'!$I$18,4)*1+1,"",SUMIF('Uncommissioned assets'!$F$22:$F$1511,$D120,'Uncommissioned assets'!$P$22:$P$1511))</f>
        <v>0</v>
      </c>
      <c r="O120" s="113">
        <f>IF(N120="","",N120/(1+'General inputs'!$H$32)^C120)</f>
        <v>0</v>
      </c>
      <c r="P120" s="91"/>
      <c r="Q120" s="120"/>
      <c r="R120" s="113" t="str">
        <f>IF(OR(LEFT(D120,4)*1&lt;LEFT('General inputs'!$I$16,4)*1,LEFT(D120,4)*1&gt;LEFT('General inputs'!$I$16,4)+'General inputs'!$H$38-1),"",Q120/(1+'General inputs'!$H$34)^C120)</f>
        <v/>
      </c>
      <c r="S120" s="91"/>
      <c r="T120" s="120"/>
      <c r="U120" s="113" t="str">
        <f>IF(OR(LEFT(D120,4)*1&lt;LEFT('General inputs'!$I$16,4)*1,LEFT(D120,4)*1&gt;LEFT('General inputs'!$I$16,4)+'General inputs'!$H$38-1),"",T120/(1+'General inputs'!$H$34)^C120)</f>
        <v/>
      </c>
      <c r="V120" s="93"/>
      <c r="W120" s="92"/>
    </row>
    <row r="121" spans="2:23" x14ac:dyDescent="0.25">
      <c r="B121" s="66"/>
      <c r="C121" s="111">
        <f>IF(D121='General inputs'!$I$16,0,IF(D121&lt;'General inputs'!$I$16,C122-1,C120+1))</f>
        <v>55</v>
      </c>
      <c r="D121" s="111" t="str">
        <f t="shared" si="3"/>
        <v>2077-78</v>
      </c>
      <c r="E121" s="113" t="str">
        <f>IF(LEFT(D121,4)*1&gt;LEFT('General inputs'!$I$16,4)+'General inputs'!$H$38-1,"",'ET inputs'!D94)</f>
        <v/>
      </c>
      <c r="F121" s="113" t="str">
        <f>IF(LEFT(D121,4)*1&gt;LEFT('General inputs'!$I$16,4)+'General inputs'!$H$38-1,"",E121/(1+'General inputs'!$H$30)^C121)</f>
        <v/>
      </c>
      <c r="G121" s="113" t="str">
        <f>IF(LEFT(D121,4)*1&gt;LEFT('General inputs'!$I$16,4)+'General inputs'!$H$38-1,"",E121/(1+'General inputs'!$H$32)^C121)</f>
        <v/>
      </c>
      <c r="H121" s="113" t="str">
        <f>IF(LEFT(D121,4)*1&lt;LEFT('General inputs'!$I$16,4)*1,"",IF(LEFT(D121,4)*1&gt;LEFT('General inputs'!$I$16,4)+'General inputs'!$H$38-1,"",E121/(1+'General inputs'!$H$34)^C121))</f>
        <v/>
      </c>
      <c r="I121" s="91"/>
      <c r="J121" s="151"/>
      <c r="K121" s="151"/>
      <c r="L121" s="113" t="str">
        <f>IF(LEFT(D121,4)*1&gt;LEFT('General inputs'!$I$18,4)*1,"",SUMIF('Post-1996 commissioned assets'!$F$22:$F$2700,$D121,'Post-1996 commissioned assets'!$P$22:$P$2700)*(1+$K$34)*(1+$K$35))</f>
        <v/>
      </c>
      <c r="M121" s="113" t="str">
        <f>IF(L121="","",L121/(1+'General inputs'!$H$32)^C121)</f>
        <v/>
      </c>
      <c r="N121" s="113">
        <f>IF(LEFT(D121,4)*1&lt;LEFT('General inputs'!$I$18,4)*1+1,"",SUMIF('Uncommissioned assets'!$F$22:$F$1511,$D121,'Uncommissioned assets'!$P$22:$P$1511))</f>
        <v>0</v>
      </c>
      <c r="O121" s="113">
        <f>IF(N121="","",N121/(1+'General inputs'!$H$32)^C121)</f>
        <v>0</v>
      </c>
      <c r="P121" s="91"/>
      <c r="Q121" s="120"/>
      <c r="R121" s="113" t="str">
        <f>IF(OR(LEFT(D121,4)*1&lt;LEFT('General inputs'!$I$16,4)*1,LEFT(D121,4)*1&gt;LEFT('General inputs'!$I$16,4)+'General inputs'!$H$38-1),"",Q121/(1+'General inputs'!$H$34)^C121)</f>
        <v/>
      </c>
      <c r="S121" s="91"/>
      <c r="T121" s="120"/>
      <c r="U121" s="113" t="str">
        <f>IF(OR(LEFT(D121,4)*1&lt;LEFT('General inputs'!$I$16,4)*1,LEFT(D121,4)*1&gt;LEFT('General inputs'!$I$16,4)+'General inputs'!$H$38-1),"",T121/(1+'General inputs'!$H$34)^C121)</f>
        <v/>
      </c>
      <c r="V121" s="93"/>
      <c r="W121" s="92"/>
    </row>
    <row r="122" spans="2:23" x14ac:dyDescent="0.25">
      <c r="B122" s="66"/>
      <c r="C122" s="111">
        <f>IF(D122='General inputs'!$I$16,0,IF(D122&lt;'General inputs'!$I$16,C123-1,C121+1))</f>
        <v>56</v>
      </c>
      <c r="D122" s="111" t="str">
        <f t="shared" si="3"/>
        <v>2078-79</v>
      </c>
      <c r="E122" s="113" t="str">
        <f>IF(LEFT(D122,4)*1&gt;LEFT('General inputs'!$I$16,4)+'General inputs'!$H$38-1,"",'ET inputs'!D95)</f>
        <v/>
      </c>
      <c r="F122" s="113" t="str">
        <f>IF(LEFT(D122,4)*1&gt;LEFT('General inputs'!$I$16,4)+'General inputs'!$H$38-1,"",E122/(1+'General inputs'!$H$30)^C122)</f>
        <v/>
      </c>
      <c r="G122" s="113" t="str">
        <f>IF(LEFT(D122,4)*1&gt;LEFT('General inputs'!$I$16,4)+'General inputs'!$H$38-1,"",E122/(1+'General inputs'!$H$32)^C122)</f>
        <v/>
      </c>
      <c r="H122" s="113" t="str">
        <f>IF(LEFT(D122,4)*1&lt;LEFT('General inputs'!$I$16,4)*1,"",IF(LEFT(D122,4)*1&gt;LEFT('General inputs'!$I$16,4)+'General inputs'!$H$38-1,"",E122/(1+'General inputs'!$H$34)^C122))</f>
        <v/>
      </c>
      <c r="I122" s="91"/>
      <c r="J122" s="151"/>
      <c r="K122" s="151"/>
      <c r="L122" s="113" t="str">
        <f>IF(LEFT(D122,4)*1&gt;LEFT('General inputs'!$I$18,4)*1,"",SUMIF('Post-1996 commissioned assets'!$F$22:$F$2700,$D122,'Post-1996 commissioned assets'!$P$22:$P$2700)*(1+$K$34)*(1+$K$35))</f>
        <v/>
      </c>
      <c r="M122" s="113" t="str">
        <f>IF(L122="","",L122/(1+'General inputs'!$H$32)^C122)</f>
        <v/>
      </c>
      <c r="N122" s="113">
        <f>IF(LEFT(D122,4)*1&lt;LEFT('General inputs'!$I$18,4)*1+1,"",SUMIF('Uncommissioned assets'!$F$22:$F$1511,$D122,'Uncommissioned assets'!$P$22:$P$1511))</f>
        <v>0</v>
      </c>
      <c r="O122" s="113">
        <f>IF(N122="","",N122/(1+'General inputs'!$H$32)^C122)</f>
        <v>0</v>
      </c>
      <c r="P122" s="91"/>
      <c r="Q122" s="120"/>
      <c r="R122" s="113" t="str">
        <f>IF(OR(LEFT(D122,4)*1&lt;LEFT('General inputs'!$I$16,4)*1,LEFT(D122,4)*1&gt;LEFT('General inputs'!$I$16,4)+'General inputs'!$H$38-1),"",Q122/(1+'General inputs'!$H$34)^C122)</f>
        <v/>
      </c>
      <c r="S122" s="91"/>
      <c r="T122" s="120"/>
      <c r="U122" s="113" t="str">
        <f>IF(OR(LEFT(D122,4)*1&lt;LEFT('General inputs'!$I$16,4)*1,LEFT(D122,4)*1&gt;LEFT('General inputs'!$I$16,4)+'General inputs'!$H$38-1),"",T122/(1+'General inputs'!$H$34)^C122)</f>
        <v/>
      </c>
      <c r="V122" s="93"/>
      <c r="W122" s="92"/>
    </row>
    <row r="123" spans="2:23" x14ac:dyDescent="0.25">
      <c r="B123" s="66"/>
      <c r="C123" s="111">
        <f>IF(D123='General inputs'!$I$16,0,IF(D123&lt;'General inputs'!$I$16,C124-1,C122+1))</f>
        <v>57</v>
      </c>
      <c r="D123" s="111" t="str">
        <f t="shared" ref="D123:D129" si="4">LEFT(D122,4)+1&amp;"-"&amp;RIGHT(D122,2)+1</f>
        <v>2079-80</v>
      </c>
      <c r="E123" s="113" t="str">
        <f>IF(LEFT(D123,4)*1&gt;LEFT('General inputs'!$I$16,4)+'General inputs'!$H$38-1,"",'ET inputs'!D96)</f>
        <v/>
      </c>
      <c r="F123" s="113" t="str">
        <f>IF(LEFT(D123,4)*1&gt;LEFT('General inputs'!$I$16,4)+'General inputs'!$H$38-1,"",E123/(1+'General inputs'!$H$30)^C123)</f>
        <v/>
      </c>
      <c r="G123" s="113" t="str">
        <f>IF(LEFT(D123,4)*1&gt;LEFT('General inputs'!$I$16,4)+'General inputs'!$H$38-1,"",E123/(1+'General inputs'!$H$32)^C123)</f>
        <v/>
      </c>
      <c r="H123" s="113" t="str">
        <f>IF(LEFT(D123,4)*1&lt;LEFT('General inputs'!$I$16,4)*1,"",IF(LEFT(D123,4)*1&gt;LEFT('General inputs'!$I$16,4)+'General inputs'!$H$38-1,"",E123/(1+'General inputs'!$H$34)^C123))</f>
        <v/>
      </c>
      <c r="I123" s="91"/>
      <c r="J123" s="151"/>
      <c r="K123" s="151"/>
      <c r="L123" s="113" t="str">
        <f>IF(LEFT(D123,4)*1&gt;LEFT('General inputs'!$I$18,4)*1,"",SUMIF('Post-1996 commissioned assets'!$F$22:$F$2700,$D123,'Post-1996 commissioned assets'!$P$22:$P$2700)*(1+$K$34)*(1+$K$35))</f>
        <v/>
      </c>
      <c r="M123" s="113" t="str">
        <f>IF(L123="","",L123/(1+'General inputs'!$H$32)^C123)</f>
        <v/>
      </c>
      <c r="N123" s="113">
        <f>IF(LEFT(D123,4)*1&lt;LEFT('General inputs'!$I$18,4)*1+1,"",SUMIF('Uncommissioned assets'!$F$22:$F$1511,$D123,'Uncommissioned assets'!$P$22:$P$1511))</f>
        <v>0</v>
      </c>
      <c r="O123" s="113">
        <f>IF(N123="","",N123/(1+'General inputs'!$H$32)^C123)</f>
        <v>0</v>
      </c>
      <c r="P123" s="91"/>
      <c r="Q123" s="120"/>
      <c r="R123" s="113" t="str">
        <f>IF(OR(LEFT(D123,4)*1&lt;LEFT('General inputs'!$I$16,4)*1,LEFT(D123,4)*1&gt;LEFT('General inputs'!$I$16,4)+'General inputs'!$H$38-1),"",Q123/(1+'General inputs'!$H$34)^C123)</f>
        <v/>
      </c>
      <c r="S123" s="91"/>
      <c r="T123" s="120"/>
      <c r="U123" s="113" t="str">
        <f>IF(OR(LEFT(D123,4)*1&lt;LEFT('General inputs'!$I$16,4)*1,LEFT(D123,4)*1&gt;LEFT('General inputs'!$I$16,4)+'General inputs'!$H$38-1),"",T123/(1+'General inputs'!$H$34)^C123)</f>
        <v/>
      </c>
      <c r="V123" s="93"/>
      <c r="W123" s="92"/>
    </row>
    <row r="124" spans="2:23" x14ac:dyDescent="0.25">
      <c r="B124" s="66"/>
      <c r="C124" s="111">
        <f>IF(D124='General inputs'!$I$16,0,IF(D124&lt;'General inputs'!$I$16,C125-1,C123+1))</f>
        <v>58</v>
      </c>
      <c r="D124" s="111" t="str">
        <f t="shared" si="4"/>
        <v>2080-81</v>
      </c>
      <c r="E124" s="113" t="str">
        <f>IF(LEFT(D124,4)*1&gt;LEFT('General inputs'!$I$16,4)+'General inputs'!$H$38-1,"",'ET inputs'!D97)</f>
        <v/>
      </c>
      <c r="F124" s="113" t="str">
        <f>IF(LEFT(D124,4)*1&gt;LEFT('General inputs'!$I$16,4)+'General inputs'!$H$38-1,"",E124/(1+'General inputs'!$H$30)^C124)</f>
        <v/>
      </c>
      <c r="G124" s="113" t="str">
        <f>IF(LEFT(D124,4)*1&gt;LEFT('General inputs'!$I$16,4)+'General inputs'!$H$38-1,"",E124/(1+'General inputs'!$H$32)^C124)</f>
        <v/>
      </c>
      <c r="H124" s="113" t="str">
        <f>IF(LEFT(D124,4)*1&lt;LEFT('General inputs'!$I$16,4)*1,"",IF(LEFT(D124,4)*1&gt;LEFT('General inputs'!$I$16,4)+'General inputs'!$H$38-1,"",E124/(1+'General inputs'!$H$34)^C124))</f>
        <v/>
      </c>
      <c r="I124" s="91"/>
      <c r="J124" s="151"/>
      <c r="K124" s="151"/>
      <c r="L124" s="113" t="str">
        <f>IF(LEFT(D124,4)*1&gt;LEFT('General inputs'!$I$18,4)*1,"",SUMIF('Post-1996 commissioned assets'!$F$22:$F$2700,$D124,'Post-1996 commissioned assets'!$P$22:$P$2700)*(1+$K$34)*(1+$K$35))</f>
        <v/>
      </c>
      <c r="M124" s="113" t="str">
        <f>IF(L124="","",L124/(1+'General inputs'!$H$32)^C124)</f>
        <v/>
      </c>
      <c r="N124" s="113">
        <f>IF(LEFT(D124,4)*1&lt;LEFT('General inputs'!$I$18,4)*1+1,"",SUMIF('Uncommissioned assets'!$F$22:$F$1511,$D124,'Uncommissioned assets'!$P$22:$P$1511))</f>
        <v>0</v>
      </c>
      <c r="O124" s="113">
        <f>IF(N124="","",N124/(1+'General inputs'!$H$32)^C124)</f>
        <v>0</v>
      </c>
      <c r="P124" s="91"/>
      <c r="Q124" s="120"/>
      <c r="R124" s="113" t="str">
        <f>IF(OR(LEFT(D124,4)*1&lt;LEFT('General inputs'!$I$16,4)*1,LEFT(D124,4)*1&gt;LEFT('General inputs'!$I$16,4)+'General inputs'!$H$38-1),"",Q124/(1+'General inputs'!$H$34)^C124)</f>
        <v/>
      </c>
      <c r="S124" s="91"/>
      <c r="T124" s="120"/>
      <c r="U124" s="113" t="str">
        <f>IF(OR(LEFT(D124,4)*1&lt;LEFT('General inputs'!$I$16,4)*1,LEFT(D124,4)*1&gt;LEFT('General inputs'!$I$16,4)+'General inputs'!$H$38-1),"",T124/(1+'General inputs'!$H$34)^C124)</f>
        <v/>
      </c>
      <c r="V124" s="93"/>
      <c r="W124" s="92"/>
    </row>
    <row r="125" spans="2:23" x14ac:dyDescent="0.25">
      <c r="B125" s="66"/>
      <c r="C125" s="111">
        <f>IF(D125='General inputs'!$I$16,0,IF(D125&lt;'General inputs'!$I$16,C126-1,C124+1))</f>
        <v>59</v>
      </c>
      <c r="D125" s="111" t="str">
        <f t="shared" si="4"/>
        <v>2081-82</v>
      </c>
      <c r="E125" s="113" t="str">
        <f>IF(LEFT(D125,4)*1&gt;LEFT('General inputs'!$I$16,4)+'General inputs'!$H$38-1,"",'ET inputs'!D98)</f>
        <v/>
      </c>
      <c r="F125" s="113" t="str">
        <f>IF(LEFT(D125,4)*1&gt;LEFT('General inputs'!$I$16,4)+'General inputs'!$H$38-1,"",E125/(1+'General inputs'!$H$30)^C125)</f>
        <v/>
      </c>
      <c r="G125" s="113" t="str">
        <f>IF(LEFT(D125,4)*1&gt;LEFT('General inputs'!$I$16,4)+'General inputs'!$H$38-1,"",E125/(1+'General inputs'!$H$32)^C125)</f>
        <v/>
      </c>
      <c r="H125" s="113" t="str">
        <f>IF(LEFT(D125,4)*1&lt;LEFT('General inputs'!$I$16,4)*1,"",IF(LEFT(D125,4)*1&gt;LEFT('General inputs'!$I$16,4)+'General inputs'!$H$38-1,"",E125/(1+'General inputs'!$H$34)^C125))</f>
        <v/>
      </c>
      <c r="I125" s="91"/>
      <c r="J125" s="151"/>
      <c r="K125" s="151"/>
      <c r="L125" s="113" t="str">
        <f>IF(LEFT(D125,4)*1&gt;LEFT('General inputs'!$I$18,4)*1,"",SUMIF('Post-1996 commissioned assets'!$F$22:$F$2700,$D125,'Post-1996 commissioned assets'!$P$22:$P$2700)*(1+$K$34)*(1+$K$35))</f>
        <v/>
      </c>
      <c r="M125" s="113" t="str">
        <f>IF(L125="","",L125/(1+'General inputs'!$H$32)^C125)</f>
        <v/>
      </c>
      <c r="N125" s="113">
        <f>IF(LEFT(D125,4)*1&lt;LEFT('General inputs'!$I$18,4)*1+1,"",SUMIF('Uncommissioned assets'!$F$22:$F$1511,$D125,'Uncommissioned assets'!$P$22:$P$1511))</f>
        <v>0</v>
      </c>
      <c r="O125" s="113">
        <f>IF(N125="","",N125/(1+'General inputs'!$H$32)^C125)</f>
        <v>0</v>
      </c>
      <c r="P125" s="91"/>
      <c r="Q125" s="120"/>
      <c r="R125" s="113" t="str">
        <f>IF(OR(LEFT(D125,4)*1&lt;LEFT('General inputs'!$I$16,4)*1,LEFT(D125,4)*1&gt;LEFT('General inputs'!$I$16,4)+'General inputs'!$H$38-1),"",Q125/(1+'General inputs'!$H$34)^C125)</f>
        <v/>
      </c>
      <c r="S125" s="91"/>
      <c r="T125" s="120"/>
      <c r="U125" s="113" t="str">
        <f>IF(OR(LEFT(D125,4)*1&lt;LEFT('General inputs'!$I$16,4)*1,LEFT(D125,4)*1&gt;LEFT('General inputs'!$I$16,4)+'General inputs'!$H$38-1),"",T125/(1+'General inputs'!$H$34)^C125)</f>
        <v/>
      </c>
      <c r="V125" s="93"/>
      <c r="W125" s="92"/>
    </row>
    <row r="126" spans="2:23" x14ac:dyDescent="0.25">
      <c r="B126" s="66"/>
      <c r="C126" s="111">
        <f>IF(D126='General inputs'!$I$16,0,IF(D126&lt;'General inputs'!$I$16,C127-1,C125+1))</f>
        <v>60</v>
      </c>
      <c r="D126" s="111" t="str">
        <f t="shared" si="4"/>
        <v>2082-83</v>
      </c>
      <c r="E126" s="113" t="str">
        <f>IF(LEFT(D126,4)*1&gt;LEFT('General inputs'!$I$16,4)+'General inputs'!$H$38-1,"",'ET inputs'!D99)</f>
        <v/>
      </c>
      <c r="F126" s="113" t="str">
        <f>IF(LEFT(D126,4)*1&gt;LEFT('General inputs'!$I$16,4)+'General inputs'!$H$38-1,"",E126/(1+'General inputs'!$H$30)^C126)</f>
        <v/>
      </c>
      <c r="G126" s="113" t="str">
        <f>IF(LEFT(D126,4)*1&gt;LEFT('General inputs'!$I$16,4)+'General inputs'!$H$38-1,"",E126/(1+'General inputs'!$H$32)^C126)</f>
        <v/>
      </c>
      <c r="H126" s="113" t="str">
        <f>IF(LEFT(D126,4)*1&lt;LEFT('General inputs'!$I$16,4)*1,"",IF(LEFT(D126,4)*1&gt;LEFT('General inputs'!$I$16,4)+'General inputs'!$H$38-1,"",E126/(1+'General inputs'!$H$34)^C126))</f>
        <v/>
      </c>
      <c r="I126" s="91"/>
      <c r="J126" s="151"/>
      <c r="K126" s="151"/>
      <c r="L126" s="113" t="str">
        <f>IF(LEFT(D126,4)*1&gt;LEFT('General inputs'!$I$18,4)*1,"",SUMIF('Post-1996 commissioned assets'!$F$22:$F$2700,$D126,'Post-1996 commissioned assets'!$P$22:$P$2700)*(1+$K$34)*(1+$K$35))</f>
        <v/>
      </c>
      <c r="M126" s="113" t="str">
        <f>IF(L126="","",L126/(1+'General inputs'!$H$32)^C126)</f>
        <v/>
      </c>
      <c r="N126" s="113">
        <f>IF(LEFT(D126,4)*1&lt;LEFT('General inputs'!$I$18,4)*1+1,"",SUMIF('Uncommissioned assets'!$F$22:$F$1511,$D126,'Uncommissioned assets'!$P$22:$P$1511))</f>
        <v>0</v>
      </c>
      <c r="O126" s="113">
        <f>IF(N126="","",N126/(1+'General inputs'!$H$32)^C126)</f>
        <v>0</v>
      </c>
      <c r="P126" s="91"/>
      <c r="Q126" s="120"/>
      <c r="R126" s="113" t="str">
        <f>IF(OR(LEFT(D126,4)*1&lt;LEFT('General inputs'!$I$16,4)*1,LEFT(D126,4)*1&gt;LEFT('General inputs'!$I$16,4)+'General inputs'!$H$38-1),"",Q126/(1+'General inputs'!$H$34)^C126)</f>
        <v/>
      </c>
      <c r="S126" s="91"/>
      <c r="T126" s="120"/>
      <c r="U126" s="113" t="str">
        <f>IF(OR(LEFT(D126,4)*1&lt;LEFT('General inputs'!$I$16,4)*1,LEFT(D126,4)*1&gt;LEFT('General inputs'!$I$16,4)+'General inputs'!$H$38-1),"",T126/(1+'General inputs'!$H$34)^C126)</f>
        <v/>
      </c>
      <c r="V126" s="93"/>
      <c r="W126" s="92"/>
    </row>
    <row r="127" spans="2:23" x14ac:dyDescent="0.25">
      <c r="B127" s="66"/>
      <c r="C127" s="111">
        <f>IF(D127='General inputs'!$I$16,0,IF(D127&lt;'General inputs'!$I$16,C128-1,C126+1))</f>
        <v>61</v>
      </c>
      <c r="D127" s="111" t="str">
        <f t="shared" si="4"/>
        <v>2083-84</v>
      </c>
      <c r="E127" s="113" t="str">
        <f>IF(LEFT(D127,4)*1&gt;LEFT('General inputs'!$I$16,4)+'General inputs'!$H$38-1,"",'ET inputs'!D100)</f>
        <v/>
      </c>
      <c r="F127" s="113" t="str">
        <f>IF(LEFT(D127,4)*1&gt;LEFT('General inputs'!$I$16,4)+'General inputs'!$H$38-1,"",E127/(1+'General inputs'!$H$30)^C127)</f>
        <v/>
      </c>
      <c r="G127" s="113" t="str">
        <f>IF(LEFT(D127,4)*1&gt;LEFT('General inputs'!$I$16,4)+'General inputs'!$H$38-1,"",E127/(1+'General inputs'!$H$32)^C127)</f>
        <v/>
      </c>
      <c r="H127" s="113" t="str">
        <f>IF(LEFT(D127,4)*1&lt;LEFT('General inputs'!$I$16,4)*1,"",IF(LEFT(D127,4)*1&gt;LEFT('General inputs'!$I$16,4)+'General inputs'!$H$38-1,"",E127/(1+'General inputs'!$H$34)^C127))</f>
        <v/>
      </c>
      <c r="I127" s="91"/>
      <c r="J127" s="151"/>
      <c r="K127" s="151"/>
      <c r="L127" s="113" t="str">
        <f>IF(LEFT(D127,4)*1&gt;LEFT('General inputs'!$I$18,4)*1,"",SUMIF('Post-1996 commissioned assets'!$F$22:$F$2700,$D127,'Post-1996 commissioned assets'!$P$22:$P$2700)*(1+$K$34)*(1+$K$35))</f>
        <v/>
      </c>
      <c r="M127" s="113" t="str">
        <f>IF(L127="","",L127/(1+'General inputs'!$H$32)^C127)</f>
        <v/>
      </c>
      <c r="N127" s="113">
        <f>IF(LEFT(D127,4)*1&lt;LEFT('General inputs'!$I$18,4)*1+1,"",SUMIF('Uncommissioned assets'!$F$22:$F$1511,$D127,'Uncommissioned assets'!$P$22:$P$1511))</f>
        <v>0</v>
      </c>
      <c r="O127" s="113">
        <f>IF(N127="","",N127/(1+'General inputs'!$H$32)^C127)</f>
        <v>0</v>
      </c>
      <c r="P127" s="91"/>
      <c r="Q127" s="120"/>
      <c r="R127" s="113" t="str">
        <f>IF(OR(LEFT(D127,4)*1&lt;LEFT('General inputs'!$I$16,4)*1,LEFT(D127,4)*1&gt;LEFT('General inputs'!$I$16,4)+'General inputs'!$H$38-1),"",Q127/(1+'General inputs'!$H$34)^C127)</f>
        <v/>
      </c>
      <c r="S127" s="91"/>
      <c r="T127" s="120"/>
      <c r="U127" s="113" t="str">
        <f>IF(OR(LEFT(D127,4)*1&lt;LEFT('General inputs'!$I$16,4)*1,LEFT(D127,4)*1&gt;LEFT('General inputs'!$I$16,4)+'General inputs'!$H$38-1),"",T127/(1+'General inputs'!$H$34)^C127)</f>
        <v/>
      </c>
      <c r="V127" s="93"/>
      <c r="W127" s="92"/>
    </row>
    <row r="128" spans="2:23" x14ac:dyDescent="0.25">
      <c r="B128" s="66"/>
      <c r="C128" s="111">
        <f>IF(D128='General inputs'!$I$16,0,IF(D128&lt;'General inputs'!$I$16,C129-1,C127+1))</f>
        <v>62</v>
      </c>
      <c r="D128" s="111" t="str">
        <f t="shared" si="4"/>
        <v>2084-85</v>
      </c>
      <c r="E128" s="113" t="str">
        <f>IF(LEFT(D128,4)*1&gt;LEFT('General inputs'!$I$16,4)+'General inputs'!$H$38-1,"",'ET inputs'!D101)</f>
        <v/>
      </c>
      <c r="F128" s="113" t="str">
        <f>IF(LEFT(D128,4)*1&gt;LEFT('General inputs'!$I$16,4)+'General inputs'!$H$38-1,"",E128/(1+'General inputs'!$H$30)^C128)</f>
        <v/>
      </c>
      <c r="G128" s="113" t="str">
        <f>IF(LEFT(D128,4)*1&gt;LEFT('General inputs'!$I$16,4)+'General inputs'!$H$38-1,"",E128/(1+'General inputs'!$H$32)^C128)</f>
        <v/>
      </c>
      <c r="H128" s="113" t="str">
        <f>IF(LEFT(D128,4)*1&lt;LEFT('General inputs'!$I$16,4)*1,"",IF(LEFT(D128,4)*1&gt;LEFT('General inputs'!$I$16,4)+'General inputs'!$H$38-1,"",E128/(1+'General inputs'!$H$34)^C128))</f>
        <v/>
      </c>
      <c r="I128" s="91"/>
      <c r="J128" s="151"/>
      <c r="K128" s="151"/>
      <c r="L128" s="113" t="str">
        <f>IF(LEFT(D128,4)*1&gt;LEFT('General inputs'!$I$18,4)*1,"",SUMIF('Post-1996 commissioned assets'!$F$22:$F$2700,$D128,'Post-1996 commissioned assets'!$P$22:$P$2700)*(1+$K$34)*(1+$K$35))</f>
        <v/>
      </c>
      <c r="M128" s="113" t="str">
        <f>IF(L128="","",L128/(1+'General inputs'!$H$32)^C128)</f>
        <v/>
      </c>
      <c r="N128" s="113">
        <f>IF(LEFT(D128,4)*1&lt;LEFT('General inputs'!$I$18,4)*1+1,"",SUMIF('Uncommissioned assets'!$F$22:$F$1511,$D128,'Uncommissioned assets'!$P$22:$P$1511))</f>
        <v>0</v>
      </c>
      <c r="O128" s="113">
        <f>IF(N128="","",N128/(1+'General inputs'!$H$32)^C128)</f>
        <v>0</v>
      </c>
      <c r="P128" s="91"/>
      <c r="Q128" s="120"/>
      <c r="R128" s="113" t="str">
        <f>IF(OR(LEFT(D128,4)*1&lt;LEFT('General inputs'!$I$16,4)*1,LEFT(D128,4)*1&gt;LEFT('General inputs'!$I$16,4)+'General inputs'!$H$38-1),"",Q128/(1+'General inputs'!$H$34)^C128)</f>
        <v/>
      </c>
      <c r="S128" s="91"/>
      <c r="T128" s="120"/>
      <c r="U128" s="113" t="str">
        <f>IF(OR(LEFT(D128,4)*1&lt;LEFT('General inputs'!$I$16,4)*1,LEFT(D128,4)*1&gt;LEFT('General inputs'!$I$16,4)+'General inputs'!$H$38-1),"",T128/(1+'General inputs'!$H$34)^C128)</f>
        <v/>
      </c>
      <c r="V128" s="93"/>
      <c r="W128" s="92"/>
    </row>
    <row r="129" spans="2:23" x14ac:dyDescent="0.25">
      <c r="B129" s="66"/>
      <c r="C129" s="111">
        <f>IF(D129='General inputs'!$I$16,0,IF(D129&lt;'General inputs'!$I$16,C130-1,C128+1))</f>
        <v>63</v>
      </c>
      <c r="D129" s="111" t="str">
        <f t="shared" si="4"/>
        <v>2085-86</v>
      </c>
      <c r="E129" s="113" t="str">
        <f>IF(LEFT(D129,4)*1&gt;LEFT('General inputs'!$I$16,4)+'General inputs'!$H$38-1,"",'ET inputs'!D102)</f>
        <v/>
      </c>
      <c r="F129" s="113" t="str">
        <f>IF(LEFT(D129,4)*1&gt;LEFT('General inputs'!$I$16,4)+'General inputs'!$H$38-1,"",E129/(1+'General inputs'!$H$30)^C129)</f>
        <v/>
      </c>
      <c r="G129" s="113" t="str">
        <f>IF(LEFT(D129,4)*1&gt;LEFT('General inputs'!$I$16,4)+'General inputs'!$H$38-1,"",E129/(1+'General inputs'!$H$32)^C129)</f>
        <v/>
      </c>
      <c r="H129" s="113" t="str">
        <f>IF(LEFT(D129,4)*1&lt;LEFT('General inputs'!$I$16,4)*1,"",IF(LEFT(D129,4)*1&gt;LEFT('General inputs'!$I$16,4)+'General inputs'!$H$38-1,"",E129/(1+'General inputs'!$H$34)^C129))</f>
        <v/>
      </c>
      <c r="I129" s="91"/>
      <c r="J129" s="151"/>
      <c r="K129" s="151"/>
      <c r="L129" s="113" t="str">
        <f>IF(LEFT(D129,4)*1&gt;LEFT('General inputs'!$I$18,4)*1,"",SUMIF('Post-1996 commissioned assets'!$F$22:$F$2700,$D129,'Post-1996 commissioned assets'!$P$22:$P$2700)*(1+$K$34)*(1+$K$35))</f>
        <v/>
      </c>
      <c r="M129" s="113" t="str">
        <f>IF(L129="","",L129/(1+'General inputs'!$H$32)^C129)</f>
        <v/>
      </c>
      <c r="N129" s="113">
        <f>IF(LEFT(D129,4)*1&lt;LEFT('General inputs'!$I$18,4)*1+1,"",SUMIF('Uncommissioned assets'!$F$22:$F$1511,$D129,'Uncommissioned assets'!$P$22:$P$1511))</f>
        <v>0</v>
      </c>
      <c r="O129" s="113">
        <f>IF(N129="","",N129/(1+'General inputs'!$H$32)^C129)</f>
        <v>0</v>
      </c>
      <c r="P129" s="91"/>
      <c r="Q129" s="120"/>
      <c r="R129" s="113" t="str">
        <f>IF(OR(LEFT(D129,4)*1&lt;LEFT('General inputs'!$I$16,4)*1,LEFT(D129,4)*1&gt;LEFT('General inputs'!$I$16,4)+'General inputs'!$H$38-1),"",Q129/(1+'General inputs'!$H$34)^C129)</f>
        <v/>
      </c>
      <c r="S129" s="91"/>
      <c r="T129" s="120"/>
      <c r="U129" s="113" t="str">
        <f>IF(OR(LEFT(D129,4)*1&lt;LEFT('General inputs'!$I$16,4)*1,LEFT(D129,4)*1&gt;LEFT('General inputs'!$I$16,4)+'General inputs'!$H$38-1),"",T129/(1+'General inputs'!$H$34)^C129)</f>
        <v/>
      </c>
      <c r="V129" s="93"/>
      <c r="W129" s="92"/>
    </row>
    <row r="130" spans="2:23" x14ac:dyDescent="0.25">
      <c r="B130" s="68"/>
      <c r="C130" s="52"/>
      <c r="D130" s="52"/>
      <c r="E130" s="52"/>
      <c r="F130" s="52"/>
      <c r="G130" s="52"/>
      <c r="H130" s="52"/>
      <c r="I130" s="52"/>
      <c r="J130" s="52"/>
      <c r="K130" s="52"/>
      <c r="L130" s="52"/>
      <c r="M130" s="52"/>
      <c r="N130" s="52"/>
      <c r="O130" s="52"/>
      <c r="P130" s="52"/>
      <c r="Q130" s="52"/>
      <c r="R130" s="52"/>
      <c r="S130" s="52"/>
      <c r="T130" s="52"/>
      <c r="U130" s="52"/>
      <c r="V130" s="69"/>
    </row>
  </sheetData>
  <conditionalFormatting sqref="Q36">
    <cfRule type="containsText" dxfId="41" priority="5" operator="containsText" text="data">
      <formula>NOT(ISERROR(SEARCH("data",Q36)))</formula>
    </cfRule>
  </conditionalFormatting>
  <conditionalFormatting sqref="T36">
    <cfRule type="containsText" dxfId="40"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O50"/>
  <sheetViews>
    <sheetView showGridLines="0" topLeftCell="A15" zoomScaleNormal="100" workbookViewId="0">
      <selection activeCell="K19" sqref="K19"/>
    </sheetView>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s>
  <sheetData>
    <row r="3" spans="3:13" ht="20" x14ac:dyDescent="0.4">
      <c r="C3" s="70" t="s">
        <v>57</v>
      </c>
    </row>
    <row r="5" spans="3:13" ht="15.5" x14ac:dyDescent="0.35">
      <c r="C5" s="3" t="s">
        <v>123</v>
      </c>
      <c r="H5" s="364" t="s">
        <v>128</v>
      </c>
      <c r="I5" s="365"/>
      <c r="L5" s="56" t="str">
        <f>"Do not delete - data validation for option at "&amp;ADDRESS(ROW(H5),COLUMN(H5))</f>
        <v>Do not delete - data validation for option at $H$5</v>
      </c>
    </row>
    <row r="6" spans="3:13" x14ac:dyDescent="0.25">
      <c r="L6" t="s">
        <v>124</v>
      </c>
      <c r="M6" t="s">
        <v>125</v>
      </c>
    </row>
    <row r="7" spans="3:13" ht="15.5" x14ac:dyDescent="0.35">
      <c r="C7" s="3" t="s">
        <v>75</v>
      </c>
      <c r="H7" s="364" t="s">
        <v>855</v>
      </c>
      <c r="I7" s="365"/>
      <c r="L7" s="53" t="s">
        <v>126</v>
      </c>
      <c r="M7" s="181">
        <v>0</v>
      </c>
    </row>
    <row r="8" spans="3:13" x14ac:dyDescent="0.25">
      <c r="L8" s="54" t="s">
        <v>127</v>
      </c>
      <c r="M8" s="182">
        <v>0.03</v>
      </c>
    </row>
    <row r="9" spans="3:13" ht="15.5" hidden="1" outlineLevel="1" x14ac:dyDescent="0.35">
      <c r="C9" s="3" t="s">
        <v>137</v>
      </c>
      <c r="H9" s="364" t="s">
        <v>138</v>
      </c>
      <c r="I9" s="365"/>
      <c r="L9" s="55" t="s">
        <v>128</v>
      </c>
      <c r="M9" s="183">
        <v>0.03</v>
      </c>
    </row>
    <row r="10" spans="3:13" hidden="1" outlineLevel="1" x14ac:dyDescent="0.25"/>
    <row r="11" spans="3:13" ht="15.5" collapsed="1" x14ac:dyDescent="0.35">
      <c r="C11" s="3" t="s">
        <v>136</v>
      </c>
      <c r="H11" s="364" t="s">
        <v>140</v>
      </c>
      <c r="I11" s="365"/>
    </row>
    <row r="12" spans="3:13" x14ac:dyDescent="0.25">
      <c r="L12" s="56" t="str">
        <f>"Do not delete - data validation for options at "&amp;ADDRESS(ROW(H11),COLUMN(H11))</f>
        <v>Do not delete - data validation for options at $H$11</v>
      </c>
    </row>
    <row r="13" spans="3:13" x14ac:dyDescent="0.25">
      <c r="L13" s="53" t="s">
        <v>139</v>
      </c>
    </row>
    <row r="14" spans="3:13" ht="15.5" x14ac:dyDescent="0.35">
      <c r="C14" s="3" t="s">
        <v>86</v>
      </c>
      <c r="I14" s="144" t="s">
        <v>40</v>
      </c>
      <c r="L14" s="54" t="s">
        <v>140</v>
      </c>
    </row>
    <row r="15" spans="3:13" x14ac:dyDescent="0.25">
      <c r="L15" s="55" t="s">
        <v>141</v>
      </c>
    </row>
    <row r="16" spans="3:13" x14ac:dyDescent="0.25">
      <c r="D16" s="56" t="s">
        <v>220</v>
      </c>
      <c r="I16" s="61" t="s">
        <v>44</v>
      </c>
    </row>
    <row r="17" spans="3:12" x14ac:dyDescent="0.25">
      <c r="D17" s="56"/>
    </row>
    <row r="18" spans="3:12" x14ac:dyDescent="0.25">
      <c r="D18" s="56" t="s">
        <v>53</v>
      </c>
      <c r="H18" s="238">
        <v>44377</v>
      </c>
      <c r="I18" s="78" t="str">
        <f>IF(MONTH(H18)&gt;=7,YEAR(H18)&amp;"-"&amp;RIGHT(YEAR(H18),2)+1,RIGHT(YEAR(H18),4)-1&amp;"-"&amp;RIGHT(YEAR(H18),2))</f>
        <v>2020-21</v>
      </c>
      <c r="L18" s="56" t="str">
        <f>"Do not delete - data validation for options at "&amp;ADDRESS(ROW(I16),COLUMN(I16))&amp;" and "&amp;ADDRESS(ROW(I40),COLUMN(I40))</f>
        <v>Do not delete - data validation for options at $I$16 and $I$40</v>
      </c>
    </row>
    <row r="19" spans="3:12" x14ac:dyDescent="0.25">
      <c r="L19" s="219" t="s">
        <v>15</v>
      </c>
    </row>
    <row r="20" spans="3:12" x14ac:dyDescent="0.25">
      <c r="L20" s="54" t="s">
        <v>98</v>
      </c>
    </row>
    <row r="21" spans="3:12" x14ac:dyDescent="0.25">
      <c r="D21" s="56" t="s">
        <v>39</v>
      </c>
      <c r="L21" s="54" t="s">
        <v>42</v>
      </c>
    </row>
    <row r="22" spans="3:12" x14ac:dyDescent="0.25">
      <c r="L22" s="54" t="s">
        <v>43</v>
      </c>
    </row>
    <row r="23" spans="3:12" x14ac:dyDescent="0.25">
      <c r="D23" s="76" t="s">
        <v>55</v>
      </c>
      <c r="H23" s="77">
        <v>25569</v>
      </c>
      <c r="L23" s="54" t="s">
        <v>44</v>
      </c>
    </row>
    <row r="24" spans="3:12" x14ac:dyDescent="0.25">
      <c r="D24" s="76" t="s">
        <v>56</v>
      </c>
      <c r="H24" s="77">
        <v>35064</v>
      </c>
      <c r="L24" s="54" t="s">
        <v>45</v>
      </c>
    </row>
    <row r="25" spans="3:12" x14ac:dyDescent="0.25">
      <c r="L25" s="54" t="s">
        <v>46</v>
      </c>
    </row>
    <row r="26" spans="3:12" x14ac:dyDescent="0.25">
      <c r="L26" s="54" t="s">
        <v>47</v>
      </c>
    </row>
    <row r="27" spans="3:12" x14ac:dyDescent="0.25">
      <c r="L27" s="54" t="s">
        <v>48</v>
      </c>
    </row>
    <row r="28" spans="3:12" ht="15.5" x14ac:dyDescent="0.35">
      <c r="C28" s="3" t="s">
        <v>85</v>
      </c>
      <c r="L28" s="54" t="s">
        <v>49</v>
      </c>
    </row>
    <row r="29" spans="3:12" x14ac:dyDescent="0.25">
      <c r="L29" s="54" t="s">
        <v>50</v>
      </c>
    </row>
    <row r="30" spans="3:12" x14ac:dyDescent="0.25">
      <c r="D30" s="56" t="s">
        <v>110</v>
      </c>
      <c r="H30" s="79">
        <f>INDEX($M$7:$M$12,MATCH($H$5,$L$7:$L$12))</f>
        <v>0.03</v>
      </c>
      <c r="L30" s="54" t="s">
        <v>51</v>
      </c>
    </row>
    <row r="31" spans="3:12" ht="12" customHeight="1" x14ac:dyDescent="0.35">
      <c r="C31" s="3"/>
      <c r="D31" s="56"/>
      <c r="H31" s="46"/>
      <c r="L31" s="55" t="s">
        <v>52</v>
      </c>
    </row>
    <row r="32" spans="3:12" ht="12" customHeight="1" x14ac:dyDescent="0.35">
      <c r="C32" s="3"/>
      <c r="D32" s="6" t="s">
        <v>111</v>
      </c>
      <c r="H32" s="221">
        <v>4.2000000000000003E-2</v>
      </c>
    </row>
    <row r="33" spans="3:12" ht="12" customHeight="1" x14ac:dyDescent="0.25">
      <c r="D33" s="56"/>
      <c r="H33" s="46"/>
    </row>
    <row r="34" spans="3:12" ht="12" customHeight="1" x14ac:dyDescent="0.25">
      <c r="D34" s="6" t="s">
        <v>92</v>
      </c>
      <c r="H34" s="221">
        <v>4.2000000000000003E-2</v>
      </c>
    </row>
    <row r="35" spans="3:12" ht="12" customHeight="1" x14ac:dyDescent="0.35">
      <c r="C35" s="3"/>
    </row>
    <row r="36" spans="3:12" ht="12" customHeight="1" x14ac:dyDescent="0.35">
      <c r="C36" s="3"/>
      <c r="D36" s="56" t="s">
        <v>112</v>
      </c>
      <c r="H36" s="298">
        <v>130.53379320156029</v>
      </c>
      <c r="L36" s="56" t="str">
        <f>"Do not delete - data validation for option at "&amp;ADDRESS(ROW(H42),COLUMN(H42))</f>
        <v>Do not delete - data validation for option at $H$42</v>
      </c>
    </row>
    <row r="37" spans="3:12" ht="12" customHeight="1" x14ac:dyDescent="0.35">
      <c r="C37" s="3"/>
      <c r="L37" s="53" t="s">
        <v>27</v>
      </c>
    </row>
    <row r="38" spans="3:12" ht="12" customHeight="1" x14ac:dyDescent="0.35">
      <c r="C38" s="3"/>
      <c r="D38" s="56" t="s">
        <v>23</v>
      </c>
      <c r="H38" s="80">
        <v>30</v>
      </c>
      <c r="L38" s="54" t="s">
        <v>28</v>
      </c>
    </row>
    <row r="39" spans="3:12" ht="12" customHeight="1" x14ac:dyDescent="0.35">
      <c r="C39" s="3"/>
      <c r="L39" s="55" t="s">
        <v>29</v>
      </c>
    </row>
    <row r="40" spans="3:12" ht="12" customHeight="1" x14ac:dyDescent="0.25">
      <c r="D40" s="56" t="s">
        <v>41</v>
      </c>
      <c r="I40" s="61" t="s">
        <v>44</v>
      </c>
    </row>
    <row r="42" spans="3:12" x14ac:dyDescent="0.25">
      <c r="D42" s="56" t="s">
        <v>26</v>
      </c>
      <c r="H42" s="220" t="s">
        <v>27</v>
      </c>
    </row>
    <row r="43" spans="3:12" x14ac:dyDescent="0.25">
      <c r="D43" s="56"/>
    </row>
    <row r="47" spans="3:12" ht="15.5" x14ac:dyDescent="0.35">
      <c r="C47" s="3"/>
    </row>
    <row r="49" spans="6:6" x14ac:dyDescent="0.25">
      <c r="F49" s="42"/>
    </row>
    <row r="50" spans="6:6" x14ac:dyDescent="0.25">
      <c r="F50" s="42"/>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R791"/>
  <sheetViews>
    <sheetView showGridLines="0" zoomScaleNormal="100" workbookViewId="0">
      <pane ySplit="21" topLeftCell="A22" activePane="bottomLeft" state="frozen"/>
      <selection activeCell="A22" sqref="A22"/>
      <selection pane="bottomLeft" activeCell="J24" sqref="J24"/>
    </sheetView>
  </sheetViews>
  <sheetFormatPr defaultColWidth="28" defaultRowHeight="11.5" outlineLevelRow="1" x14ac:dyDescent="0.25"/>
  <cols>
    <col min="1" max="1" width="6.09765625" customWidth="1"/>
    <col min="2" max="2" width="12.3984375"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4.8984375" customWidth="1"/>
  </cols>
  <sheetData>
    <row r="1" spans="3:18" x14ac:dyDescent="0.25">
      <c r="E1" s="42"/>
    </row>
    <row r="2" spans="3:18" x14ac:dyDescent="0.25">
      <c r="E2" s="42"/>
    </row>
    <row r="3" spans="3:18" ht="20" x14ac:dyDescent="0.4">
      <c r="C3" s="70" t="s">
        <v>202</v>
      </c>
    </row>
    <row r="4" spans="3:18" hidden="1" outlineLevel="1" x14ac:dyDescent="0.25"/>
    <row r="5" spans="3:18" hidden="1" outlineLevel="1" x14ac:dyDescent="0.25"/>
    <row r="6" spans="3:18" hidden="1" outlineLevel="1" x14ac:dyDescent="0.25">
      <c r="C6" s="147"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2"/>
      <c r="E6" s="92"/>
      <c r="F6" s="92"/>
      <c r="G6" s="92"/>
      <c r="H6" s="92"/>
      <c r="I6" s="92"/>
      <c r="J6" s="92"/>
      <c r="K6" s="92"/>
      <c r="L6" s="92"/>
      <c r="M6" s="92"/>
      <c r="N6" s="92"/>
      <c r="O6" s="92"/>
      <c r="P6" s="92"/>
      <c r="Q6" s="92"/>
      <c r="R6" s="92"/>
    </row>
    <row r="7" spans="3:18" hidden="1" outlineLevel="1" x14ac:dyDescent="0.25">
      <c r="C7" s="210" t="str">
        <f ca="1">"Hyperlink to the '"&amp;MID(CELL("filename",'Asset exclusions'!A1),FIND("]",CELL("filename",'Asset exclusions'!A1))+1,255)&amp;"' worksheet:"</f>
        <v>Hyperlink to the 'Asset exclusions' worksheet:</v>
      </c>
      <c r="E7" s="211" t="s">
        <v>188</v>
      </c>
      <c r="F7" s="92"/>
      <c r="G7" s="92"/>
      <c r="H7" s="92"/>
      <c r="I7" s="92"/>
      <c r="J7" s="92"/>
      <c r="K7" s="92"/>
      <c r="L7" s="92"/>
      <c r="M7" s="92"/>
      <c r="N7" s="92"/>
      <c r="O7" s="92"/>
      <c r="P7" s="92"/>
      <c r="Q7" s="92"/>
      <c r="R7" s="92"/>
    </row>
    <row r="8" spans="3:18" hidden="1" outlineLevel="1" x14ac:dyDescent="0.25">
      <c r="C8" s="210"/>
      <c r="E8" s="211"/>
      <c r="F8" s="92"/>
      <c r="G8" s="92"/>
      <c r="H8" s="92"/>
      <c r="I8" s="92"/>
      <c r="J8" s="92"/>
      <c r="K8" s="92"/>
      <c r="L8" s="92"/>
      <c r="M8" s="92"/>
      <c r="N8" s="92"/>
      <c r="O8" s="92"/>
      <c r="P8" s="92"/>
      <c r="Q8" s="92"/>
      <c r="R8" s="92"/>
    </row>
    <row r="9" spans="3:18" hidden="1" outlineLevel="1" x14ac:dyDescent="0.25">
      <c r="C9" s="210" t="s">
        <v>243</v>
      </c>
      <c r="E9" s="211"/>
      <c r="F9" s="92"/>
      <c r="G9" s="92"/>
      <c r="H9" s="92"/>
      <c r="I9" s="92"/>
      <c r="J9" s="92"/>
      <c r="K9" s="92"/>
      <c r="L9" s="92"/>
      <c r="M9" s="92"/>
      <c r="N9" s="92"/>
      <c r="O9" s="92"/>
      <c r="P9" s="92"/>
      <c r="Q9" s="92"/>
      <c r="R9" s="92"/>
    </row>
    <row r="10" spans="3:18" hidden="1" outlineLevel="1" x14ac:dyDescent="0.25">
      <c r="C10" s="210" t="s">
        <v>246</v>
      </c>
      <c r="E10" s="211"/>
      <c r="F10" s="92"/>
      <c r="G10" s="92"/>
      <c r="H10" s="92"/>
      <c r="I10" s="92"/>
      <c r="J10" s="92"/>
      <c r="K10" s="92"/>
      <c r="L10" s="92"/>
      <c r="M10" s="92"/>
      <c r="N10" s="92"/>
      <c r="O10" s="92"/>
      <c r="P10" s="92"/>
      <c r="Q10" s="92"/>
      <c r="R10" s="92"/>
    </row>
    <row r="11" spans="3:18" hidden="1" outlineLevel="1" x14ac:dyDescent="0.25">
      <c r="C11" s="210" t="s">
        <v>245</v>
      </c>
      <c r="E11" s="211"/>
      <c r="F11" s="92"/>
      <c r="G11" s="92"/>
      <c r="H11" s="92"/>
      <c r="I11" s="92"/>
      <c r="J11" s="92"/>
      <c r="K11" s="92"/>
      <c r="L11" s="92"/>
      <c r="M11" s="92"/>
      <c r="N11" s="92"/>
      <c r="O11" s="92"/>
      <c r="P11" s="92"/>
      <c r="Q11" s="92"/>
      <c r="R11" s="92"/>
    </row>
    <row r="12" spans="3:18" hidden="1" outlineLevel="1" x14ac:dyDescent="0.25">
      <c r="C12" s="210" t="s">
        <v>244</v>
      </c>
      <c r="E12" s="211"/>
      <c r="F12" s="92"/>
      <c r="G12" s="92"/>
      <c r="H12" s="92"/>
      <c r="I12" s="92"/>
      <c r="J12" s="92"/>
      <c r="K12" s="92"/>
      <c r="L12" s="92"/>
      <c r="M12" s="92"/>
      <c r="N12" s="92"/>
      <c r="O12" s="92"/>
      <c r="P12" s="92"/>
      <c r="Q12" s="92"/>
      <c r="R12" s="92"/>
    </row>
    <row r="13" spans="3:18" collapsed="1" x14ac:dyDescent="0.25">
      <c r="C13" s="92"/>
      <c r="D13" s="92"/>
      <c r="E13" s="92"/>
      <c r="F13" s="92"/>
      <c r="G13" s="92"/>
      <c r="H13" s="121"/>
      <c r="I13" s="92"/>
      <c r="J13" s="92"/>
      <c r="K13" s="92"/>
      <c r="L13" s="92"/>
      <c r="M13" s="92"/>
      <c r="N13" s="92"/>
      <c r="O13" s="92"/>
      <c r="P13" s="92"/>
      <c r="Q13" s="92"/>
      <c r="R13" s="92"/>
    </row>
    <row r="14" spans="3:18" x14ac:dyDescent="0.25">
      <c r="C14" s="122" t="s">
        <v>54</v>
      </c>
      <c r="D14" s="92"/>
      <c r="E14" s="92"/>
      <c r="F14" s="92"/>
      <c r="G14" s="92"/>
      <c r="H14" s="121"/>
      <c r="I14" s="92"/>
      <c r="J14" s="92"/>
      <c r="K14" s="92"/>
      <c r="L14" s="92"/>
      <c r="M14" s="92"/>
      <c r="N14" s="92"/>
      <c r="O14" s="92"/>
      <c r="P14" s="92"/>
      <c r="Q14" s="92"/>
      <c r="R14" s="92"/>
    </row>
    <row r="15" spans="3:18" ht="12" x14ac:dyDescent="0.3">
      <c r="C15" s="123" t="s">
        <v>58</v>
      </c>
      <c r="D15" s="92"/>
      <c r="E15" s="124">
        <f>'General inputs'!$H$23</f>
        <v>25569</v>
      </c>
      <c r="F15" s="92"/>
      <c r="G15" s="92"/>
      <c r="H15" s="264" t="s">
        <v>273</v>
      </c>
      <c r="I15" s="91"/>
      <c r="J15" s="92"/>
      <c r="K15" s="92"/>
      <c r="L15" s="92"/>
      <c r="M15" s="92"/>
      <c r="N15" s="92"/>
      <c r="O15" s="92"/>
      <c r="P15" s="92"/>
      <c r="Q15" s="92"/>
      <c r="R15" s="92"/>
    </row>
    <row r="16" spans="3:18" ht="12" x14ac:dyDescent="0.3">
      <c r="C16" s="123" t="s">
        <v>59</v>
      </c>
      <c r="D16" s="92"/>
      <c r="E16" s="125">
        <f>'General inputs'!$H$24</f>
        <v>35064</v>
      </c>
      <c r="F16" s="92"/>
      <c r="G16" s="92"/>
      <c r="H16" s="265" t="s">
        <v>285</v>
      </c>
      <c r="I16" s="266">
        <f>SUMIF($B$22:$B$790,H16,$P$22:$P$790)/$J$22</f>
        <v>162196951.99746341</v>
      </c>
      <c r="J16" s="92"/>
      <c r="K16" s="92"/>
      <c r="L16" s="92"/>
      <c r="M16" s="92"/>
      <c r="N16" s="92"/>
      <c r="O16" s="92"/>
      <c r="P16" s="92"/>
      <c r="Q16" s="92"/>
      <c r="R16" s="92"/>
    </row>
    <row r="17" spans="1:18" ht="12" x14ac:dyDescent="0.3">
      <c r="C17" s="92"/>
      <c r="D17" s="92"/>
      <c r="E17" s="92"/>
      <c r="F17" s="92"/>
      <c r="G17" s="92"/>
      <c r="H17" s="267" t="s">
        <v>287</v>
      </c>
      <c r="I17" s="268">
        <f>SUMIF($B$22:$B$790,H17,$P$22:$P$790)/$J$22</f>
        <v>3605121.4900861462</v>
      </c>
      <c r="J17" s="92"/>
      <c r="K17" s="92"/>
      <c r="L17" s="92"/>
      <c r="M17" s="92"/>
      <c r="N17" s="92"/>
      <c r="O17" s="92"/>
      <c r="P17" s="92"/>
      <c r="Q17" s="92"/>
      <c r="R17" s="92"/>
    </row>
    <row r="18" spans="1:18" ht="15.5" x14ac:dyDescent="0.35">
      <c r="C18" s="231" t="s">
        <v>208</v>
      </c>
      <c r="E18" s="92"/>
      <c r="F18" s="92"/>
      <c r="G18" s="92"/>
      <c r="H18" s="269" t="s">
        <v>284</v>
      </c>
      <c r="I18" s="270">
        <f>SUMIF($B$22:$B$790,H18,$P$22:$P$790)/$J$22</f>
        <v>6615455.5126435384</v>
      </c>
      <c r="J18" s="92"/>
      <c r="K18" s="92"/>
      <c r="L18" s="92"/>
      <c r="M18" s="92"/>
      <c r="N18" s="92"/>
      <c r="P18" s="92"/>
      <c r="Q18" s="92"/>
      <c r="R18" s="92"/>
    </row>
    <row r="19" spans="1:18" x14ac:dyDescent="0.25">
      <c r="C19" s="92"/>
      <c r="D19" s="92"/>
      <c r="E19" s="92"/>
      <c r="F19" s="92"/>
      <c r="G19" s="92"/>
      <c r="H19" s="92"/>
      <c r="I19" s="92"/>
      <c r="K19" s="92"/>
      <c r="L19" s="92"/>
      <c r="M19" s="92"/>
      <c r="N19" s="92"/>
      <c r="O19" s="92"/>
      <c r="P19" s="92"/>
      <c r="Q19" s="92"/>
      <c r="R19" s="92"/>
    </row>
    <row r="20" spans="1:18" x14ac:dyDescent="0.25">
      <c r="C20" s="122" t="s">
        <v>16</v>
      </c>
      <c r="D20" s="92"/>
      <c r="F20" s="92"/>
      <c r="G20" s="92"/>
      <c r="H20" s="122" t="s">
        <v>17</v>
      </c>
      <c r="I20" s="92"/>
      <c r="K20" s="92"/>
      <c r="L20" s="122" t="s">
        <v>18</v>
      </c>
      <c r="M20" s="122"/>
      <c r="P20" s="92"/>
      <c r="Q20" s="92"/>
      <c r="R20" s="92"/>
    </row>
    <row r="21" spans="1:18" ht="46" x14ac:dyDescent="0.25">
      <c r="C21" s="222" t="s">
        <v>13</v>
      </c>
      <c r="D21" s="35" t="s">
        <v>12</v>
      </c>
      <c r="E21" s="222" t="s">
        <v>14</v>
      </c>
      <c r="F21" s="35" t="s">
        <v>24</v>
      </c>
      <c r="G21" s="92"/>
      <c r="H21" s="222" t="s">
        <v>30</v>
      </c>
      <c r="I21" s="222" t="s">
        <v>90</v>
      </c>
      <c r="J21" s="222" t="s">
        <v>88</v>
      </c>
      <c r="K21" s="92"/>
      <c r="L21" s="222" t="s">
        <v>89</v>
      </c>
      <c r="M21" s="35" t="s">
        <v>114</v>
      </c>
      <c r="N21" s="222" t="s">
        <v>540</v>
      </c>
      <c r="O21" s="222" t="s">
        <v>541</v>
      </c>
      <c r="P21" s="35" t="s">
        <v>542</v>
      </c>
      <c r="Q21" s="259" t="s">
        <v>281</v>
      </c>
      <c r="R21" s="92"/>
    </row>
    <row r="22" spans="1:18" ht="25.75" customHeight="1" x14ac:dyDescent="0.25">
      <c r="A22">
        <v>1991</v>
      </c>
      <c r="B22" t="s">
        <v>285</v>
      </c>
      <c r="C22" s="262" t="s">
        <v>294</v>
      </c>
      <c r="D22" s="156" t="s">
        <v>357</v>
      </c>
      <c r="E22" s="43">
        <f>DATEVALUE("30 Jun "&amp;A22)</f>
        <v>33419</v>
      </c>
      <c r="F22" s="126" t="str">
        <f>IF(E22="","-",IF(OR(E22&lt;$E$15,E22&gt;$E$16),"ERROR - date outside of range","Date check - OK"))</f>
        <v>Date check - OK</v>
      </c>
      <c r="G22" s="1"/>
      <c r="H22" s="160" t="s">
        <v>538</v>
      </c>
      <c r="I22" s="36"/>
      <c r="J22" s="134">
        <f>'ET inputs'!AP20</f>
        <v>0.59839396822477431</v>
      </c>
      <c r="K22" s="92"/>
      <c r="L22" s="36">
        <v>220.95</v>
      </c>
      <c r="M22" s="223" t="s">
        <v>288</v>
      </c>
      <c r="N22" s="36">
        <v>624.71678416763677</v>
      </c>
      <c r="O22" s="129">
        <f>IF(N22="","-",L22*N22)</f>
        <v>138031.17346183932</v>
      </c>
      <c r="P22" s="131">
        <f>IF(O22="-","-",IF(OR(E22&lt;$E$15,E22&gt;$E$16),0,O22*J22))*Q22</f>
        <v>22301.195839169093</v>
      </c>
      <c r="Q22" s="260">
        <v>0.27</v>
      </c>
      <c r="R22" s="92"/>
    </row>
    <row r="23" spans="1:18" ht="24" customHeight="1" x14ac:dyDescent="0.25">
      <c r="A23">
        <v>1991</v>
      </c>
      <c r="B23" t="s">
        <v>285</v>
      </c>
      <c r="C23" s="263" t="s">
        <v>295</v>
      </c>
      <c r="D23" s="157" t="s">
        <v>358</v>
      </c>
      <c r="E23" s="44">
        <f>DATEVALUE("30 Jun "&amp;A23)</f>
        <v>33419</v>
      </c>
      <c r="F23" s="127" t="str">
        <f>IF(E23="","-",IF(OR(E23&lt;$E$15,E23&gt;$E$16),"ERROR - date outside of range","Date check - OK"))</f>
        <v>Date check - OK</v>
      </c>
      <c r="G23" s="1"/>
      <c r="H23" s="161"/>
      <c r="I23" s="37"/>
      <c r="J23" s="135">
        <f>J22</f>
        <v>0.59839396822477431</v>
      </c>
      <c r="L23" s="37">
        <v>31.5</v>
      </c>
      <c r="M23" s="37" t="s">
        <v>288</v>
      </c>
      <c r="N23" s="185">
        <v>450.18755203725266</v>
      </c>
      <c r="O23" s="130">
        <f>IF(N23="","-",L23*N23)</f>
        <v>14180.907889173459</v>
      </c>
      <c r="P23" s="132">
        <f>IF(O23="-","-",IF(OR(E23&lt;$E$15,E23&gt;$E$16),0,O23*J23))*Q23</f>
        <v>3988.3117800712816</v>
      </c>
      <c r="Q23" s="261">
        <v>0.47</v>
      </c>
      <c r="R23" s="92"/>
    </row>
    <row r="24" spans="1:18" x14ac:dyDescent="0.25">
      <c r="A24">
        <v>1987</v>
      </c>
      <c r="B24" t="s">
        <v>285</v>
      </c>
      <c r="C24" s="263" t="s">
        <v>296</v>
      </c>
      <c r="D24" s="157" t="s">
        <v>359</v>
      </c>
      <c r="E24" s="44">
        <f t="shared" ref="E24:E87" si="0">DATEVALUE("30 Jun "&amp;A24)</f>
        <v>31958</v>
      </c>
      <c r="F24" s="127" t="str">
        <f t="shared" ref="F24:F87" si="1">IF(E24="","-",IF(OR(E24&lt;$E$15,E24&gt;$E$16),"ERROR - date outside of range","Date check - OK"))</f>
        <v>Date check - OK</v>
      </c>
      <c r="G24" s="1"/>
      <c r="H24" s="161"/>
      <c r="I24" s="37"/>
      <c r="J24" s="135">
        <f t="shared" ref="J24:J87" si="2">J23</f>
        <v>0.59839396822477431</v>
      </c>
      <c r="K24" s="112"/>
      <c r="L24" s="37">
        <v>150</v>
      </c>
      <c r="M24" s="37" t="s">
        <v>288</v>
      </c>
      <c r="N24" s="37">
        <v>2378.164677066356</v>
      </c>
      <c r="O24" s="130">
        <f t="shared" ref="O24:O87" si="3">IF(N24="","-",L24*N24)</f>
        <v>356724.70155995339</v>
      </c>
      <c r="P24" s="132">
        <f t="shared" ref="P24:P87" si="4">IF(O24="-","-",IF(OR(E24&lt;$E$15,E24&gt;$E$16),0,O24*J24))*Q24</f>
        <v>213461.90973025883</v>
      </c>
      <c r="Q24" s="261">
        <v>1</v>
      </c>
      <c r="R24" s="92"/>
    </row>
    <row r="25" spans="1:18" x14ac:dyDescent="0.25">
      <c r="A25">
        <v>1987</v>
      </c>
      <c r="B25" t="s">
        <v>285</v>
      </c>
      <c r="C25" s="263" t="s">
        <v>296</v>
      </c>
      <c r="D25" s="157" t="s">
        <v>359</v>
      </c>
      <c r="E25" s="44">
        <f t="shared" si="0"/>
        <v>31958</v>
      </c>
      <c r="F25" s="127" t="str">
        <f t="shared" si="1"/>
        <v>Date check - OK</v>
      </c>
      <c r="G25" s="1"/>
      <c r="H25" s="161"/>
      <c r="I25" s="37"/>
      <c r="J25" s="135">
        <f t="shared" si="2"/>
        <v>0.59839396822477431</v>
      </c>
      <c r="K25" s="112"/>
      <c r="L25" s="37">
        <v>108</v>
      </c>
      <c r="M25" s="37" t="s">
        <v>288</v>
      </c>
      <c r="N25" s="37">
        <v>1764.8656931315481</v>
      </c>
      <c r="O25" s="130">
        <f t="shared" si="3"/>
        <v>190605.49485820721</v>
      </c>
      <c r="P25" s="132">
        <f t="shared" si="4"/>
        <v>114057.17843364943</v>
      </c>
      <c r="Q25" s="261">
        <v>1</v>
      </c>
      <c r="R25" s="92"/>
    </row>
    <row r="26" spans="1:18" x14ac:dyDescent="0.25">
      <c r="A26">
        <v>1987</v>
      </c>
      <c r="B26" t="s">
        <v>285</v>
      </c>
      <c r="C26" s="263" t="s">
        <v>296</v>
      </c>
      <c r="D26" s="157" t="s">
        <v>359</v>
      </c>
      <c r="E26" s="44">
        <f t="shared" si="0"/>
        <v>31958</v>
      </c>
      <c r="F26" s="127" t="str">
        <f t="shared" si="1"/>
        <v>Date check - OK</v>
      </c>
      <c r="G26" s="1"/>
      <c r="H26" s="161"/>
      <c r="I26" s="37"/>
      <c r="J26" s="135">
        <f t="shared" si="2"/>
        <v>0.59839396822477431</v>
      </c>
      <c r="K26" s="112"/>
      <c r="L26" s="37">
        <v>350</v>
      </c>
      <c r="M26" s="37" t="s">
        <v>288</v>
      </c>
      <c r="N26" s="37">
        <v>1528.354116880093</v>
      </c>
      <c r="O26" s="130">
        <f t="shared" si="3"/>
        <v>534923.94090803259</v>
      </c>
      <c r="P26" s="132">
        <f t="shared" si="4"/>
        <v>320095.2596983923</v>
      </c>
      <c r="Q26" s="261">
        <v>1</v>
      </c>
      <c r="R26" s="92"/>
    </row>
    <row r="27" spans="1:18" x14ac:dyDescent="0.25">
      <c r="A27">
        <v>1987</v>
      </c>
      <c r="B27" t="s">
        <v>285</v>
      </c>
      <c r="C27" s="263" t="s">
        <v>297</v>
      </c>
      <c r="D27" s="157" t="s">
        <v>360</v>
      </c>
      <c r="E27" s="44">
        <f t="shared" si="0"/>
        <v>31958</v>
      </c>
      <c r="F27" s="127" t="str">
        <f t="shared" si="1"/>
        <v>Date check - OK</v>
      </c>
      <c r="G27" s="1"/>
      <c r="H27" s="161"/>
      <c r="I27" s="37"/>
      <c r="J27" s="135">
        <f t="shared" si="2"/>
        <v>0.59839396822477431</v>
      </c>
      <c r="K27" s="112"/>
      <c r="L27" s="37">
        <v>144.5</v>
      </c>
      <c r="M27" s="37" t="s">
        <v>288</v>
      </c>
      <c r="N27" s="37">
        <v>567.62778300349237</v>
      </c>
      <c r="O27" s="130">
        <f t="shared" si="3"/>
        <v>82022.214644004649</v>
      </c>
      <c r="P27" s="132">
        <f t="shared" si="4"/>
        <v>15215.295536057143</v>
      </c>
      <c r="Q27" s="261">
        <v>0.31</v>
      </c>
      <c r="R27" s="92"/>
    </row>
    <row r="28" spans="1:18" x14ac:dyDescent="0.25">
      <c r="A28">
        <v>1986</v>
      </c>
      <c r="B28" t="s">
        <v>285</v>
      </c>
      <c r="C28" s="263" t="s">
        <v>298</v>
      </c>
      <c r="D28" s="157" t="s">
        <v>361</v>
      </c>
      <c r="E28" s="44">
        <f t="shared" si="0"/>
        <v>31593</v>
      </c>
      <c r="F28" s="127" t="str">
        <f t="shared" si="1"/>
        <v>Date check - OK</v>
      </c>
      <c r="G28" s="1"/>
      <c r="H28" s="161"/>
      <c r="I28" s="37"/>
      <c r="J28" s="135">
        <f t="shared" si="2"/>
        <v>0.59839396822477431</v>
      </c>
      <c r="K28" s="112"/>
      <c r="L28" s="37">
        <v>438</v>
      </c>
      <c r="M28" s="37" t="s">
        <v>288</v>
      </c>
      <c r="N28" s="37">
        <v>2120.4486146682189</v>
      </c>
      <c r="O28" s="130">
        <f t="shared" si="3"/>
        <v>928756.49322467984</v>
      </c>
      <c r="P28" s="132">
        <f t="shared" si="4"/>
        <v>555762.28349524189</v>
      </c>
      <c r="Q28" s="261">
        <v>1</v>
      </c>
      <c r="R28" s="92"/>
    </row>
    <row r="29" spans="1:18" x14ac:dyDescent="0.25">
      <c r="A29">
        <v>1986</v>
      </c>
      <c r="B29" t="s">
        <v>285</v>
      </c>
      <c r="C29" s="263" t="s">
        <v>299</v>
      </c>
      <c r="D29" s="157" t="s">
        <v>362</v>
      </c>
      <c r="E29" s="44">
        <f t="shared" si="0"/>
        <v>31593</v>
      </c>
      <c r="F29" s="127" t="str">
        <f t="shared" si="1"/>
        <v>Date check - OK</v>
      </c>
      <c r="G29" s="1"/>
      <c r="H29" s="161"/>
      <c r="I29" s="37"/>
      <c r="J29" s="135">
        <f t="shared" si="2"/>
        <v>0.59839396822477431</v>
      </c>
      <c r="K29" s="112"/>
      <c r="L29" s="37">
        <v>499.5</v>
      </c>
      <c r="M29" s="37" t="s">
        <v>288</v>
      </c>
      <c r="N29" s="37">
        <v>685.06801396973219</v>
      </c>
      <c r="O29" s="130">
        <f t="shared" si="3"/>
        <v>342191.4729778812</v>
      </c>
      <c r="P29" s="132">
        <f t="shared" si="4"/>
        <v>51191.328351978744</v>
      </c>
      <c r="Q29" s="261">
        <v>0.25</v>
      </c>
      <c r="R29" s="92"/>
    </row>
    <row r="30" spans="1:18" x14ac:dyDescent="0.25">
      <c r="A30">
        <v>1986</v>
      </c>
      <c r="B30" t="s">
        <v>285</v>
      </c>
      <c r="C30" s="263" t="s">
        <v>300</v>
      </c>
      <c r="D30" s="157" t="s">
        <v>363</v>
      </c>
      <c r="E30" s="44">
        <f t="shared" si="0"/>
        <v>31593</v>
      </c>
      <c r="F30" s="127" t="str">
        <f t="shared" si="1"/>
        <v>Date check - OK</v>
      </c>
      <c r="G30" s="1"/>
      <c r="H30" s="161"/>
      <c r="I30" s="37"/>
      <c r="J30" s="135">
        <f t="shared" si="2"/>
        <v>0.59839396822477431</v>
      </c>
      <c r="K30" s="112"/>
      <c r="L30" s="37">
        <v>62.8</v>
      </c>
      <c r="M30" s="37" t="s">
        <v>288</v>
      </c>
      <c r="N30" s="37">
        <v>709.53472875436546</v>
      </c>
      <c r="O30" s="130">
        <f t="shared" si="3"/>
        <v>44558.780965774145</v>
      </c>
      <c r="P30" s="132">
        <f t="shared" si="4"/>
        <v>5066.1040946599451</v>
      </c>
      <c r="Q30" s="261">
        <v>0.19</v>
      </c>
      <c r="R30" s="92"/>
    </row>
    <row r="31" spans="1:18" ht="23" x14ac:dyDescent="0.25">
      <c r="A31">
        <v>1985</v>
      </c>
      <c r="B31" t="s">
        <v>285</v>
      </c>
      <c r="C31" s="263" t="s">
        <v>301</v>
      </c>
      <c r="D31" s="157" t="s">
        <v>364</v>
      </c>
      <c r="E31" s="44">
        <f t="shared" si="0"/>
        <v>31228</v>
      </c>
      <c r="F31" s="127" t="str">
        <f t="shared" si="1"/>
        <v>Date check - OK</v>
      </c>
      <c r="G31" s="1"/>
      <c r="H31" s="161"/>
      <c r="I31" s="37"/>
      <c r="J31" s="135">
        <f t="shared" si="2"/>
        <v>0.59839396822477431</v>
      </c>
      <c r="K31" s="112"/>
      <c r="L31" s="37">
        <v>102.7</v>
      </c>
      <c r="M31" s="37" t="s">
        <v>288</v>
      </c>
      <c r="N31" s="37">
        <v>685.06801396973219</v>
      </c>
      <c r="O31" s="130">
        <f t="shared" si="3"/>
        <v>70356.485034691505</v>
      </c>
      <c r="P31" s="132">
        <f t="shared" si="4"/>
        <v>10525.224067563999</v>
      </c>
      <c r="Q31" s="261">
        <v>0.25</v>
      </c>
      <c r="R31" s="92"/>
    </row>
    <row r="32" spans="1:18" x14ac:dyDescent="0.25">
      <c r="A32">
        <v>1985</v>
      </c>
      <c r="B32" t="s">
        <v>285</v>
      </c>
      <c r="C32" s="263" t="s">
        <v>302</v>
      </c>
      <c r="D32" s="157" t="s">
        <v>365</v>
      </c>
      <c r="E32" s="44">
        <f t="shared" si="0"/>
        <v>31228</v>
      </c>
      <c r="F32" s="127" t="str">
        <f t="shared" si="1"/>
        <v>Date check - OK</v>
      </c>
      <c r="G32" s="1"/>
      <c r="H32" s="161"/>
      <c r="I32" s="37"/>
      <c r="J32" s="135">
        <f t="shared" si="2"/>
        <v>0.59839396822477431</v>
      </c>
      <c r="K32" s="112"/>
      <c r="L32" s="37">
        <v>610.5</v>
      </c>
      <c r="M32" s="37" t="s">
        <v>288</v>
      </c>
      <c r="N32" s="37">
        <v>685.06801396973219</v>
      </c>
      <c r="O32" s="130">
        <f t="shared" si="3"/>
        <v>418234.02252852148</v>
      </c>
      <c r="P32" s="132">
        <f t="shared" si="4"/>
        <v>62567.179096862907</v>
      </c>
      <c r="Q32" s="261">
        <v>0.25</v>
      </c>
      <c r="R32" s="92"/>
    </row>
    <row r="33" spans="1:18" x14ac:dyDescent="0.25">
      <c r="A33">
        <v>1985</v>
      </c>
      <c r="B33" t="s">
        <v>285</v>
      </c>
      <c r="C33" s="263" t="s">
        <v>303</v>
      </c>
      <c r="D33" s="157" t="s">
        <v>366</v>
      </c>
      <c r="E33" s="44">
        <f t="shared" si="0"/>
        <v>31228</v>
      </c>
      <c r="F33" s="127" t="str">
        <f t="shared" si="1"/>
        <v>Date check - OK</v>
      </c>
      <c r="G33" s="1"/>
      <c r="H33" s="161"/>
      <c r="I33" s="37"/>
      <c r="J33" s="135">
        <f t="shared" si="2"/>
        <v>0.59839396822477431</v>
      </c>
      <c r="K33" s="112"/>
      <c r="L33" s="37">
        <v>406.4</v>
      </c>
      <c r="M33" s="37" t="s">
        <v>288</v>
      </c>
      <c r="N33" s="37">
        <v>567.62778300349237</v>
      </c>
      <c r="O33" s="130">
        <f t="shared" si="3"/>
        <v>230683.93101261929</v>
      </c>
      <c r="P33" s="132">
        <f t="shared" si="4"/>
        <v>138039.87288433133</v>
      </c>
      <c r="Q33" s="261">
        <v>1</v>
      </c>
      <c r="R33" s="92"/>
    </row>
    <row r="34" spans="1:18" x14ac:dyDescent="0.25">
      <c r="A34">
        <v>1985</v>
      </c>
      <c r="B34" t="s">
        <v>285</v>
      </c>
      <c r="C34" s="263" t="s">
        <v>304</v>
      </c>
      <c r="D34" s="157" t="s">
        <v>367</v>
      </c>
      <c r="E34" s="44">
        <f t="shared" si="0"/>
        <v>31228</v>
      </c>
      <c r="F34" s="127" t="str">
        <f t="shared" si="1"/>
        <v>Date check - OK</v>
      </c>
      <c r="G34" s="1"/>
      <c r="H34" s="161"/>
      <c r="I34" s="37"/>
      <c r="J34" s="135">
        <f t="shared" si="2"/>
        <v>0.59839396822477431</v>
      </c>
      <c r="K34" s="112"/>
      <c r="L34" s="37">
        <v>139</v>
      </c>
      <c r="M34" s="37" t="s">
        <v>288</v>
      </c>
      <c r="N34" s="37">
        <v>1578.9186607683353</v>
      </c>
      <c r="O34" s="130">
        <f t="shared" si="3"/>
        <v>219469.69384679859</v>
      </c>
      <c r="P34" s="132">
        <f t="shared" si="4"/>
        <v>131329.34100606214</v>
      </c>
      <c r="Q34" s="261">
        <v>1</v>
      </c>
      <c r="R34" s="92"/>
    </row>
    <row r="35" spans="1:18" x14ac:dyDescent="0.25">
      <c r="A35">
        <v>1985</v>
      </c>
      <c r="B35" t="s">
        <v>285</v>
      </c>
      <c r="C35" s="263" t="s">
        <v>304</v>
      </c>
      <c r="D35" s="157" t="s">
        <v>367</v>
      </c>
      <c r="E35" s="44">
        <f t="shared" si="0"/>
        <v>31228</v>
      </c>
      <c r="F35" s="127" t="str">
        <f t="shared" si="1"/>
        <v>Date check - OK</v>
      </c>
      <c r="G35" s="1"/>
      <c r="H35" s="161"/>
      <c r="I35" s="37"/>
      <c r="J35" s="135">
        <f t="shared" si="2"/>
        <v>0.59839396822477431</v>
      </c>
      <c r="K35" s="112"/>
      <c r="L35" s="37">
        <v>731</v>
      </c>
      <c r="M35" s="37" t="s">
        <v>288</v>
      </c>
      <c r="N35" s="37">
        <v>1666.9988339930151</v>
      </c>
      <c r="O35" s="130">
        <f t="shared" si="3"/>
        <v>1218576.147648894</v>
      </c>
      <c r="P35" s="132">
        <f t="shared" si="4"/>
        <v>729188.61657568021</v>
      </c>
      <c r="Q35" s="261">
        <v>1</v>
      </c>
      <c r="R35" s="92"/>
    </row>
    <row r="36" spans="1:18" x14ac:dyDescent="0.25">
      <c r="A36">
        <v>1985</v>
      </c>
      <c r="B36" t="s">
        <v>285</v>
      </c>
      <c r="C36" s="263" t="s">
        <v>304</v>
      </c>
      <c r="D36" s="157" t="s">
        <v>367</v>
      </c>
      <c r="E36" s="44">
        <f t="shared" si="0"/>
        <v>31228</v>
      </c>
      <c r="F36" s="127" t="str">
        <f t="shared" si="1"/>
        <v>Date check - OK</v>
      </c>
      <c r="G36" s="1"/>
      <c r="H36" s="161"/>
      <c r="I36" s="37"/>
      <c r="J36" s="135">
        <f t="shared" si="2"/>
        <v>0.59839396822477431</v>
      </c>
      <c r="K36" s="112"/>
      <c r="L36" s="37">
        <v>897</v>
      </c>
      <c r="M36" s="37" t="s">
        <v>288</v>
      </c>
      <c r="N36" s="37">
        <v>1386.4471711292199</v>
      </c>
      <c r="O36" s="130">
        <f t="shared" si="3"/>
        <v>1243643.1125029102</v>
      </c>
      <c r="P36" s="132">
        <f t="shared" si="4"/>
        <v>744188.53714602592</v>
      </c>
      <c r="Q36" s="261">
        <v>1</v>
      </c>
      <c r="R36" s="92"/>
    </row>
    <row r="37" spans="1:18" x14ac:dyDescent="0.25">
      <c r="A37">
        <v>1985</v>
      </c>
      <c r="B37" t="s">
        <v>285</v>
      </c>
      <c r="C37" s="263" t="s">
        <v>304</v>
      </c>
      <c r="D37" s="157" t="s">
        <v>367</v>
      </c>
      <c r="E37" s="44">
        <f t="shared" si="0"/>
        <v>31228</v>
      </c>
      <c r="F37" s="127" t="str">
        <f t="shared" si="1"/>
        <v>Date check - OK</v>
      </c>
      <c r="G37" s="1"/>
      <c r="H37" s="161"/>
      <c r="I37" s="37"/>
      <c r="J37" s="135">
        <f t="shared" si="2"/>
        <v>0.59839396822477431</v>
      </c>
      <c r="K37" s="112"/>
      <c r="L37" s="37">
        <v>427</v>
      </c>
      <c r="M37" s="37" t="s">
        <v>288</v>
      </c>
      <c r="N37" s="37">
        <v>1149.9355948777647</v>
      </c>
      <c r="O37" s="130">
        <f t="shared" si="3"/>
        <v>491022.49901280552</v>
      </c>
      <c r="P37" s="132">
        <f t="shared" si="4"/>
        <v>293824.90167191799</v>
      </c>
      <c r="Q37" s="261">
        <v>1</v>
      </c>
      <c r="R37" s="92"/>
    </row>
    <row r="38" spans="1:18" x14ac:dyDescent="0.25">
      <c r="A38">
        <v>1985</v>
      </c>
      <c r="B38" t="s">
        <v>285</v>
      </c>
      <c r="C38" s="263" t="s">
        <v>305</v>
      </c>
      <c r="D38" s="157" t="s">
        <v>368</v>
      </c>
      <c r="E38" s="44">
        <f t="shared" si="0"/>
        <v>31228</v>
      </c>
      <c r="F38" s="127" t="str">
        <f t="shared" si="1"/>
        <v>Date check - OK</v>
      </c>
      <c r="G38" s="1"/>
      <c r="H38" s="161"/>
      <c r="I38" s="37"/>
      <c r="J38" s="135">
        <f t="shared" si="2"/>
        <v>0.59839396822477431</v>
      </c>
      <c r="K38" s="112"/>
      <c r="L38" s="37">
        <v>180</v>
      </c>
      <c r="M38" s="37" t="s">
        <v>288</v>
      </c>
      <c r="N38" s="37">
        <v>2710.9119981373692</v>
      </c>
      <c r="O38" s="130">
        <f t="shared" si="3"/>
        <v>487964.15966472647</v>
      </c>
      <c r="P38" s="132">
        <f t="shared" si="4"/>
        <v>291994.809853243</v>
      </c>
      <c r="Q38" s="261">
        <v>1</v>
      </c>
      <c r="R38" s="92"/>
    </row>
    <row r="39" spans="1:18" x14ac:dyDescent="0.25">
      <c r="A39">
        <v>1985</v>
      </c>
      <c r="B39" t="s">
        <v>285</v>
      </c>
      <c r="C39" s="263" t="s">
        <v>305</v>
      </c>
      <c r="D39" s="157" t="s">
        <v>368</v>
      </c>
      <c r="E39" s="44">
        <f t="shared" si="0"/>
        <v>31228</v>
      </c>
      <c r="F39" s="127" t="str">
        <f t="shared" si="1"/>
        <v>Date check - OK</v>
      </c>
      <c r="G39" s="1"/>
      <c r="H39" s="161"/>
      <c r="I39" s="37"/>
      <c r="J39" s="135">
        <f t="shared" si="2"/>
        <v>0.59839396822477431</v>
      </c>
      <c r="K39" s="112"/>
      <c r="L39" s="37">
        <v>902</v>
      </c>
      <c r="M39" s="37" t="s">
        <v>288</v>
      </c>
      <c r="N39" s="37">
        <v>2210.1599022118739</v>
      </c>
      <c r="O39" s="130">
        <f t="shared" si="3"/>
        <v>1993564.2317951103</v>
      </c>
      <c r="P39" s="132">
        <f t="shared" si="4"/>
        <v>1192936.8115748498</v>
      </c>
      <c r="Q39" s="261">
        <v>1</v>
      </c>
      <c r="R39" s="92"/>
    </row>
    <row r="40" spans="1:18" x14ac:dyDescent="0.25">
      <c r="A40">
        <v>1984</v>
      </c>
      <c r="B40" t="s">
        <v>285</v>
      </c>
      <c r="C40" s="263" t="s">
        <v>306</v>
      </c>
      <c r="D40" s="157" t="s">
        <v>369</v>
      </c>
      <c r="E40" s="44">
        <f t="shared" si="0"/>
        <v>30863</v>
      </c>
      <c r="F40" s="127" t="str">
        <f t="shared" si="1"/>
        <v>Date check - OK</v>
      </c>
      <c r="G40" s="1"/>
      <c r="H40" s="161"/>
      <c r="I40" s="37"/>
      <c r="J40" s="135">
        <f t="shared" si="2"/>
        <v>0.59839396822477431</v>
      </c>
      <c r="K40" s="112"/>
      <c r="L40" s="37">
        <v>547</v>
      </c>
      <c r="M40" s="37" t="s">
        <v>288</v>
      </c>
      <c r="N40" s="37">
        <v>2378.164677066356</v>
      </c>
      <c r="O40" s="130">
        <f t="shared" si="3"/>
        <v>1300856.0783552967</v>
      </c>
      <c r="P40" s="132">
        <f t="shared" si="4"/>
        <v>778424.43081634399</v>
      </c>
      <c r="Q40" s="261">
        <v>1</v>
      </c>
      <c r="R40" s="92"/>
    </row>
    <row r="41" spans="1:18" x14ac:dyDescent="0.25">
      <c r="A41">
        <v>1984</v>
      </c>
      <c r="B41" t="s">
        <v>285</v>
      </c>
      <c r="C41" s="263" t="s">
        <v>306</v>
      </c>
      <c r="D41" s="157" t="s">
        <v>369</v>
      </c>
      <c r="E41" s="44">
        <f t="shared" si="0"/>
        <v>30863</v>
      </c>
      <c r="F41" s="127" t="str">
        <f t="shared" si="1"/>
        <v>Date check - OK</v>
      </c>
      <c r="G41" s="1"/>
      <c r="H41" s="161"/>
      <c r="I41" s="37"/>
      <c r="J41" s="135">
        <f t="shared" si="2"/>
        <v>0.59839396822477431</v>
      </c>
      <c r="K41" s="112"/>
      <c r="L41" s="37">
        <v>493</v>
      </c>
      <c r="M41" s="37" t="s">
        <v>288</v>
      </c>
      <c r="N41" s="37">
        <v>1861.1014379511059</v>
      </c>
      <c r="O41" s="130">
        <f t="shared" si="3"/>
        <v>917523.0089098952</v>
      </c>
      <c r="P41" s="132">
        <f t="shared" si="4"/>
        <v>549040.23423912714</v>
      </c>
      <c r="Q41" s="261">
        <v>1</v>
      </c>
      <c r="R41" s="92"/>
    </row>
    <row r="42" spans="1:18" x14ac:dyDescent="0.25">
      <c r="A42">
        <v>1983</v>
      </c>
      <c r="B42" t="s">
        <v>285</v>
      </c>
      <c r="C42" s="263" t="s">
        <v>307</v>
      </c>
      <c r="D42" s="157" t="s">
        <v>370</v>
      </c>
      <c r="E42" s="44">
        <f t="shared" si="0"/>
        <v>30497</v>
      </c>
      <c r="F42" s="127" t="str">
        <f t="shared" si="1"/>
        <v>Date check - OK</v>
      </c>
      <c r="G42" s="1"/>
      <c r="H42" s="161"/>
      <c r="I42" s="37"/>
      <c r="J42" s="135">
        <f t="shared" si="2"/>
        <v>0.59839396822477431</v>
      </c>
      <c r="K42" s="112"/>
      <c r="L42" s="37">
        <v>571</v>
      </c>
      <c r="M42" s="37" t="s">
        <v>288</v>
      </c>
      <c r="N42" s="37">
        <v>685.06801396973219</v>
      </c>
      <c r="O42" s="130">
        <f t="shared" si="3"/>
        <v>391173.83597671706</v>
      </c>
      <c r="P42" s="132">
        <f t="shared" si="4"/>
        <v>58519.015993953675</v>
      </c>
      <c r="Q42" s="261">
        <v>0.25</v>
      </c>
      <c r="R42" s="92"/>
    </row>
    <row r="43" spans="1:18" x14ac:dyDescent="0.25">
      <c r="A43">
        <v>1983</v>
      </c>
      <c r="B43" t="s">
        <v>285</v>
      </c>
      <c r="C43" s="263" t="s">
        <v>308</v>
      </c>
      <c r="D43" s="157" t="s">
        <v>371</v>
      </c>
      <c r="E43" s="44">
        <f t="shared" si="0"/>
        <v>30497</v>
      </c>
      <c r="F43" s="127" t="str">
        <f t="shared" si="1"/>
        <v>Date check - OK</v>
      </c>
      <c r="G43" s="1"/>
      <c r="H43" s="161"/>
      <c r="I43" s="37"/>
      <c r="J43" s="135">
        <f t="shared" si="2"/>
        <v>0.59839396822477431</v>
      </c>
      <c r="K43" s="112"/>
      <c r="L43" s="37">
        <v>98</v>
      </c>
      <c r="M43" s="37" t="s">
        <v>288</v>
      </c>
      <c r="N43" s="37">
        <v>751.94370104772986</v>
      </c>
      <c r="O43" s="130">
        <f t="shared" si="3"/>
        <v>73690.482702677531</v>
      </c>
      <c r="P43" s="132">
        <f t="shared" si="4"/>
        <v>44095.940364854301</v>
      </c>
      <c r="Q43" s="261">
        <v>1</v>
      </c>
      <c r="R43" s="92"/>
    </row>
    <row r="44" spans="1:18" x14ac:dyDescent="0.25">
      <c r="A44">
        <v>1981</v>
      </c>
      <c r="B44" t="s">
        <v>285</v>
      </c>
      <c r="C44" s="263" t="s">
        <v>309</v>
      </c>
      <c r="D44" s="157" t="s">
        <v>372</v>
      </c>
      <c r="E44" s="44">
        <f t="shared" si="0"/>
        <v>29767</v>
      </c>
      <c r="F44" s="127" t="str">
        <f t="shared" si="1"/>
        <v>Date check - OK</v>
      </c>
      <c r="G44" s="1"/>
      <c r="H44" s="161"/>
      <c r="I44" s="37"/>
      <c r="J44" s="135">
        <f t="shared" si="2"/>
        <v>0.59839396822477431</v>
      </c>
      <c r="K44" s="112"/>
      <c r="L44" s="37">
        <v>255.8</v>
      </c>
      <c r="M44" s="37" t="s">
        <v>288</v>
      </c>
      <c r="N44" s="37">
        <v>567.62778300349237</v>
      </c>
      <c r="O44" s="130">
        <f t="shared" si="3"/>
        <v>145199.18689229336</v>
      </c>
      <c r="P44" s="132">
        <f t="shared" si="4"/>
        <v>26934.758464521918</v>
      </c>
      <c r="Q44" s="261">
        <v>0.31</v>
      </c>
      <c r="R44" s="92"/>
    </row>
    <row r="45" spans="1:18" x14ac:dyDescent="0.25">
      <c r="A45">
        <v>1981</v>
      </c>
      <c r="B45" t="s">
        <v>285</v>
      </c>
      <c r="C45" s="263" t="s">
        <v>310</v>
      </c>
      <c r="D45" s="157" t="s">
        <v>373</v>
      </c>
      <c r="E45" s="44">
        <f t="shared" si="0"/>
        <v>29767</v>
      </c>
      <c r="F45" s="127" t="str">
        <f t="shared" si="1"/>
        <v>Date check - OK</v>
      </c>
      <c r="G45" s="1"/>
      <c r="H45" s="161"/>
      <c r="I45" s="37"/>
      <c r="J45" s="135">
        <f t="shared" si="2"/>
        <v>0.59839396822477431</v>
      </c>
      <c r="K45" s="112"/>
      <c r="L45" s="37">
        <v>780.6</v>
      </c>
      <c r="M45" s="37" t="s">
        <v>288</v>
      </c>
      <c r="N45" s="37">
        <v>751.94370104772986</v>
      </c>
      <c r="O45" s="130">
        <f t="shared" si="3"/>
        <v>586967.25303785794</v>
      </c>
      <c r="P45" s="132">
        <f t="shared" si="4"/>
        <v>351237.66376331903</v>
      </c>
      <c r="Q45" s="261">
        <v>1</v>
      </c>
      <c r="R45" s="92"/>
    </row>
    <row r="46" spans="1:18" x14ac:dyDescent="0.25">
      <c r="A46">
        <v>1980</v>
      </c>
      <c r="B46" t="s">
        <v>285</v>
      </c>
      <c r="C46" s="263" t="s">
        <v>311</v>
      </c>
      <c r="D46" s="157" t="s">
        <v>374</v>
      </c>
      <c r="E46" s="44">
        <f t="shared" si="0"/>
        <v>29402</v>
      </c>
      <c r="F46" s="127" t="str">
        <f t="shared" si="1"/>
        <v>Date check - OK</v>
      </c>
      <c r="G46" s="1"/>
      <c r="H46" s="161"/>
      <c r="I46" s="37"/>
      <c r="J46" s="135">
        <f t="shared" si="2"/>
        <v>0.59839396822477431</v>
      </c>
      <c r="K46" s="112"/>
      <c r="L46" s="37">
        <v>507.6</v>
      </c>
      <c r="M46" s="37" t="s">
        <v>288</v>
      </c>
      <c r="N46" s="37">
        <v>1177.6645383003492</v>
      </c>
      <c r="O46" s="130">
        <f t="shared" si="3"/>
        <v>597782.51964125736</v>
      </c>
      <c r="P46" s="132">
        <f t="shared" si="4"/>
        <v>357709.45406353608</v>
      </c>
      <c r="Q46" s="261">
        <v>1</v>
      </c>
      <c r="R46" s="92"/>
    </row>
    <row r="47" spans="1:18" x14ac:dyDescent="0.25">
      <c r="A47">
        <v>1980</v>
      </c>
      <c r="B47" t="s">
        <v>285</v>
      </c>
      <c r="C47" s="263" t="s">
        <v>312</v>
      </c>
      <c r="D47" s="157" t="s">
        <v>375</v>
      </c>
      <c r="E47" s="44">
        <f t="shared" si="0"/>
        <v>29402</v>
      </c>
      <c r="F47" s="127" t="str">
        <f t="shared" si="1"/>
        <v>Date check - OK</v>
      </c>
      <c r="G47" s="1"/>
      <c r="H47" s="161"/>
      <c r="I47" s="37"/>
      <c r="J47" s="135">
        <f t="shared" si="2"/>
        <v>0.59839396822477431</v>
      </c>
      <c r="K47" s="112"/>
      <c r="L47" s="37">
        <v>323</v>
      </c>
      <c r="M47" s="37" t="s">
        <v>288</v>
      </c>
      <c r="N47" s="37">
        <v>567.62778300349237</v>
      </c>
      <c r="O47" s="130">
        <f t="shared" si="3"/>
        <v>183343.77391012805</v>
      </c>
      <c r="P47" s="132">
        <f t="shared" si="4"/>
        <v>109711.80841938737</v>
      </c>
      <c r="Q47" s="261">
        <v>1</v>
      </c>
      <c r="R47" s="92"/>
    </row>
    <row r="48" spans="1:18" ht="23" x14ac:dyDescent="0.25">
      <c r="A48">
        <v>1980</v>
      </c>
      <c r="B48" t="s">
        <v>285</v>
      </c>
      <c r="C48" s="263" t="s">
        <v>312</v>
      </c>
      <c r="D48" s="157" t="s">
        <v>376</v>
      </c>
      <c r="E48" s="44">
        <f t="shared" si="0"/>
        <v>29402</v>
      </c>
      <c r="F48" s="127" t="str">
        <f t="shared" si="1"/>
        <v>Date check - OK</v>
      </c>
      <c r="G48" s="1"/>
      <c r="H48" s="161"/>
      <c r="I48" s="37"/>
      <c r="J48" s="135">
        <f t="shared" si="2"/>
        <v>0.59839396822477431</v>
      </c>
      <c r="K48" s="112"/>
      <c r="L48" s="37">
        <v>322.8</v>
      </c>
      <c r="M48" s="37" t="s">
        <v>288</v>
      </c>
      <c r="N48" s="37">
        <v>567.62778300349237</v>
      </c>
      <c r="O48" s="130">
        <f t="shared" si="3"/>
        <v>183230.24835352733</v>
      </c>
      <c r="P48" s="132">
        <f t="shared" si="4"/>
        <v>33989.601377434228</v>
      </c>
      <c r="Q48" s="261">
        <v>0.31</v>
      </c>
      <c r="R48" s="92"/>
    </row>
    <row r="49" spans="1:18" x14ac:dyDescent="0.25">
      <c r="A49">
        <v>1980</v>
      </c>
      <c r="B49" t="s">
        <v>285</v>
      </c>
      <c r="C49" s="263" t="s">
        <v>313</v>
      </c>
      <c r="D49" s="157" t="s">
        <v>377</v>
      </c>
      <c r="E49" s="44">
        <f t="shared" si="0"/>
        <v>29402</v>
      </c>
      <c r="F49" s="127" t="str">
        <f t="shared" si="1"/>
        <v>Date check - OK</v>
      </c>
      <c r="G49" s="1"/>
      <c r="H49" s="161"/>
      <c r="I49" s="37"/>
      <c r="J49" s="135">
        <f t="shared" si="2"/>
        <v>0.59839396822477431</v>
      </c>
      <c r="K49" s="112"/>
      <c r="L49" s="37">
        <v>906</v>
      </c>
      <c r="M49" s="37" t="s">
        <v>288</v>
      </c>
      <c r="N49" s="37">
        <v>5527.8464270081495</v>
      </c>
      <c r="O49" s="130">
        <f t="shared" si="3"/>
        <v>5008228.8628693838</v>
      </c>
      <c r="P49" s="132">
        <f t="shared" si="4"/>
        <v>2996893.9430302596</v>
      </c>
      <c r="Q49" s="261">
        <v>1</v>
      </c>
      <c r="R49" s="92"/>
    </row>
    <row r="50" spans="1:18" x14ac:dyDescent="0.25">
      <c r="A50">
        <v>1979</v>
      </c>
      <c r="B50" t="s">
        <v>285</v>
      </c>
      <c r="C50" s="263" t="s">
        <v>314</v>
      </c>
      <c r="D50" s="157" t="s">
        <v>378</v>
      </c>
      <c r="E50" s="44">
        <f t="shared" si="0"/>
        <v>29036</v>
      </c>
      <c r="F50" s="127" t="str">
        <f t="shared" si="1"/>
        <v>Date check - OK</v>
      </c>
      <c r="G50" s="1"/>
      <c r="H50" s="161"/>
      <c r="I50" s="37"/>
      <c r="J50" s="135">
        <f t="shared" si="2"/>
        <v>0.59839396822477431</v>
      </c>
      <c r="K50" s="112"/>
      <c r="L50" s="37">
        <v>51.9</v>
      </c>
      <c r="M50" s="37" t="s">
        <v>288</v>
      </c>
      <c r="N50" s="37">
        <v>624.71678416763677</v>
      </c>
      <c r="O50" s="130">
        <f t="shared" si="3"/>
        <v>32422.801098300348</v>
      </c>
      <c r="P50" s="132">
        <f t="shared" si="4"/>
        <v>5238.4343247471197</v>
      </c>
      <c r="Q50" s="261">
        <v>0.27</v>
      </c>
      <c r="R50" s="92"/>
    </row>
    <row r="51" spans="1:18" ht="23" x14ac:dyDescent="0.25">
      <c r="A51">
        <v>1977</v>
      </c>
      <c r="B51" t="s">
        <v>285</v>
      </c>
      <c r="C51" s="263" t="s">
        <v>315</v>
      </c>
      <c r="D51" s="157" t="s">
        <v>379</v>
      </c>
      <c r="E51" s="44">
        <f t="shared" si="0"/>
        <v>28306</v>
      </c>
      <c r="F51" s="127" t="str">
        <f t="shared" si="1"/>
        <v>Date check - OK</v>
      </c>
      <c r="G51" s="1"/>
      <c r="H51" s="161"/>
      <c r="I51" s="37"/>
      <c r="J51" s="135">
        <f t="shared" si="2"/>
        <v>0.59839396822477431</v>
      </c>
      <c r="K51" s="112"/>
      <c r="L51" s="37">
        <v>352</v>
      </c>
      <c r="M51" s="37" t="s">
        <v>288</v>
      </c>
      <c r="N51" s="37">
        <v>639.39681303841667</v>
      </c>
      <c r="O51" s="130">
        <f t="shared" si="3"/>
        <v>225067.67818952267</v>
      </c>
      <c r="P51" s="132">
        <f t="shared" si="4"/>
        <v>29629.411035612287</v>
      </c>
      <c r="Q51" s="261">
        <v>0.22</v>
      </c>
      <c r="R51" s="92"/>
    </row>
    <row r="52" spans="1:18" x14ac:dyDescent="0.25">
      <c r="A52">
        <v>1977</v>
      </c>
      <c r="B52" t="s">
        <v>285</v>
      </c>
      <c r="C52" s="263" t="s">
        <v>315</v>
      </c>
      <c r="D52" s="157" t="s">
        <v>380</v>
      </c>
      <c r="E52" s="44">
        <f t="shared" si="0"/>
        <v>28306</v>
      </c>
      <c r="F52" s="127" t="str">
        <f t="shared" si="1"/>
        <v>Date check - OK</v>
      </c>
      <c r="G52" s="1"/>
      <c r="H52" s="161"/>
      <c r="I52" s="37"/>
      <c r="J52" s="135">
        <f t="shared" si="2"/>
        <v>0.59839396822477431</v>
      </c>
      <c r="K52" s="112"/>
      <c r="L52" s="37">
        <v>337</v>
      </c>
      <c r="M52" s="37" t="s">
        <v>288</v>
      </c>
      <c r="N52" s="37">
        <v>624.71678416763677</v>
      </c>
      <c r="O52" s="130">
        <f t="shared" si="3"/>
        <v>210529.55626449359</v>
      </c>
      <c r="P52" s="132">
        <f t="shared" si="4"/>
        <v>125979.61660171121</v>
      </c>
      <c r="Q52" s="261">
        <v>1</v>
      </c>
      <c r="R52" s="92"/>
    </row>
    <row r="53" spans="1:18" x14ac:dyDescent="0.25">
      <c r="A53">
        <v>1977</v>
      </c>
      <c r="B53" t="s">
        <v>285</v>
      </c>
      <c r="C53" s="263" t="s">
        <v>315</v>
      </c>
      <c r="D53" s="157" t="s">
        <v>381</v>
      </c>
      <c r="E53" s="44">
        <f t="shared" si="0"/>
        <v>28306</v>
      </c>
      <c r="F53" s="127" t="str">
        <f t="shared" si="1"/>
        <v>Date check - OK</v>
      </c>
      <c r="G53" s="1"/>
      <c r="H53" s="161"/>
      <c r="I53" s="37"/>
      <c r="J53" s="135">
        <f t="shared" si="2"/>
        <v>0.59839396822477431</v>
      </c>
      <c r="K53" s="112"/>
      <c r="L53" s="37">
        <v>352</v>
      </c>
      <c r="M53" s="37" t="s">
        <v>288</v>
      </c>
      <c r="N53" s="37">
        <v>580.67669755529687</v>
      </c>
      <c r="O53" s="130">
        <f t="shared" si="3"/>
        <v>204398.19753946451</v>
      </c>
      <c r="P53" s="132">
        <f t="shared" si="4"/>
        <v>29354.555645671553</v>
      </c>
      <c r="Q53" s="261">
        <v>0.24</v>
      </c>
      <c r="R53" s="92"/>
    </row>
    <row r="54" spans="1:18" x14ac:dyDescent="0.25">
      <c r="A54">
        <v>1977</v>
      </c>
      <c r="B54" t="s">
        <v>285</v>
      </c>
      <c r="C54" s="263" t="s">
        <v>315</v>
      </c>
      <c r="D54" s="157" t="s">
        <v>382</v>
      </c>
      <c r="E54" s="44">
        <f t="shared" si="0"/>
        <v>28306</v>
      </c>
      <c r="F54" s="127" t="str">
        <f t="shared" si="1"/>
        <v>Date check - OK</v>
      </c>
      <c r="G54" s="1"/>
      <c r="H54" s="161"/>
      <c r="I54" s="37"/>
      <c r="J54" s="135">
        <f t="shared" si="2"/>
        <v>0.59839396822477431</v>
      </c>
      <c r="K54" s="112"/>
      <c r="L54" s="37">
        <v>337</v>
      </c>
      <c r="M54" s="37" t="s">
        <v>288</v>
      </c>
      <c r="N54" s="37">
        <v>624.71678416763677</v>
      </c>
      <c r="O54" s="130">
        <f t="shared" si="3"/>
        <v>210529.55626449359</v>
      </c>
      <c r="P54" s="132">
        <f t="shared" si="4"/>
        <v>125979.61660171121</v>
      </c>
      <c r="Q54" s="261">
        <v>1</v>
      </c>
      <c r="R54" s="92"/>
    </row>
    <row r="55" spans="1:18" x14ac:dyDescent="0.25">
      <c r="A55">
        <v>1977</v>
      </c>
      <c r="B55" t="s">
        <v>285</v>
      </c>
      <c r="C55" s="263" t="s">
        <v>316</v>
      </c>
      <c r="D55" s="157" t="s">
        <v>383</v>
      </c>
      <c r="E55" s="44">
        <f t="shared" si="0"/>
        <v>28306</v>
      </c>
      <c r="F55" s="127" t="str">
        <f t="shared" si="1"/>
        <v>Date check - OK</v>
      </c>
      <c r="G55" s="1"/>
      <c r="H55" s="161"/>
      <c r="I55" s="37"/>
      <c r="J55" s="135">
        <f t="shared" si="2"/>
        <v>0.59839396822477431</v>
      </c>
      <c r="K55" s="112"/>
      <c r="L55" s="37">
        <v>54</v>
      </c>
      <c r="M55" s="37" t="s">
        <v>288</v>
      </c>
      <c r="N55" s="37">
        <v>3196.9840651920836</v>
      </c>
      <c r="O55" s="130">
        <f t="shared" si="3"/>
        <v>172637.13952037253</v>
      </c>
      <c r="P55" s="132">
        <f t="shared" si="4"/>
        <v>103305.02298056973</v>
      </c>
      <c r="Q55" s="261">
        <v>1</v>
      </c>
      <c r="R55" s="92"/>
    </row>
    <row r="56" spans="1:18" x14ac:dyDescent="0.25">
      <c r="A56">
        <v>1977</v>
      </c>
      <c r="B56" t="s">
        <v>285</v>
      </c>
      <c r="C56" s="263" t="s">
        <v>316</v>
      </c>
      <c r="D56" s="157" t="s">
        <v>383</v>
      </c>
      <c r="E56" s="44">
        <f t="shared" si="0"/>
        <v>28306</v>
      </c>
      <c r="F56" s="127" t="str">
        <f t="shared" si="1"/>
        <v>Date check - OK</v>
      </c>
      <c r="G56" s="1"/>
      <c r="H56" s="161"/>
      <c r="I56" s="37"/>
      <c r="J56" s="135">
        <f t="shared" si="2"/>
        <v>0.59839396822477431</v>
      </c>
      <c r="K56" s="112"/>
      <c r="L56" s="37">
        <v>223</v>
      </c>
      <c r="M56" s="37" t="s">
        <v>288</v>
      </c>
      <c r="N56" s="37">
        <v>1861.1014379511059</v>
      </c>
      <c r="O56" s="130">
        <f t="shared" si="3"/>
        <v>415025.6206630966</v>
      </c>
      <c r="P56" s="132">
        <f t="shared" si="4"/>
        <v>248348.82806354028</v>
      </c>
      <c r="Q56" s="261">
        <v>1</v>
      </c>
      <c r="R56" s="92"/>
    </row>
    <row r="57" spans="1:18" x14ac:dyDescent="0.25">
      <c r="A57">
        <v>1977</v>
      </c>
      <c r="B57" t="s">
        <v>285</v>
      </c>
      <c r="C57" s="263" t="s">
        <v>316</v>
      </c>
      <c r="D57" s="157" t="s">
        <v>383</v>
      </c>
      <c r="E57" s="44">
        <f t="shared" si="0"/>
        <v>28306</v>
      </c>
      <c r="F57" s="127" t="str">
        <f t="shared" si="1"/>
        <v>Date check - OK</v>
      </c>
      <c r="G57" s="1"/>
      <c r="H57" s="161"/>
      <c r="I57" s="37"/>
      <c r="J57" s="135">
        <f t="shared" si="2"/>
        <v>0.59839396822477431</v>
      </c>
      <c r="K57" s="112"/>
      <c r="L57" s="37">
        <v>187</v>
      </c>
      <c r="M57" s="37" t="s">
        <v>288</v>
      </c>
      <c r="N57" s="37">
        <v>1386.4471711292199</v>
      </c>
      <c r="O57" s="130">
        <f t="shared" si="3"/>
        <v>259265.62100116411</v>
      </c>
      <c r="P57" s="132">
        <f t="shared" si="4"/>
        <v>155142.98377514697</v>
      </c>
      <c r="Q57" s="261">
        <v>1</v>
      </c>
      <c r="R57" s="92"/>
    </row>
    <row r="58" spans="1:18" x14ac:dyDescent="0.25">
      <c r="A58">
        <v>1977</v>
      </c>
      <c r="B58" t="s">
        <v>285</v>
      </c>
      <c r="C58" s="263" t="s">
        <v>316</v>
      </c>
      <c r="D58" s="157" t="s">
        <v>383</v>
      </c>
      <c r="E58" s="44">
        <f t="shared" si="0"/>
        <v>28306</v>
      </c>
      <c r="F58" s="127" t="str">
        <f t="shared" si="1"/>
        <v>Date check - OK</v>
      </c>
      <c r="G58" s="1"/>
      <c r="H58" s="161"/>
      <c r="I58" s="37"/>
      <c r="J58" s="135">
        <f t="shared" si="2"/>
        <v>0.59839396822477431</v>
      </c>
      <c r="K58" s="112"/>
      <c r="L58" s="37">
        <v>984</v>
      </c>
      <c r="M58" s="37" t="s">
        <v>288</v>
      </c>
      <c r="N58" s="37">
        <v>1149.9355948777647</v>
      </c>
      <c r="O58" s="130">
        <f t="shared" si="3"/>
        <v>1131536.6253597206</v>
      </c>
      <c r="P58" s="132">
        <f t="shared" si="4"/>
        <v>677104.69144067296</v>
      </c>
      <c r="Q58" s="261">
        <v>1</v>
      </c>
      <c r="R58" s="92"/>
    </row>
    <row r="59" spans="1:18" x14ac:dyDescent="0.25">
      <c r="A59">
        <v>1977</v>
      </c>
      <c r="B59" t="s">
        <v>285</v>
      </c>
      <c r="C59" s="263" t="s">
        <v>316</v>
      </c>
      <c r="D59" s="157" t="s">
        <v>383</v>
      </c>
      <c r="E59" s="44">
        <f t="shared" si="0"/>
        <v>28306</v>
      </c>
      <c r="F59" s="127" t="str">
        <f t="shared" si="1"/>
        <v>Date check - OK</v>
      </c>
      <c r="G59" s="1"/>
      <c r="H59" s="161"/>
      <c r="I59" s="37"/>
      <c r="J59" s="135">
        <f t="shared" si="2"/>
        <v>0.59839396822477431</v>
      </c>
      <c r="K59" s="112"/>
      <c r="L59" s="37">
        <v>30</v>
      </c>
      <c r="M59" s="37" t="s">
        <v>288</v>
      </c>
      <c r="N59" s="37">
        <v>1024.3397923166472</v>
      </c>
      <c r="O59" s="130">
        <f t="shared" si="3"/>
        <v>30730.193769499416</v>
      </c>
      <c r="P59" s="132">
        <f t="shared" si="4"/>
        <v>18388.762594046992</v>
      </c>
      <c r="Q59" s="261">
        <v>1</v>
      </c>
      <c r="R59" s="92"/>
    </row>
    <row r="60" spans="1:18" x14ac:dyDescent="0.25">
      <c r="A60">
        <v>1977</v>
      </c>
      <c r="B60" t="s">
        <v>285</v>
      </c>
      <c r="C60" s="263" t="s">
        <v>316</v>
      </c>
      <c r="D60" s="157" t="s">
        <v>383</v>
      </c>
      <c r="E60" s="44">
        <f t="shared" si="0"/>
        <v>28306</v>
      </c>
      <c r="F60" s="127" t="str">
        <f t="shared" si="1"/>
        <v>Date check - OK</v>
      </c>
      <c r="G60" s="1"/>
      <c r="H60" s="161"/>
      <c r="I60" s="37"/>
      <c r="J60" s="135">
        <f t="shared" si="2"/>
        <v>0.59839396822477431</v>
      </c>
      <c r="K60" s="112"/>
      <c r="L60" s="37">
        <v>30</v>
      </c>
      <c r="M60" s="37" t="s">
        <v>288</v>
      </c>
      <c r="N60" s="37">
        <v>751.94370104772986</v>
      </c>
      <c r="O60" s="130">
        <f t="shared" si="3"/>
        <v>22558.311031431895</v>
      </c>
      <c r="P60" s="132">
        <f t="shared" si="4"/>
        <v>13498.757254547232</v>
      </c>
      <c r="Q60" s="261">
        <v>1</v>
      </c>
      <c r="R60" s="92"/>
    </row>
    <row r="61" spans="1:18" x14ac:dyDescent="0.25">
      <c r="A61">
        <v>1976</v>
      </c>
      <c r="B61" t="s">
        <v>285</v>
      </c>
      <c r="C61" s="263" t="s">
        <v>317</v>
      </c>
      <c r="D61" s="157" t="s">
        <v>384</v>
      </c>
      <c r="E61" s="44">
        <f t="shared" si="0"/>
        <v>27941</v>
      </c>
      <c r="F61" s="127" t="str">
        <f t="shared" si="1"/>
        <v>Date check - OK</v>
      </c>
      <c r="G61" s="1"/>
      <c r="H61" s="161"/>
      <c r="I61" s="37"/>
      <c r="J61" s="135">
        <f t="shared" si="2"/>
        <v>0.59839396822477431</v>
      </c>
      <c r="K61" s="112"/>
      <c r="L61" s="37">
        <v>528</v>
      </c>
      <c r="M61" s="37" t="s">
        <v>288</v>
      </c>
      <c r="N61" s="37">
        <v>567.62778300349237</v>
      </c>
      <c r="O61" s="130">
        <f t="shared" si="3"/>
        <v>299707.46942584397</v>
      </c>
      <c r="P61" s="132">
        <f t="shared" si="4"/>
        <v>39455.491225993923</v>
      </c>
      <c r="Q61" s="261">
        <v>0.22</v>
      </c>
      <c r="R61" s="92"/>
    </row>
    <row r="62" spans="1:18" x14ac:dyDescent="0.25">
      <c r="A62">
        <v>1976</v>
      </c>
      <c r="B62" t="s">
        <v>285</v>
      </c>
      <c r="C62" s="263" t="s">
        <v>318</v>
      </c>
      <c r="D62" s="157" t="s">
        <v>385</v>
      </c>
      <c r="E62" s="44">
        <f t="shared" si="0"/>
        <v>27941</v>
      </c>
      <c r="F62" s="127" t="str">
        <f t="shared" si="1"/>
        <v>Date check - OK</v>
      </c>
      <c r="G62" s="1"/>
      <c r="H62" s="161"/>
      <c r="I62" s="37"/>
      <c r="J62" s="135">
        <f t="shared" si="2"/>
        <v>0.59839396822477431</v>
      </c>
      <c r="K62" s="112"/>
      <c r="L62" s="37">
        <v>153.80000000000001</v>
      </c>
      <c r="M62" s="37" t="s">
        <v>288</v>
      </c>
      <c r="N62" s="37">
        <v>567.62778300349237</v>
      </c>
      <c r="O62" s="130">
        <f t="shared" si="3"/>
        <v>87301.153025937136</v>
      </c>
      <c r="P62" s="132">
        <f t="shared" si="4"/>
        <v>52240.483389788787</v>
      </c>
      <c r="Q62" s="261">
        <v>1</v>
      </c>
      <c r="R62" s="92"/>
    </row>
    <row r="63" spans="1:18" x14ac:dyDescent="0.25">
      <c r="A63">
        <v>1976</v>
      </c>
      <c r="B63" t="s">
        <v>285</v>
      </c>
      <c r="C63" s="263" t="s">
        <v>319</v>
      </c>
      <c r="D63" s="157" t="s">
        <v>386</v>
      </c>
      <c r="E63" s="44">
        <f t="shared" si="0"/>
        <v>27941</v>
      </c>
      <c r="F63" s="127" t="str">
        <f t="shared" si="1"/>
        <v>Date check - OK</v>
      </c>
      <c r="G63" s="1"/>
      <c r="H63" s="161"/>
      <c r="I63" s="37"/>
      <c r="J63" s="135">
        <f t="shared" si="2"/>
        <v>0.59839396822477431</v>
      </c>
      <c r="K63" s="112"/>
      <c r="L63" s="37">
        <v>622.79999999999995</v>
      </c>
      <c r="M63" s="37" t="s">
        <v>288</v>
      </c>
      <c r="N63" s="37">
        <v>624.71678416763677</v>
      </c>
      <c r="O63" s="130">
        <f t="shared" si="3"/>
        <v>389073.61317960417</v>
      </c>
      <c r="P63" s="132">
        <f t="shared" si="4"/>
        <v>232819.3033220942</v>
      </c>
      <c r="Q63" s="261">
        <v>1</v>
      </c>
      <c r="R63" s="92"/>
    </row>
    <row r="64" spans="1:18" x14ac:dyDescent="0.25">
      <c r="A64">
        <v>1976</v>
      </c>
      <c r="B64" t="s">
        <v>285</v>
      </c>
      <c r="C64" s="263" t="s">
        <v>319</v>
      </c>
      <c r="D64" s="157" t="s">
        <v>386</v>
      </c>
      <c r="E64" s="44">
        <f t="shared" si="0"/>
        <v>27941</v>
      </c>
      <c r="F64" s="127" t="str">
        <f t="shared" si="1"/>
        <v>Date check - OK</v>
      </c>
      <c r="G64" s="1"/>
      <c r="H64" s="161"/>
      <c r="I64" s="37"/>
      <c r="J64" s="135">
        <f t="shared" si="2"/>
        <v>0.59839396822477431</v>
      </c>
      <c r="K64" s="112"/>
      <c r="L64" s="37">
        <v>13.5</v>
      </c>
      <c r="M64" s="37" t="s">
        <v>288</v>
      </c>
      <c r="N64" s="37">
        <v>567.62778300349237</v>
      </c>
      <c r="O64" s="130">
        <f t="shared" si="3"/>
        <v>7662.975070547147</v>
      </c>
      <c r="P64" s="132">
        <f t="shared" si="4"/>
        <v>4585.4780608722267</v>
      </c>
      <c r="Q64" s="261">
        <v>1</v>
      </c>
      <c r="R64" s="92"/>
    </row>
    <row r="65" spans="1:18" x14ac:dyDescent="0.25">
      <c r="A65">
        <v>1976</v>
      </c>
      <c r="B65" t="s">
        <v>285</v>
      </c>
      <c r="C65" s="263" t="s">
        <v>320</v>
      </c>
      <c r="D65" s="157" t="s">
        <v>387</v>
      </c>
      <c r="E65" s="44">
        <f t="shared" si="0"/>
        <v>27941</v>
      </c>
      <c r="F65" s="127" t="str">
        <f t="shared" si="1"/>
        <v>Date check - OK</v>
      </c>
      <c r="G65" s="1"/>
      <c r="H65" s="161"/>
      <c r="I65" s="37"/>
      <c r="J65" s="135">
        <f t="shared" si="2"/>
        <v>0.59839396822477431</v>
      </c>
      <c r="K65" s="112"/>
      <c r="L65" s="37">
        <v>6</v>
      </c>
      <c r="M65" s="37" t="s">
        <v>288</v>
      </c>
      <c r="N65" s="37">
        <v>520.32546775320145</v>
      </c>
      <c r="O65" s="130">
        <f t="shared" si="3"/>
        <v>3121.9528065192089</v>
      </c>
      <c r="P65" s="132">
        <f t="shared" si="4"/>
        <v>1868.1577285035005</v>
      </c>
      <c r="Q65" s="261">
        <v>1</v>
      </c>
      <c r="R65" s="92"/>
    </row>
    <row r="66" spans="1:18" x14ac:dyDescent="0.25">
      <c r="A66">
        <v>1976</v>
      </c>
      <c r="B66" t="s">
        <v>285</v>
      </c>
      <c r="C66" s="263" t="s">
        <v>320</v>
      </c>
      <c r="D66" s="157" t="s">
        <v>387</v>
      </c>
      <c r="E66" s="44">
        <f t="shared" si="0"/>
        <v>27941</v>
      </c>
      <c r="F66" s="127" t="str">
        <f t="shared" si="1"/>
        <v>Date check - OK</v>
      </c>
      <c r="G66" s="1"/>
      <c r="H66" s="161"/>
      <c r="I66" s="37"/>
      <c r="J66" s="135">
        <f t="shared" si="2"/>
        <v>0.59839396822477431</v>
      </c>
      <c r="K66" s="112"/>
      <c r="L66" s="37">
        <v>792</v>
      </c>
      <c r="M66" s="37" t="s">
        <v>288</v>
      </c>
      <c r="N66" s="37">
        <v>567.62778300349237</v>
      </c>
      <c r="O66" s="130">
        <f t="shared" si="3"/>
        <v>449561.20413876593</v>
      </c>
      <c r="P66" s="132">
        <f t="shared" si="4"/>
        <v>269014.71290450398</v>
      </c>
      <c r="Q66" s="261">
        <v>1</v>
      </c>
      <c r="R66" s="92"/>
    </row>
    <row r="67" spans="1:18" x14ac:dyDescent="0.25">
      <c r="A67">
        <v>1976</v>
      </c>
      <c r="B67" t="s">
        <v>285</v>
      </c>
      <c r="C67" s="263" t="s">
        <v>320</v>
      </c>
      <c r="D67" s="157" t="s">
        <v>387</v>
      </c>
      <c r="E67" s="44">
        <f t="shared" si="0"/>
        <v>27941</v>
      </c>
      <c r="F67" s="127" t="str">
        <f t="shared" si="1"/>
        <v>Date check - OK</v>
      </c>
      <c r="G67" s="1"/>
      <c r="H67" s="161"/>
      <c r="I67" s="37"/>
      <c r="J67" s="135">
        <f t="shared" si="2"/>
        <v>0.59839396822477431</v>
      </c>
      <c r="K67" s="112"/>
      <c r="L67" s="37">
        <v>86.9</v>
      </c>
      <c r="M67" s="37" t="s">
        <v>288</v>
      </c>
      <c r="N67" s="37">
        <v>751.94370104772986</v>
      </c>
      <c r="O67" s="130">
        <f t="shared" si="3"/>
        <v>65343.907621047729</v>
      </c>
      <c r="P67" s="132">
        <f t="shared" si="4"/>
        <v>39101.400180671822</v>
      </c>
      <c r="Q67" s="261">
        <v>1</v>
      </c>
      <c r="R67" s="92"/>
    </row>
    <row r="68" spans="1:18" x14ac:dyDescent="0.25">
      <c r="A68">
        <v>1976</v>
      </c>
      <c r="B68" t="s">
        <v>285</v>
      </c>
      <c r="C68" s="263" t="s">
        <v>321</v>
      </c>
      <c r="D68" s="157" t="s">
        <v>388</v>
      </c>
      <c r="E68" s="44">
        <f t="shared" si="0"/>
        <v>27941</v>
      </c>
      <c r="F68" s="127" t="str">
        <f t="shared" si="1"/>
        <v>Date check - OK</v>
      </c>
      <c r="G68" s="1"/>
      <c r="H68" s="161"/>
      <c r="I68" s="37"/>
      <c r="J68" s="135">
        <f t="shared" si="2"/>
        <v>0.59839396822477431</v>
      </c>
      <c r="K68" s="112"/>
      <c r="L68" s="37">
        <v>49.6</v>
      </c>
      <c r="M68" s="37" t="s">
        <v>288</v>
      </c>
      <c r="N68" s="37">
        <v>1149.9355948777647</v>
      </c>
      <c r="O68" s="130">
        <f t="shared" si="3"/>
        <v>57036.805505937133</v>
      </c>
      <c r="P68" s="132">
        <f t="shared" si="4"/>
        <v>34130.480381562375</v>
      </c>
      <c r="Q68" s="261">
        <v>1</v>
      </c>
      <c r="R68" s="92"/>
    </row>
    <row r="69" spans="1:18" x14ac:dyDescent="0.25">
      <c r="A69">
        <v>1976</v>
      </c>
      <c r="B69" t="s">
        <v>285</v>
      </c>
      <c r="C69" s="263" t="s">
        <v>321</v>
      </c>
      <c r="D69" s="157" t="s">
        <v>388</v>
      </c>
      <c r="E69" s="44">
        <f t="shared" si="0"/>
        <v>27941</v>
      </c>
      <c r="F69" s="127" t="str">
        <f t="shared" si="1"/>
        <v>Date check - OK</v>
      </c>
      <c r="G69" s="1"/>
      <c r="H69" s="161"/>
      <c r="I69" s="37"/>
      <c r="J69" s="135">
        <f t="shared" si="2"/>
        <v>0.59839396822477431</v>
      </c>
      <c r="K69" s="112"/>
      <c r="L69" s="37">
        <v>1156.8</v>
      </c>
      <c r="M69" s="37" t="s">
        <v>288</v>
      </c>
      <c r="N69" s="37">
        <v>1024.3397923166472</v>
      </c>
      <c r="O69" s="130">
        <f t="shared" si="3"/>
        <v>1184956.2717518974</v>
      </c>
      <c r="P69" s="132">
        <f t="shared" si="4"/>
        <v>709070.68562645197</v>
      </c>
      <c r="Q69" s="261">
        <v>1</v>
      </c>
      <c r="R69" s="92"/>
    </row>
    <row r="70" spans="1:18" x14ac:dyDescent="0.25">
      <c r="A70">
        <v>1976</v>
      </c>
      <c r="B70" t="s">
        <v>285</v>
      </c>
      <c r="C70" s="263" t="s">
        <v>321</v>
      </c>
      <c r="D70" s="157" t="s">
        <v>388</v>
      </c>
      <c r="E70" s="44">
        <f t="shared" si="0"/>
        <v>27941</v>
      </c>
      <c r="F70" s="127" t="str">
        <f t="shared" si="1"/>
        <v>Date check - OK</v>
      </c>
      <c r="G70" s="1"/>
      <c r="H70" s="161"/>
      <c r="I70" s="37"/>
      <c r="J70" s="135">
        <f t="shared" si="2"/>
        <v>0.59839396822477431</v>
      </c>
      <c r="K70" s="112"/>
      <c r="L70" s="37">
        <v>19.600000000000001</v>
      </c>
      <c r="M70" s="37" t="s">
        <v>288</v>
      </c>
      <c r="N70" s="37">
        <v>567.62778300349237</v>
      </c>
      <c r="O70" s="130">
        <f t="shared" si="3"/>
        <v>11125.504546868451</v>
      </c>
      <c r="P70" s="132">
        <f t="shared" si="4"/>
        <v>6657.4348143033822</v>
      </c>
      <c r="Q70" s="261">
        <v>1</v>
      </c>
      <c r="R70" s="92"/>
    </row>
    <row r="71" spans="1:18" x14ac:dyDescent="0.25">
      <c r="A71">
        <v>1975</v>
      </c>
      <c r="B71" t="s">
        <v>285</v>
      </c>
      <c r="C71" s="263" t="s">
        <v>322</v>
      </c>
      <c r="D71" s="157" t="s">
        <v>389</v>
      </c>
      <c r="E71" s="44">
        <f t="shared" si="0"/>
        <v>27575</v>
      </c>
      <c r="F71" s="127" t="str">
        <f t="shared" si="1"/>
        <v>Date check - OK</v>
      </c>
      <c r="G71" s="1"/>
      <c r="H71" s="161"/>
      <c r="I71" s="37"/>
      <c r="J71" s="135">
        <f t="shared" si="2"/>
        <v>0.59839396822477431</v>
      </c>
      <c r="K71" s="112"/>
      <c r="L71" s="37">
        <v>543</v>
      </c>
      <c r="M71" s="37" t="s">
        <v>288</v>
      </c>
      <c r="N71" s="37">
        <v>1024.3397923166472</v>
      </c>
      <c r="O71" s="130">
        <f t="shared" si="3"/>
        <v>556216.50722793944</v>
      </c>
      <c r="P71" s="132">
        <f t="shared" si="4"/>
        <v>332836.60295225051</v>
      </c>
      <c r="Q71" s="261">
        <v>1</v>
      </c>
      <c r="R71" s="92"/>
    </row>
    <row r="72" spans="1:18" x14ac:dyDescent="0.25">
      <c r="A72">
        <v>1975</v>
      </c>
      <c r="B72" t="s">
        <v>285</v>
      </c>
      <c r="C72" s="263" t="s">
        <v>322</v>
      </c>
      <c r="D72" s="157" t="s">
        <v>389</v>
      </c>
      <c r="E72" s="44">
        <f t="shared" si="0"/>
        <v>27575</v>
      </c>
      <c r="F72" s="127" t="str">
        <f t="shared" si="1"/>
        <v>Date check - OK</v>
      </c>
      <c r="G72" s="1"/>
      <c r="H72" s="161"/>
      <c r="I72" s="37"/>
      <c r="J72" s="135">
        <f t="shared" si="2"/>
        <v>0.59839396822477431</v>
      </c>
      <c r="K72" s="112"/>
      <c r="L72" s="37">
        <v>492</v>
      </c>
      <c r="M72" s="37" t="s">
        <v>288</v>
      </c>
      <c r="N72" s="37">
        <v>709.53472875436546</v>
      </c>
      <c r="O72" s="130">
        <f t="shared" si="3"/>
        <v>349091.08654714783</v>
      </c>
      <c r="P72" s="132">
        <f t="shared" si="4"/>
        <v>208894.00055084593</v>
      </c>
      <c r="Q72" s="261">
        <v>1</v>
      </c>
      <c r="R72" s="92"/>
    </row>
    <row r="73" spans="1:18" x14ac:dyDescent="0.25">
      <c r="A73">
        <v>1975</v>
      </c>
      <c r="B73" t="s">
        <v>285</v>
      </c>
      <c r="C73" s="263" t="s">
        <v>322</v>
      </c>
      <c r="D73" s="157" t="s">
        <v>389</v>
      </c>
      <c r="E73" s="44">
        <f t="shared" si="0"/>
        <v>27575</v>
      </c>
      <c r="F73" s="127" t="str">
        <f t="shared" si="1"/>
        <v>Date check - OK</v>
      </c>
      <c r="G73" s="1"/>
      <c r="H73" s="161"/>
      <c r="I73" s="37"/>
      <c r="J73" s="135">
        <f t="shared" si="2"/>
        <v>0.59839396822477431</v>
      </c>
      <c r="K73" s="112"/>
      <c r="L73" s="37">
        <v>91</v>
      </c>
      <c r="M73" s="37" t="s">
        <v>288</v>
      </c>
      <c r="N73" s="37">
        <v>751.94370104772986</v>
      </c>
      <c r="O73" s="130">
        <f t="shared" si="3"/>
        <v>68426.876795343414</v>
      </c>
      <c r="P73" s="132">
        <f t="shared" si="4"/>
        <v>40946.230338793277</v>
      </c>
      <c r="Q73" s="261">
        <v>1</v>
      </c>
      <c r="R73" s="92"/>
    </row>
    <row r="74" spans="1:18" x14ac:dyDescent="0.25">
      <c r="A74">
        <v>1975</v>
      </c>
      <c r="B74" t="s">
        <v>285</v>
      </c>
      <c r="C74" s="263" t="s">
        <v>323</v>
      </c>
      <c r="D74" s="157" t="s">
        <v>390</v>
      </c>
      <c r="E74" s="44">
        <f t="shared" si="0"/>
        <v>27575</v>
      </c>
      <c r="F74" s="127" t="str">
        <f t="shared" si="1"/>
        <v>Date check - OK</v>
      </c>
      <c r="G74" s="1"/>
      <c r="H74" s="161"/>
      <c r="I74" s="37"/>
      <c r="J74" s="135">
        <f t="shared" si="2"/>
        <v>0.59839396822477431</v>
      </c>
      <c r="K74" s="112"/>
      <c r="L74" s="37">
        <v>904</v>
      </c>
      <c r="M74" s="37" t="s">
        <v>288</v>
      </c>
      <c r="N74" s="37">
        <v>1024.3397923166472</v>
      </c>
      <c r="O74" s="130">
        <f t="shared" si="3"/>
        <v>926003.17225424899</v>
      </c>
      <c r="P74" s="132">
        <f t="shared" si="4"/>
        <v>554114.71283394925</v>
      </c>
      <c r="Q74" s="261">
        <v>1</v>
      </c>
      <c r="R74" s="92"/>
    </row>
    <row r="75" spans="1:18" ht="23" x14ac:dyDescent="0.25">
      <c r="A75">
        <v>1975</v>
      </c>
      <c r="B75" t="s">
        <v>285</v>
      </c>
      <c r="C75" s="263" t="s">
        <v>324</v>
      </c>
      <c r="D75" s="157" t="s">
        <v>391</v>
      </c>
      <c r="E75" s="44">
        <f t="shared" si="0"/>
        <v>27575</v>
      </c>
      <c r="F75" s="127" t="str">
        <f t="shared" si="1"/>
        <v>Date check - OK</v>
      </c>
      <c r="G75" s="1"/>
      <c r="H75" s="161"/>
      <c r="I75" s="37"/>
      <c r="J75" s="135">
        <f t="shared" si="2"/>
        <v>0.59839396822477431</v>
      </c>
      <c r="K75" s="112"/>
      <c r="L75" s="37">
        <v>11</v>
      </c>
      <c r="M75" s="37" t="s">
        <v>288</v>
      </c>
      <c r="N75" s="37">
        <v>580.67669755529687</v>
      </c>
      <c r="O75" s="130">
        <f t="shared" si="3"/>
        <v>6387.443673108266</v>
      </c>
      <c r="P75" s="132">
        <f t="shared" si="4"/>
        <v>917.32986392723603</v>
      </c>
      <c r="Q75" s="261">
        <v>0.24</v>
      </c>
      <c r="R75" s="92"/>
    </row>
    <row r="76" spans="1:18" ht="23" x14ac:dyDescent="0.25">
      <c r="A76">
        <v>1975</v>
      </c>
      <c r="B76" t="s">
        <v>285</v>
      </c>
      <c r="C76" s="263" t="s">
        <v>324</v>
      </c>
      <c r="D76" s="157" t="s">
        <v>392</v>
      </c>
      <c r="E76" s="44">
        <f t="shared" si="0"/>
        <v>27575</v>
      </c>
      <c r="F76" s="127" t="str">
        <f t="shared" si="1"/>
        <v>Date check - OK</v>
      </c>
      <c r="G76" s="1"/>
      <c r="H76" s="161"/>
      <c r="I76" s="37"/>
      <c r="J76" s="135">
        <f t="shared" si="2"/>
        <v>0.59839396822477431</v>
      </c>
      <c r="K76" s="112"/>
      <c r="L76" s="37">
        <v>679</v>
      </c>
      <c r="M76" s="37" t="s">
        <v>288</v>
      </c>
      <c r="N76" s="37">
        <v>685.06801396973219</v>
      </c>
      <c r="O76" s="130">
        <f t="shared" si="3"/>
        <v>465161.18148544815</v>
      </c>
      <c r="P76" s="132">
        <f t="shared" si="4"/>
        <v>69587.411313300428</v>
      </c>
      <c r="Q76" s="261">
        <v>0.25</v>
      </c>
      <c r="R76" s="92"/>
    </row>
    <row r="77" spans="1:18" x14ac:dyDescent="0.25">
      <c r="A77">
        <v>1975</v>
      </c>
      <c r="B77" t="s">
        <v>285</v>
      </c>
      <c r="C77" s="263" t="s">
        <v>325</v>
      </c>
      <c r="D77" s="157" t="s">
        <v>393</v>
      </c>
      <c r="E77" s="44">
        <f t="shared" si="0"/>
        <v>27575</v>
      </c>
      <c r="F77" s="127" t="str">
        <f t="shared" si="1"/>
        <v>Date check - OK</v>
      </c>
      <c r="G77" s="1"/>
      <c r="H77" s="161"/>
      <c r="I77" s="37"/>
      <c r="J77" s="135">
        <f t="shared" si="2"/>
        <v>0.59839396822477431</v>
      </c>
      <c r="K77" s="112"/>
      <c r="L77" s="37">
        <v>550.6</v>
      </c>
      <c r="M77" s="37" t="s">
        <v>288</v>
      </c>
      <c r="N77" s="37">
        <v>567.62778300349237</v>
      </c>
      <c r="O77" s="130">
        <f t="shared" si="3"/>
        <v>312535.8573217229</v>
      </c>
      <c r="P77" s="132">
        <f t="shared" si="4"/>
        <v>187019.57187527764</v>
      </c>
      <c r="Q77" s="261">
        <v>1</v>
      </c>
      <c r="R77" s="92"/>
    </row>
    <row r="78" spans="1:18" x14ac:dyDescent="0.25">
      <c r="A78">
        <v>1975</v>
      </c>
      <c r="B78" t="s">
        <v>285</v>
      </c>
      <c r="C78" s="263" t="s">
        <v>325</v>
      </c>
      <c r="D78" s="157" t="s">
        <v>393</v>
      </c>
      <c r="E78" s="44">
        <f t="shared" si="0"/>
        <v>27575</v>
      </c>
      <c r="F78" s="127" t="str">
        <f t="shared" si="1"/>
        <v>Date check - OK</v>
      </c>
      <c r="G78" s="1"/>
      <c r="H78" s="161"/>
      <c r="I78" s="37"/>
      <c r="J78" s="135">
        <f t="shared" si="2"/>
        <v>0.59839396822477431</v>
      </c>
      <c r="K78" s="112"/>
      <c r="L78" s="37">
        <v>20.8</v>
      </c>
      <c r="M78" s="37" t="s">
        <v>288</v>
      </c>
      <c r="N78" s="37">
        <v>567.62778300349237</v>
      </c>
      <c r="O78" s="130">
        <f t="shared" si="3"/>
        <v>11806.657886472642</v>
      </c>
      <c r="P78" s="132">
        <f t="shared" si="4"/>
        <v>7065.0328641586912</v>
      </c>
      <c r="Q78" s="261">
        <v>1</v>
      </c>
      <c r="R78" s="92"/>
    </row>
    <row r="79" spans="1:18" x14ac:dyDescent="0.25">
      <c r="A79">
        <v>1975</v>
      </c>
      <c r="B79" t="s">
        <v>285</v>
      </c>
      <c r="C79" s="263" t="s">
        <v>325</v>
      </c>
      <c r="D79" s="157" t="s">
        <v>393</v>
      </c>
      <c r="E79" s="44">
        <f t="shared" si="0"/>
        <v>27575</v>
      </c>
      <c r="F79" s="127" t="str">
        <f t="shared" si="1"/>
        <v>Date check - OK</v>
      </c>
      <c r="G79" s="1"/>
      <c r="H79" s="161"/>
      <c r="I79" s="37"/>
      <c r="J79" s="135">
        <f t="shared" si="2"/>
        <v>0.59839396822477431</v>
      </c>
      <c r="K79" s="112"/>
      <c r="L79" s="37">
        <v>23</v>
      </c>
      <c r="M79" s="37" t="s">
        <v>288</v>
      </c>
      <c r="N79" s="37">
        <v>520.32546775320145</v>
      </c>
      <c r="O79" s="130">
        <f t="shared" si="3"/>
        <v>11967.485758323633</v>
      </c>
      <c r="P79" s="132">
        <f t="shared" si="4"/>
        <v>7161.2712925967517</v>
      </c>
      <c r="Q79" s="261">
        <v>1</v>
      </c>
      <c r="R79" s="92"/>
    </row>
    <row r="80" spans="1:18" x14ac:dyDescent="0.25">
      <c r="A80">
        <v>1975</v>
      </c>
      <c r="B80" t="s">
        <v>285</v>
      </c>
      <c r="C80" s="263" t="s">
        <v>326</v>
      </c>
      <c r="D80" s="157" t="s">
        <v>385</v>
      </c>
      <c r="E80" s="44">
        <f t="shared" si="0"/>
        <v>27575</v>
      </c>
      <c r="F80" s="127" t="str">
        <f t="shared" si="1"/>
        <v>Date check - OK</v>
      </c>
      <c r="G80" s="1"/>
      <c r="H80" s="161"/>
      <c r="I80" s="37"/>
      <c r="J80" s="135">
        <f t="shared" si="2"/>
        <v>0.59839396822477431</v>
      </c>
      <c r="K80" s="112"/>
      <c r="L80" s="37">
        <v>21</v>
      </c>
      <c r="M80" s="37" t="s">
        <v>288</v>
      </c>
      <c r="N80" s="37">
        <v>946.04630500582073</v>
      </c>
      <c r="O80" s="130">
        <f t="shared" si="3"/>
        <v>19866.972405122237</v>
      </c>
      <c r="P80" s="132">
        <f t="shared" si="4"/>
        <v>11888.276454113184</v>
      </c>
      <c r="Q80" s="261">
        <v>1</v>
      </c>
      <c r="R80" s="92"/>
    </row>
    <row r="81" spans="1:18" x14ac:dyDescent="0.25">
      <c r="A81">
        <v>1975</v>
      </c>
      <c r="B81" t="s">
        <v>285</v>
      </c>
      <c r="C81" s="263" t="s">
        <v>327</v>
      </c>
      <c r="D81" s="157" t="s">
        <v>394</v>
      </c>
      <c r="E81" s="44">
        <f t="shared" si="0"/>
        <v>27575</v>
      </c>
      <c r="F81" s="127" t="str">
        <f t="shared" si="1"/>
        <v>Date check - OK</v>
      </c>
      <c r="G81" s="1"/>
      <c r="H81" s="161"/>
      <c r="I81" s="37"/>
      <c r="J81" s="135">
        <f t="shared" si="2"/>
        <v>0.59839396822477431</v>
      </c>
      <c r="K81" s="112"/>
      <c r="L81" s="37">
        <v>82</v>
      </c>
      <c r="M81" s="37" t="s">
        <v>288</v>
      </c>
      <c r="N81" s="37">
        <v>709.53472875436546</v>
      </c>
      <c r="O81" s="130">
        <f t="shared" si="3"/>
        <v>58181.84775785797</v>
      </c>
      <c r="P81" s="132">
        <f t="shared" si="4"/>
        <v>34815.666758474319</v>
      </c>
      <c r="Q81" s="261">
        <v>1</v>
      </c>
      <c r="R81" s="92"/>
    </row>
    <row r="82" spans="1:18" x14ac:dyDescent="0.25">
      <c r="A82">
        <v>1975</v>
      </c>
      <c r="B82" t="s">
        <v>285</v>
      </c>
      <c r="C82" s="263" t="s">
        <v>327</v>
      </c>
      <c r="D82" s="157" t="s">
        <v>394</v>
      </c>
      <c r="E82" s="44">
        <f t="shared" si="0"/>
        <v>27575</v>
      </c>
      <c r="F82" s="127" t="str">
        <f t="shared" si="1"/>
        <v>Date check - OK</v>
      </c>
      <c r="G82" s="1"/>
      <c r="H82" s="161"/>
      <c r="I82" s="37"/>
      <c r="J82" s="135">
        <f t="shared" si="2"/>
        <v>0.59839396822477431</v>
      </c>
      <c r="K82" s="112"/>
      <c r="L82" s="37">
        <v>371</v>
      </c>
      <c r="M82" s="37" t="s">
        <v>288</v>
      </c>
      <c r="N82" s="37">
        <v>751.94370104772986</v>
      </c>
      <c r="O82" s="130">
        <f t="shared" si="3"/>
        <v>278971.11308870779</v>
      </c>
      <c r="P82" s="132">
        <f t="shared" si="4"/>
        <v>166934.63138123413</v>
      </c>
      <c r="Q82" s="261">
        <v>1</v>
      </c>
      <c r="R82" s="92"/>
    </row>
    <row r="83" spans="1:18" x14ac:dyDescent="0.25">
      <c r="A83">
        <v>1975</v>
      </c>
      <c r="B83" t="s">
        <v>285</v>
      </c>
      <c r="C83" s="263" t="s">
        <v>328</v>
      </c>
      <c r="D83" s="157" t="s">
        <v>395</v>
      </c>
      <c r="E83" s="44">
        <f t="shared" si="0"/>
        <v>27575</v>
      </c>
      <c r="F83" s="127" t="str">
        <f t="shared" si="1"/>
        <v>Date check - OK</v>
      </c>
      <c r="G83" s="1"/>
      <c r="H83" s="161"/>
      <c r="I83" s="37"/>
      <c r="J83" s="135">
        <f t="shared" si="2"/>
        <v>0.59839396822477431</v>
      </c>
      <c r="K83" s="112"/>
      <c r="L83" s="37">
        <v>1047</v>
      </c>
      <c r="M83" s="37" t="s">
        <v>288</v>
      </c>
      <c r="N83" s="37">
        <v>1024.3397923166472</v>
      </c>
      <c r="O83" s="130">
        <f t="shared" si="3"/>
        <v>1072483.7625555296</v>
      </c>
      <c r="P83" s="132">
        <f t="shared" si="4"/>
        <v>641767.81453223992</v>
      </c>
      <c r="Q83" s="261">
        <v>1</v>
      </c>
      <c r="R83" s="92"/>
    </row>
    <row r="84" spans="1:18" x14ac:dyDescent="0.25">
      <c r="A84">
        <v>1975</v>
      </c>
      <c r="B84" t="s">
        <v>285</v>
      </c>
      <c r="C84" s="263" t="s">
        <v>328</v>
      </c>
      <c r="D84" s="157" t="s">
        <v>395</v>
      </c>
      <c r="E84" s="44">
        <f t="shared" si="0"/>
        <v>27575</v>
      </c>
      <c r="F84" s="127" t="str">
        <f t="shared" si="1"/>
        <v>Date check - OK</v>
      </c>
      <c r="G84" s="1"/>
      <c r="H84" s="161"/>
      <c r="I84" s="37"/>
      <c r="J84" s="135">
        <f t="shared" si="2"/>
        <v>0.59839396822477431</v>
      </c>
      <c r="K84" s="112"/>
      <c r="L84" s="37">
        <v>257</v>
      </c>
      <c r="M84" s="37" t="s">
        <v>288</v>
      </c>
      <c r="N84" s="37">
        <v>709.53472875436546</v>
      </c>
      <c r="O84" s="130">
        <f t="shared" si="3"/>
        <v>182350.42528987193</v>
      </c>
      <c r="P84" s="132">
        <f t="shared" si="4"/>
        <v>109117.3945966817</v>
      </c>
      <c r="Q84" s="261">
        <v>1</v>
      </c>
      <c r="R84" s="92"/>
    </row>
    <row r="85" spans="1:18" x14ac:dyDescent="0.25">
      <c r="A85">
        <v>1975</v>
      </c>
      <c r="B85" t="s">
        <v>285</v>
      </c>
      <c r="C85" s="263" t="s">
        <v>328</v>
      </c>
      <c r="D85" s="157" t="s">
        <v>395</v>
      </c>
      <c r="E85" s="44">
        <f t="shared" si="0"/>
        <v>27575</v>
      </c>
      <c r="F85" s="127" t="str">
        <f t="shared" si="1"/>
        <v>Date check - OK</v>
      </c>
      <c r="G85" s="1"/>
      <c r="H85" s="161"/>
      <c r="I85" s="37"/>
      <c r="J85" s="135">
        <f t="shared" si="2"/>
        <v>0.59839396822477431</v>
      </c>
      <c r="K85" s="112"/>
      <c r="L85" s="37">
        <v>378</v>
      </c>
      <c r="M85" s="37" t="s">
        <v>288</v>
      </c>
      <c r="N85" s="37">
        <v>751.94370104772986</v>
      </c>
      <c r="O85" s="130">
        <f t="shared" si="3"/>
        <v>284234.71899604186</v>
      </c>
      <c r="P85" s="132">
        <f t="shared" si="4"/>
        <v>170084.34140729514</v>
      </c>
      <c r="Q85" s="261">
        <v>1</v>
      </c>
      <c r="R85" s="92"/>
    </row>
    <row r="86" spans="1:18" x14ac:dyDescent="0.25">
      <c r="A86">
        <v>1975</v>
      </c>
      <c r="B86" t="s">
        <v>285</v>
      </c>
      <c r="C86" s="263" t="s">
        <v>329</v>
      </c>
      <c r="D86" s="157" t="s">
        <v>371</v>
      </c>
      <c r="E86" s="44">
        <f t="shared" si="0"/>
        <v>27575</v>
      </c>
      <c r="F86" s="127" t="str">
        <f t="shared" si="1"/>
        <v>Date check - OK</v>
      </c>
      <c r="G86" s="1"/>
      <c r="H86" s="161"/>
      <c r="I86" s="37"/>
      <c r="J86" s="135">
        <f t="shared" si="2"/>
        <v>0.59839396822477431</v>
      </c>
      <c r="K86" s="112"/>
      <c r="L86" s="37">
        <v>695</v>
      </c>
      <c r="M86" s="37" t="s">
        <v>288</v>
      </c>
      <c r="N86" s="37">
        <v>1456.5850868451687</v>
      </c>
      <c r="O86" s="130">
        <f t="shared" si="3"/>
        <v>1012326.6353573923</v>
      </c>
      <c r="P86" s="132">
        <f t="shared" si="4"/>
        <v>605770.1524711441</v>
      </c>
      <c r="Q86" s="261">
        <v>1</v>
      </c>
      <c r="R86" s="92"/>
    </row>
    <row r="87" spans="1:18" x14ac:dyDescent="0.25">
      <c r="A87">
        <v>1975</v>
      </c>
      <c r="B87" t="s">
        <v>285</v>
      </c>
      <c r="C87" s="263" t="s">
        <v>329</v>
      </c>
      <c r="D87" s="157" t="s">
        <v>371</v>
      </c>
      <c r="E87" s="44">
        <f t="shared" si="0"/>
        <v>27575</v>
      </c>
      <c r="F87" s="127" t="str">
        <f t="shared" si="1"/>
        <v>Date check - OK</v>
      </c>
      <c r="G87" s="1"/>
      <c r="H87" s="161"/>
      <c r="I87" s="37"/>
      <c r="J87" s="135">
        <f t="shared" si="2"/>
        <v>0.59839396822477431</v>
      </c>
      <c r="K87" s="112"/>
      <c r="L87" s="37">
        <v>11</v>
      </c>
      <c r="M87" s="37" t="s">
        <v>288</v>
      </c>
      <c r="N87" s="37">
        <v>887.32618952270082</v>
      </c>
      <c r="O87" s="130">
        <f t="shared" si="3"/>
        <v>9760.5880847497083</v>
      </c>
      <c r="P87" s="132">
        <f t="shared" si="4"/>
        <v>5840.6770362408279</v>
      </c>
      <c r="Q87" s="261">
        <v>1</v>
      </c>
      <c r="R87" s="92"/>
    </row>
    <row r="88" spans="1:18" x14ac:dyDescent="0.25">
      <c r="A88">
        <v>1975</v>
      </c>
      <c r="B88" t="s">
        <v>285</v>
      </c>
      <c r="C88" s="263" t="s">
        <v>329</v>
      </c>
      <c r="D88" s="157" t="s">
        <v>371</v>
      </c>
      <c r="E88" s="44">
        <f t="shared" ref="E88:E125" si="5">DATEVALUE("30 Jun "&amp;A88)</f>
        <v>27575</v>
      </c>
      <c r="F88" s="127" t="str">
        <f t="shared" ref="F88:F151" si="6">IF(E88="","-",IF(OR(E88&lt;$E$15,E88&gt;$E$16),"ERROR - date outside of range","Date check - OK"))</f>
        <v>Date check - OK</v>
      </c>
      <c r="G88" s="1"/>
      <c r="H88" s="161"/>
      <c r="I88" s="37"/>
      <c r="J88" s="135">
        <f t="shared" ref="J88:J151" si="7">J87</f>
        <v>0.59839396822477431</v>
      </c>
      <c r="K88" s="112"/>
      <c r="L88" s="37">
        <v>463</v>
      </c>
      <c r="M88" s="37" t="s">
        <v>288</v>
      </c>
      <c r="N88" s="37">
        <v>709.53472875436546</v>
      </c>
      <c r="O88" s="130">
        <f t="shared" ref="O88:O125" si="8">IF(N88="","-",L88*N88)</f>
        <v>328514.57941327122</v>
      </c>
      <c r="P88" s="132">
        <f t="shared" ref="P88:P125" si="9">IF(O88="-","-",IF(OR(E88&lt;$E$15,E88&gt;$E$16),0,O88*J88))*Q88</f>
        <v>196581.14279480011</v>
      </c>
      <c r="Q88" s="261">
        <v>1</v>
      </c>
      <c r="R88" s="92"/>
    </row>
    <row r="89" spans="1:18" x14ac:dyDescent="0.25">
      <c r="A89">
        <v>1975</v>
      </c>
      <c r="B89" t="s">
        <v>285</v>
      </c>
      <c r="C89" s="263" t="s">
        <v>316</v>
      </c>
      <c r="D89" s="157" t="s">
        <v>396</v>
      </c>
      <c r="E89" s="44">
        <f t="shared" si="5"/>
        <v>27575</v>
      </c>
      <c r="F89" s="127" t="str">
        <f t="shared" si="6"/>
        <v>Date check - OK</v>
      </c>
      <c r="G89" s="1"/>
      <c r="H89" s="161"/>
      <c r="I89" s="37"/>
      <c r="J89" s="135">
        <f t="shared" si="7"/>
        <v>0.59839396822477431</v>
      </c>
      <c r="K89" s="112"/>
      <c r="L89" s="37">
        <v>533</v>
      </c>
      <c r="M89" s="37" t="s">
        <v>288</v>
      </c>
      <c r="N89" s="37">
        <v>946.04630500582073</v>
      </c>
      <c r="O89" s="130">
        <f t="shared" si="8"/>
        <v>504242.68056810246</v>
      </c>
      <c r="P89" s="132">
        <f t="shared" si="9"/>
        <v>301735.77857344411</v>
      </c>
      <c r="Q89" s="261">
        <v>1</v>
      </c>
      <c r="R89" s="92"/>
    </row>
    <row r="90" spans="1:18" x14ac:dyDescent="0.25">
      <c r="A90">
        <v>1975</v>
      </c>
      <c r="B90" t="s">
        <v>285</v>
      </c>
      <c r="C90" s="263" t="s">
        <v>316</v>
      </c>
      <c r="D90" s="157" t="s">
        <v>396</v>
      </c>
      <c r="E90" s="44">
        <f t="shared" si="5"/>
        <v>27575</v>
      </c>
      <c r="F90" s="127" t="str">
        <f t="shared" si="6"/>
        <v>Date check - OK</v>
      </c>
      <c r="G90" s="1"/>
      <c r="H90" s="161"/>
      <c r="I90" s="37"/>
      <c r="J90" s="135">
        <f t="shared" si="7"/>
        <v>0.59839396822477431</v>
      </c>
      <c r="K90" s="112"/>
      <c r="L90" s="37">
        <v>304</v>
      </c>
      <c r="M90" s="37" t="s">
        <v>288</v>
      </c>
      <c r="N90" s="37">
        <v>1024.3397923166472</v>
      </c>
      <c r="O90" s="130">
        <f t="shared" si="8"/>
        <v>311399.29686426074</v>
      </c>
      <c r="P90" s="132">
        <f t="shared" si="9"/>
        <v>186339.46095300952</v>
      </c>
      <c r="Q90" s="261">
        <v>1</v>
      </c>
      <c r="R90" s="92"/>
    </row>
    <row r="91" spans="1:18" x14ac:dyDescent="0.25">
      <c r="A91">
        <v>1975</v>
      </c>
      <c r="B91" t="s">
        <v>285</v>
      </c>
      <c r="C91" s="263" t="s">
        <v>316</v>
      </c>
      <c r="D91" s="157" t="s">
        <v>396</v>
      </c>
      <c r="E91" s="44">
        <f t="shared" si="5"/>
        <v>27575</v>
      </c>
      <c r="F91" s="127" t="str">
        <f t="shared" si="6"/>
        <v>Date check - OK</v>
      </c>
      <c r="G91" s="1"/>
      <c r="H91" s="161"/>
      <c r="I91" s="37"/>
      <c r="J91" s="135">
        <f t="shared" si="7"/>
        <v>0.59839396822477431</v>
      </c>
      <c r="K91" s="112"/>
      <c r="L91" s="37">
        <v>528</v>
      </c>
      <c r="M91" s="37" t="s">
        <v>288</v>
      </c>
      <c r="N91" s="37">
        <v>709.53472875436546</v>
      </c>
      <c r="O91" s="130">
        <f t="shared" si="8"/>
        <v>374634.33678230498</v>
      </c>
      <c r="P91" s="132">
        <f t="shared" si="9"/>
        <v>224178.92742041999</v>
      </c>
      <c r="Q91" s="261">
        <v>1</v>
      </c>
      <c r="R91" s="92"/>
    </row>
    <row r="92" spans="1:18" ht="23" x14ac:dyDescent="0.25">
      <c r="A92">
        <v>1974</v>
      </c>
      <c r="B92" t="s">
        <v>285</v>
      </c>
      <c r="C92" s="263" t="s">
        <v>330</v>
      </c>
      <c r="D92" s="157" t="s">
        <v>397</v>
      </c>
      <c r="E92" s="44">
        <f t="shared" si="5"/>
        <v>27210</v>
      </c>
      <c r="F92" s="127" t="str">
        <f t="shared" si="6"/>
        <v>Date check - OK</v>
      </c>
      <c r="G92" s="1"/>
      <c r="H92" s="161"/>
      <c r="I92" s="37"/>
      <c r="J92" s="135">
        <f t="shared" si="7"/>
        <v>0.59839396822477431</v>
      </c>
      <c r="K92" s="112"/>
      <c r="L92" s="37">
        <v>352</v>
      </c>
      <c r="M92" s="37" t="s">
        <v>288</v>
      </c>
      <c r="N92" s="37">
        <v>580.67669755529687</v>
      </c>
      <c r="O92" s="130">
        <f t="shared" si="8"/>
        <v>204398.19753946451</v>
      </c>
      <c r="P92" s="132">
        <f t="shared" si="9"/>
        <v>29354.555645671553</v>
      </c>
      <c r="Q92" s="261">
        <v>0.24</v>
      </c>
      <c r="R92" s="92"/>
    </row>
    <row r="93" spans="1:18" x14ac:dyDescent="0.25">
      <c r="A93">
        <v>1974</v>
      </c>
      <c r="B93" t="s">
        <v>285</v>
      </c>
      <c r="C93" s="263" t="s">
        <v>330</v>
      </c>
      <c r="D93" s="157" t="s">
        <v>398</v>
      </c>
      <c r="E93" s="44">
        <f t="shared" si="5"/>
        <v>27210</v>
      </c>
      <c r="F93" s="127" t="str">
        <f t="shared" si="6"/>
        <v>Date check - OK</v>
      </c>
      <c r="G93" s="1"/>
      <c r="H93" s="161"/>
      <c r="I93" s="37"/>
      <c r="J93" s="135">
        <f t="shared" si="7"/>
        <v>0.59839396822477431</v>
      </c>
      <c r="K93" s="112"/>
      <c r="L93" s="37">
        <v>410.5</v>
      </c>
      <c r="M93" s="37" t="s">
        <v>288</v>
      </c>
      <c r="N93" s="37">
        <v>751.94370104772986</v>
      </c>
      <c r="O93" s="130">
        <f t="shared" si="8"/>
        <v>308672.88928009314</v>
      </c>
      <c r="P93" s="132">
        <f t="shared" si="9"/>
        <v>184707.99509972133</v>
      </c>
      <c r="Q93" s="261">
        <v>1</v>
      </c>
      <c r="R93" s="92"/>
    </row>
    <row r="94" spans="1:18" x14ac:dyDescent="0.25">
      <c r="A94">
        <v>1974</v>
      </c>
      <c r="B94" t="s">
        <v>285</v>
      </c>
      <c r="C94" s="263" t="s">
        <v>323</v>
      </c>
      <c r="D94" s="157" t="s">
        <v>399</v>
      </c>
      <c r="E94" s="44">
        <f t="shared" si="5"/>
        <v>27210</v>
      </c>
      <c r="F94" s="127" t="str">
        <f t="shared" si="6"/>
        <v>Date check - OK</v>
      </c>
      <c r="G94" s="1"/>
      <c r="H94" s="161"/>
      <c r="I94" s="37"/>
      <c r="J94" s="135">
        <f t="shared" si="7"/>
        <v>0.59839396822477431</v>
      </c>
      <c r="K94" s="112"/>
      <c r="L94" s="37">
        <v>334</v>
      </c>
      <c r="M94" s="37" t="s">
        <v>288</v>
      </c>
      <c r="N94" s="37">
        <v>1234.7535394644935</v>
      </c>
      <c r="O94" s="130">
        <f t="shared" si="8"/>
        <v>412407.68218114082</v>
      </c>
      <c r="P94" s="132">
        <f t="shared" si="9"/>
        <v>246782.2694667544</v>
      </c>
      <c r="Q94" s="261">
        <v>1</v>
      </c>
      <c r="R94" s="92"/>
    </row>
    <row r="95" spans="1:18" x14ac:dyDescent="0.25">
      <c r="A95">
        <v>1974</v>
      </c>
      <c r="B95" t="s">
        <v>285</v>
      </c>
      <c r="C95" s="263" t="s">
        <v>323</v>
      </c>
      <c r="D95" s="157" t="s">
        <v>399</v>
      </c>
      <c r="E95" s="44">
        <f t="shared" si="5"/>
        <v>27210</v>
      </c>
      <c r="F95" s="127" t="str">
        <f t="shared" si="6"/>
        <v>Date check - OK</v>
      </c>
      <c r="G95" s="1"/>
      <c r="H95" s="161"/>
      <c r="I95" s="37"/>
      <c r="J95" s="135">
        <f t="shared" si="7"/>
        <v>0.59839396822477431</v>
      </c>
      <c r="K95" s="112"/>
      <c r="L95" s="37">
        <v>529</v>
      </c>
      <c r="M95" s="37" t="s">
        <v>288</v>
      </c>
      <c r="N95" s="37">
        <v>1024.3397923166472</v>
      </c>
      <c r="O95" s="130">
        <f t="shared" si="8"/>
        <v>541875.75013550639</v>
      </c>
      <c r="P95" s="132">
        <f t="shared" si="9"/>
        <v>324255.18040836195</v>
      </c>
      <c r="Q95" s="261">
        <v>1</v>
      </c>
      <c r="R95" s="92"/>
    </row>
    <row r="96" spans="1:18" ht="23" x14ac:dyDescent="0.25">
      <c r="A96">
        <v>1974</v>
      </c>
      <c r="B96" t="s">
        <v>285</v>
      </c>
      <c r="C96" s="263" t="s">
        <v>331</v>
      </c>
      <c r="D96" s="157" t="s">
        <v>400</v>
      </c>
      <c r="E96" s="44">
        <f t="shared" si="5"/>
        <v>27210</v>
      </c>
      <c r="F96" s="127" t="str">
        <f t="shared" si="6"/>
        <v>Date check - OK</v>
      </c>
      <c r="G96" s="1"/>
      <c r="H96" s="161"/>
      <c r="I96" s="37"/>
      <c r="J96" s="135">
        <f t="shared" si="7"/>
        <v>0.59839396822477431</v>
      </c>
      <c r="K96" s="112"/>
      <c r="L96" s="37">
        <v>111.6</v>
      </c>
      <c r="M96" s="37" t="s">
        <v>288</v>
      </c>
      <c r="N96" s="37">
        <v>709.53472875436546</v>
      </c>
      <c r="O96" s="130">
        <f t="shared" si="8"/>
        <v>79184.075728987184</v>
      </c>
      <c r="P96" s="132">
        <f t="shared" si="9"/>
        <v>9002.8219261791401</v>
      </c>
      <c r="Q96" s="261">
        <v>0.19</v>
      </c>
      <c r="R96" s="92"/>
    </row>
    <row r="97" spans="1:18" x14ac:dyDescent="0.25">
      <c r="A97">
        <v>1974</v>
      </c>
      <c r="B97" t="s">
        <v>285</v>
      </c>
      <c r="C97" s="263" t="s">
        <v>331</v>
      </c>
      <c r="D97" s="157" t="s">
        <v>401</v>
      </c>
      <c r="E97" s="44">
        <f t="shared" si="5"/>
        <v>27210</v>
      </c>
      <c r="F97" s="127" t="str">
        <f t="shared" si="6"/>
        <v>Date check - OK</v>
      </c>
      <c r="G97" s="1"/>
      <c r="H97" s="161"/>
      <c r="I97" s="37"/>
      <c r="J97" s="135">
        <f t="shared" si="7"/>
        <v>0.59839396822477431</v>
      </c>
      <c r="K97" s="112"/>
      <c r="L97" s="37">
        <v>21</v>
      </c>
      <c r="M97" s="37" t="s">
        <v>288</v>
      </c>
      <c r="N97" s="37">
        <v>468.12980954598368</v>
      </c>
      <c r="O97" s="130">
        <f t="shared" si="8"/>
        <v>9830.7260004656564</v>
      </c>
      <c r="P97" s="132">
        <f t="shared" si="9"/>
        <v>2470.7117996186257</v>
      </c>
      <c r="Q97" s="261">
        <v>0.42</v>
      </c>
      <c r="R97" s="92"/>
    </row>
    <row r="98" spans="1:18" ht="23" x14ac:dyDescent="0.25">
      <c r="A98">
        <v>1974</v>
      </c>
      <c r="B98" t="s">
        <v>285</v>
      </c>
      <c r="C98" s="263" t="s">
        <v>331</v>
      </c>
      <c r="D98" s="157" t="s">
        <v>402</v>
      </c>
      <c r="E98" s="44">
        <f t="shared" si="5"/>
        <v>27210</v>
      </c>
      <c r="F98" s="127" t="str">
        <f t="shared" si="6"/>
        <v>Date check - OK</v>
      </c>
      <c r="G98" s="1"/>
      <c r="H98" s="161"/>
      <c r="I98" s="37"/>
      <c r="J98" s="135">
        <f t="shared" si="7"/>
        <v>0.59839396822477431</v>
      </c>
      <c r="K98" s="112"/>
      <c r="L98" s="37">
        <v>312.89999999999998</v>
      </c>
      <c r="M98" s="37" t="s">
        <v>288</v>
      </c>
      <c r="N98" s="37">
        <v>567.62778300349237</v>
      </c>
      <c r="O98" s="130">
        <f t="shared" si="8"/>
        <v>177610.73330179276</v>
      </c>
      <c r="P98" s="132">
        <f t="shared" si="9"/>
        <v>32947.169364929272</v>
      </c>
      <c r="Q98" s="261">
        <v>0.31</v>
      </c>
      <c r="R98" s="92"/>
    </row>
    <row r="99" spans="1:18" x14ac:dyDescent="0.25">
      <c r="A99">
        <v>1974</v>
      </c>
      <c r="B99" t="s">
        <v>285</v>
      </c>
      <c r="C99" s="263" t="s">
        <v>332</v>
      </c>
      <c r="D99" s="157" t="s">
        <v>403</v>
      </c>
      <c r="E99" s="44">
        <f t="shared" si="5"/>
        <v>27210</v>
      </c>
      <c r="F99" s="127" t="str">
        <f t="shared" si="6"/>
        <v>Date check - OK</v>
      </c>
      <c r="G99" s="1"/>
      <c r="H99" s="161"/>
      <c r="I99" s="37"/>
      <c r="J99" s="135">
        <f t="shared" si="7"/>
        <v>0.59839396822477431</v>
      </c>
      <c r="K99" s="112"/>
      <c r="L99" s="37">
        <v>86</v>
      </c>
      <c r="M99" s="37" t="s">
        <v>288</v>
      </c>
      <c r="N99" s="37">
        <v>751.94370104772986</v>
      </c>
      <c r="O99" s="130">
        <f t="shared" si="8"/>
        <v>64667.158290104766</v>
      </c>
      <c r="P99" s="132">
        <f t="shared" si="9"/>
        <v>38696.4374630354</v>
      </c>
      <c r="Q99" s="261">
        <v>1</v>
      </c>
      <c r="R99" s="92"/>
    </row>
    <row r="100" spans="1:18" x14ac:dyDescent="0.25">
      <c r="A100">
        <v>1974</v>
      </c>
      <c r="B100" t="s">
        <v>285</v>
      </c>
      <c r="C100" s="263" t="s">
        <v>333</v>
      </c>
      <c r="D100" s="157" t="s">
        <v>404</v>
      </c>
      <c r="E100" s="44">
        <f t="shared" si="5"/>
        <v>27210</v>
      </c>
      <c r="F100" s="127" t="str">
        <f t="shared" si="6"/>
        <v>Date check - OK</v>
      </c>
      <c r="G100" s="1"/>
      <c r="H100" s="161"/>
      <c r="I100" s="37"/>
      <c r="J100" s="135">
        <f t="shared" si="7"/>
        <v>0.59839396822477431</v>
      </c>
      <c r="K100" s="112"/>
      <c r="L100" s="37">
        <v>991</v>
      </c>
      <c r="M100" s="37" t="s">
        <v>288</v>
      </c>
      <c r="N100" s="37">
        <v>3100.7483203725265</v>
      </c>
      <c r="O100" s="130">
        <f t="shared" si="8"/>
        <v>3072841.5854891739</v>
      </c>
      <c r="P100" s="132">
        <f t="shared" si="9"/>
        <v>1838769.8700669738</v>
      </c>
      <c r="Q100" s="261">
        <v>1</v>
      </c>
      <c r="R100" s="92"/>
    </row>
    <row r="101" spans="1:18" x14ac:dyDescent="0.25">
      <c r="A101">
        <v>1974</v>
      </c>
      <c r="B101" t="s">
        <v>285</v>
      </c>
      <c r="C101" s="263" t="s">
        <v>334</v>
      </c>
      <c r="D101" s="157" t="s">
        <v>405</v>
      </c>
      <c r="E101" s="44">
        <f t="shared" si="5"/>
        <v>27210</v>
      </c>
      <c r="F101" s="127" t="str">
        <f t="shared" si="6"/>
        <v>Date check - OK</v>
      </c>
      <c r="G101" s="1"/>
      <c r="H101" s="161"/>
      <c r="I101" s="37"/>
      <c r="J101" s="135">
        <f t="shared" si="7"/>
        <v>0.59839396822477431</v>
      </c>
      <c r="K101" s="112"/>
      <c r="L101" s="37">
        <v>238.9</v>
      </c>
      <c r="M101" s="37" t="s">
        <v>288</v>
      </c>
      <c r="N101" s="37">
        <v>709.53472875436546</v>
      </c>
      <c r="O101" s="130">
        <f t="shared" si="8"/>
        <v>169507.84669941792</v>
      </c>
      <c r="P101" s="132">
        <f t="shared" si="9"/>
        <v>101432.4730317014</v>
      </c>
      <c r="Q101" s="261">
        <v>1</v>
      </c>
      <c r="R101" s="92"/>
    </row>
    <row r="102" spans="1:18" x14ac:dyDescent="0.25">
      <c r="A102">
        <v>1974</v>
      </c>
      <c r="B102" t="s">
        <v>285</v>
      </c>
      <c r="C102" s="263" t="s">
        <v>335</v>
      </c>
      <c r="D102" s="157" t="s">
        <v>406</v>
      </c>
      <c r="E102" s="44">
        <f t="shared" si="5"/>
        <v>27210</v>
      </c>
      <c r="F102" s="127" t="str">
        <f t="shared" si="6"/>
        <v>Date check - OK</v>
      </c>
      <c r="G102" s="1"/>
      <c r="H102" s="161"/>
      <c r="I102" s="37"/>
      <c r="J102" s="135">
        <f t="shared" si="7"/>
        <v>0.59839396822477431</v>
      </c>
      <c r="K102" s="112"/>
      <c r="L102" s="37">
        <v>696</v>
      </c>
      <c r="M102" s="37" t="s">
        <v>288</v>
      </c>
      <c r="N102" s="37">
        <v>1578.9186607683353</v>
      </c>
      <c r="O102" s="130">
        <f t="shared" si="8"/>
        <v>1098927.3878947613</v>
      </c>
      <c r="P102" s="132">
        <f t="shared" si="9"/>
        <v>657591.52043323207</v>
      </c>
      <c r="Q102" s="261">
        <v>1</v>
      </c>
      <c r="R102" s="92"/>
    </row>
    <row r="103" spans="1:18" x14ac:dyDescent="0.25">
      <c r="A103">
        <v>1974</v>
      </c>
      <c r="B103" t="s">
        <v>285</v>
      </c>
      <c r="C103" s="263" t="s">
        <v>335</v>
      </c>
      <c r="D103" s="157" t="s">
        <v>406</v>
      </c>
      <c r="E103" s="44">
        <f t="shared" si="5"/>
        <v>27210</v>
      </c>
      <c r="F103" s="127" t="str">
        <f t="shared" si="6"/>
        <v>Date check - OK</v>
      </c>
      <c r="G103" s="1"/>
      <c r="H103" s="161"/>
      <c r="I103" s="37"/>
      <c r="J103" s="135">
        <f t="shared" si="7"/>
        <v>0.59839396822477431</v>
      </c>
      <c r="K103" s="112"/>
      <c r="L103" s="37">
        <v>171</v>
      </c>
      <c r="M103" s="37" t="s">
        <v>288</v>
      </c>
      <c r="N103" s="37">
        <v>751.94370104772986</v>
      </c>
      <c r="O103" s="130">
        <f t="shared" si="8"/>
        <v>128582.37287916181</v>
      </c>
      <c r="P103" s="132">
        <f t="shared" si="9"/>
        <v>76942.916350919229</v>
      </c>
      <c r="Q103" s="261">
        <v>1</v>
      </c>
      <c r="R103" s="92"/>
    </row>
    <row r="104" spans="1:18" x14ac:dyDescent="0.25">
      <c r="A104">
        <v>1974</v>
      </c>
      <c r="B104" t="s">
        <v>285</v>
      </c>
      <c r="C104" s="263" t="s">
        <v>336</v>
      </c>
      <c r="D104" s="157" t="s">
        <v>407</v>
      </c>
      <c r="E104" s="44">
        <f t="shared" si="5"/>
        <v>27210</v>
      </c>
      <c r="F104" s="127" t="str">
        <f t="shared" si="6"/>
        <v>Date check - OK</v>
      </c>
      <c r="G104" s="1"/>
      <c r="H104" s="161"/>
      <c r="I104" s="37"/>
      <c r="J104" s="135">
        <f t="shared" si="7"/>
        <v>0.59839396822477431</v>
      </c>
      <c r="K104" s="112"/>
      <c r="L104" s="37">
        <v>1363</v>
      </c>
      <c r="M104" s="37" t="s">
        <v>288</v>
      </c>
      <c r="N104" s="37">
        <v>1861.1014379511059</v>
      </c>
      <c r="O104" s="130">
        <f t="shared" si="8"/>
        <v>2536681.2599273575</v>
      </c>
      <c r="P104" s="132">
        <f t="shared" si="9"/>
        <v>1517934.7652493517</v>
      </c>
      <c r="Q104" s="261">
        <v>1</v>
      </c>
      <c r="R104" s="92"/>
    </row>
    <row r="105" spans="1:18" x14ac:dyDescent="0.25">
      <c r="A105">
        <v>1974</v>
      </c>
      <c r="B105" t="s">
        <v>285</v>
      </c>
      <c r="C105" s="263" t="s">
        <v>336</v>
      </c>
      <c r="D105" s="157" t="s">
        <v>407</v>
      </c>
      <c r="E105" s="44">
        <f t="shared" si="5"/>
        <v>27210</v>
      </c>
      <c r="F105" s="127" t="str">
        <f t="shared" si="6"/>
        <v>Date check - OK</v>
      </c>
      <c r="G105" s="1"/>
      <c r="H105" s="161"/>
      <c r="I105" s="37"/>
      <c r="J105" s="135">
        <f t="shared" si="7"/>
        <v>0.59839396822477431</v>
      </c>
      <c r="K105" s="112"/>
      <c r="L105" s="37">
        <v>19</v>
      </c>
      <c r="M105" s="37" t="s">
        <v>288</v>
      </c>
      <c r="N105" s="37">
        <v>833.49941699650753</v>
      </c>
      <c r="O105" s="130">
        <f t="shared" si="8"/>
        <v>15836.488922933644</v>
      </c>
      <c r="P105" s="132">
        <f t="shared" si="9"/>
        <v>9476.4594493419445</v>
      </c>
      <c r="Q105" s="261">
        <v>1</v>
      </c>
      <c r="R105" s="92"/>
    </row>
    <row r="106" spans="1:18" x14ac:dyDescent="0.25">
      <c r="A106">
        <v>1974</v>
      </c>
      <c r="B106" t="s">
        <v>285</v>
      </c>
      <c r="C106" s="263" t="s">
        <v>336</v>
      </c>
      <c r="D106" s="157" t="s">
        <v>407</v>
      </c>
      <c r="E106" s="44">
        <f t="shared" si="5"/>
        <v>27210</v>
      </c>
      <c r="F106" s="127" t="str">
        <f t="shared" si="6"/>
        <v>Date check - OK</v>
      </c>
      <c r="G106" s="1"/>
      <c r="H106" s="161"/>
      <c r="I106" s="37"/>
      <c r="J106" s="135">
        <f t="shared" si="7"/>
        <v>0.59839396822477431</v>
      </c>
      <c r="K106" s="112"/>
      <c r="L106" s="37">
        <v>56</v>
      </c>
      <c r="M106" s="37" t="s">
        <v>288</v>
      </c>
      <c r="N106" s="37">
        <v>450.18755203725266</v>
      </c>
      <c r="O106" s="130">
        <f t="shared" si="8"/>
        <v>25210.502914086148</v>
      </c>
      <c r="P106" s="132">
        <f t="shared" si="9"/>
        <v>15085.812879702247</v>
      </c>
      <c r="Q106" s="261">
        <v>1</v>
      </c>
      <c r="R106" s="92"/>
    </row>
    <row r="107" spans="1:18" x14ac:dyDescent="0.25">
      <c r="A107">
        <v>1974</v>
      </c>
      <c r="B107" t="s">
        <v>285</v>
      </c>
      <c r="C107" s="263" t="s">
        <v>337</v>
      </c>
      <c r="D107" s="157" t="s">
        <v>408</v>
      </c>
      <c r="E107" s="44">
        <f t="shared" si="5"/>
        <v>27210</v>
      </c>
      <c r="F107" s="127" t="str">
        <f t="shared" si="6"/>
        <v>Date check - OK</v>
      </c>
      <c r="G107" s="1"/>
      <c r="H107" s="161"/>
      <c r="I107" s="37"/>
      <c r="J107" s="135">
        <f t="shared" si="7"/>
        <v>0.59839396822477431</v>
      </c>
      <c r="K107" s="112"/>
      <c r="L107" s="37">
        <v>1259</v>
      </c>
      <c r="M107" s="37" t="s">
        <v>288</v>
      </c>
      <c r="N107" s="37">
        <v>4314.2973736903377</v>
      </c>
      <c r="O107" s="130">
        <f t="shared" si="8"/>
        <v>5431700.3934761351</v>
      </c>
      <c r="P107" s="132">
        <f t="shared" si="9"/>
        <v>3250296.7526602526</v>
      </c>
      <c r="Q107" s="261">
        <v>1</v>
      </c>
      <c r="R107" s="92"/>
    </row>
    <row r="108" spans="1:18" x14ac:dyDescent="0.25">
      <c r="A108">
        <v>1974</v>
      </c>
      <c r="B108" t="s">
        <v>285</v>
      </c>
      <c r="C108" s="263" t="s">
        <v>337</v>
      </c>
      <c r="D108" s="157" t="s">
        <v>408</v>
      </c>
      <c r="E108" s="44">
        <f t="shared" si="5"/>
        <v>27210</v>
      </c>
      <c r="F108" s="127" t="str">
        <f t="shared" si="6"/>
        <v>Date check - OK</v>
      </c>
      <c r="G108" s="1"/>
      <c r="H108" s="161"/>
      <c r="I108" s="37"/>
      <c r="J108" s="135">
        <f t="shared" si="7"/>
        <v>0.59839396822477431</v>
      </c>
      <c r="K108" s="112"/>
      <c r="L108" s="37">
        <v>2674</v>
      </c>
      <c r="M108" s="37" t="s">
        <v>288</v>
      </c>
      <c r="N108" s="37">
        <v>3637.3849313154828</v>
      </c>
      <c r="O108" s="130">
        <f t="shared" si="8"/>
        <v>9726367.3063376006</v>
      </c>
      <c r="P108" s="132">
        <f t="shared" si="9"/>
        <v>5820199.5288510658</v>
      </c>
      <c r="Q108" s="261">
        <v>1</v>
      </c>
      <c r="R108" s="92"/>
    </row>
    <row r="109" spans="1:18" x14ac:dyDescent="0.25">
      <c r="A109">
        <v>1974</v>
      </c>
      <c r="B109" t="s">
        <v>285</v>
      </c>
      <c r="C109" s="263" t="s">
        <v>337</v>
      </c>
      <c r="D109" s="157" t="s">
        <v>408</v>
      </c>
      <c r="E109" s="44">
        <f t="shared" si="5"/>
        <v>27210</v>
      </c>
      <c r="F109" s="127" t="str">
        <f t="shared" si="6"/>
        <v>Date check - OK</v>
      </c>
      <c r="G109" s="1"/>
      <c r="H109" s="161"/>
      <c r="I109" s="37"/>
      <c r="J109" s="135">
        <f t="shared" si="7"/>
        <v>0.59839396822477431</v>
      </c>
      <c r="K109" s="112"/>
      <c r="L109" s="37">
        <v>53</v>
      </c>
      <c r="M109" s="37" t="s">
        <v>288</v>
      </c>
      <c r="N109" s="37">
        <v>2356.960190919674</v>
      </c>
      <c r="O109" s="130">
        <f t="shared" si="8"/>
        <v>124918.89011874273</v>
      </c>
      <c r="P109" s="132">
        <f t="shared" si="9"/>
        <v>74750.710364389015</v>
      </c>
      <c r="Q109" s="261">
        <v>1</v>
      </c>
      <c r="R109" s="92"/>
    </row>
    <row r="110" spans="1:18" x14ac:dyDescent="0.25">
      <c r="A110">
        <v>1974</v>
      </c>
      <c r="B110" t="s">
        <v>285</v>
      </c>
      <c r="C110" s="263" t="s">
        <v>337</v>
      </c>
      <c r="D110" s="157" t="s">
        <v>408</v>
      </c>
      <c r="E110" s="44">
        <f t="shared" si="5"/>
        <v>27210</v>
      </c>
      <c r="F110" s="127" t="str">
        <f t="shared" si="6"/>
        <v>Date check - OK</v>
      </c>
      <c r="G110" s="1"/>
      <c r="H110" s="161"/>
      <c r="I110" s="37"/>
      <c r="J110" s="135">
        <f t="shared" si="7"/>
        <v>0.59839396822477431</v>
      </c>
      <c r="K110" s="112"/>
      <c r="L110" s="37">
        <v>170</v>
      </c>
      <c r="M110" s="37" t="s">
        <v>288</v>
      </c>
      <c r="N110" s="37">
        <v>1386.4471711292199</v>
      </c>
      <c r="O110" s="130">
        <f t="shared" si="8"/>
        <v>235696.01909196738</v>
      </c>
      <c r="P110" s="132">
        <f t="shared" si="9"/>
        <v>141039.07615922453</v>
      </c>
      <c r="Q110" s="261">
        <v>1</v>
      </c>
      <c r="R110" s="92"/>
    </row>
    <row r="111" spans="1:18" x14ac:dyDescent="0.25">
      <c r="A111">
        <v>1974</v>
      </c>
      <c r="B111" t="s">
        <v>285</v>
      </c>
      <c r="C111" s="263" t="s">
        <v>337</v>
      </c>
      <c r="D111" s="157" t="s">
        <v>408</v>
      </c>
      <c r="E111" s="44">
        <f t="shared" si="5"/>
        <v>27210</v>
      </c>
      <c r="F111" s="127" t="str">
        <f t="shared" si="6"/>
        <v>Date check - OK</v>
      </c>
      <c r="G111" s="1"/>
      <c r="H111" s="161"/>
      <c r="I111" s="37"/>
      <c r="J111" s="135">
        <f t="shared" si="7"/>
        <v>0.59839396822477431</v>
      </c>
      <c r="K111" s="112"/>
      <c r="L111" s="37">
        <v>87</v>
      </c>
      <c r="M111" s="37" t="s">
        <v>288</v>
      </c>
      <c r="N111" s="37">
        <v>494.22763864959256</v>
      </c>
      <c r="O111" s="130">
        <f t="shared" si="8"/>
        <v>42997.804562514553</v>
      </c>
      <c r="P111" s="132">
        <f t="shared" si="9"/>
        <v>25729.626897116388</v>
      </c>
      <c r="Q111" s="261">
        <v>1</v>
      </c>
      <c r="R111" s="92"/>
    </row>
    <row r="112" spans="1:18" x14ac:dyDescent="0.25">
      <c r="A112">
        <v>1974</v>
      </c>
      <c r="B112" t="s">
        <v>285</v>
      </c>
      <c r="C112" s="263" t="s">
        <v>295</v>
      </c>
      <c r="D112" s="157" t="s">
        <v>409</v>
      </c>
      <c r="E112" s="44">
        <f t="shared" si="5"/>
        <v>27210</v>
      </c>
      <c r="F112" s="127" t="str">
        <f t="shared" si="6"/>
        <v>Date check - OK</v>
      </c>
      <c r="G112" s="1"/>
      <c r="H112" s="161"/>
      <c r="I112" s="37"/>
      <c r="J112" s="135">
        <f t="shared" si="7"/>
        <v>0.59839396822477431</v>
      </c>
      <c r="K112" s="112"/>
      <c r="L112" s="37">
        <v>2416</v>
      </c>
      <c r="M112" s="37" t="s">
        <v>288</v>
      </c>
      <c r="N112" s="37">
        <v>1234.7535394644935</v>
      </c>
      <c r="O112" s="130">
        <f t="shared" si="8"/>
        <v>2983164.5513462164</v>
      </c>
      <c r="P112" s="132">
        <f t="shared" si="9"/>
        <v>1785107.6737475409</v>
      </c>
      <c r="Q112" s="261">
        <v>1</v>
      </c>
      <c r="R112" s="92"/>
    </row>
    <row r="113" spans="1:18" x14ac:dyDescent="0.25">
      <c r="A113">
        <v>1974</v>
      </c>
      <c r="B113" t="s">
        <v>285</v>
      </c>
      <c r="C113" s="263" t="s">
        <v>295</v>
      </c>
      <c r="D113" s="157" t="s">
        <v>409</v>
      </c>
      <c r="E113" s="44">
        <f t="shared" si="5"/>
        <v>27210</v>
      </c>
      <c r="F113" s="127" t="str">
        <f t="shared" si="6"/>
        <v>Date check - OK</v>
      </c>
      <c r="G113" s="1"/>
      <c r="H113" s="161"/>
      <c r="I113" s="37"/>
      <c r="J113" s="135">
        <f t="shared" si="7"/>
        <v>0.59839396822477431</v>
      </c>
      <c r="K113" s="112"/>
      <c r="L113" s="37">
        <v>787</v>
      </c>
      <c r="M113" s="37" t="s">
        <v>288</v>
      </c>
      <c r="N113" s="37">
        <v>946.04630500582073</v>
      </c>
      <c r="O113" s="130">
        <f t="shared" si="8"/>
        <v>744538.4420395809</v>
      </c>
      <c r="P113" s="132">
        <f t="shared" si="9"/>
        <v>445527.31282795593</v>
      </c>
      <c r="Q113" s="261">
        <v>1</v>
      </c>
      <c r="R113" s="92"/>
    </row>
    <row r="114" spans="1:18" x14ac:dyDescent="0.25">
      <c r="A114">
        <v>1974</v>
      </c>
      <c r="B114" t="s">
        <v>285</v>
      </c>
      <c r="C114" s="263" t="s">
        <v>295</v>
      </c>
      <c r="D114" s="157" t="s">
        <v>409</v>
      </c>
      <c r="E114" s="44">
        <f t="shared" si="5"/>
        <v>27210</v>
      </c>
      <c r="F114" s="127" t="str">
        <f t="shared" si="6"/>
        <v>Date check - OK</v>
      </c>
      <c r="G114" s="1"/>
      <c r="H114" s="161"/>
      <c r="I114" s="37"/>
      <c r="J114" s="135">
        <f t="shared" si="7"/>
        <v>0.59839396822477431</v>
      </c>
      <c r="K114" s="112"/>
      <c r="L114" s="37">
        <v>1783</v>
      </c>
      <c r="M114" s="37" t="s">
        <v>288</v>
      </c>
      <c r="N114" s="37">
        <v>520.32546775320145</v>
      </c>
      <c r="O114" s="130">
        <f t="shared" si="8"/>
        <v>927740.30900395813</v>
      </c>
      <c r="P114" s="132">
        <f t="shared" si="9"/>
        <v>555154.20498695679</v>
      </c>
      <c r="Q114" s="261">
        <v>1</v>
      </c>
      <c r="R114" s="92"/>
    </row>
    <row r="115" spans="1:18" x14ac:dyDescent="0.25">
      <c r="A115">
        <v>1973</v>
      </c>
      <c r="B115" t="s">
        <v>285</v>
      </c>
      <c r="C115" s="263" t="s">
        <v>338</v>
      </c>
      <c r="D115" s="157" t="s">
        <v>410</v>
      </c>
      <c r="E115" s="44">
        <f t="shared" si="5"/>
        <v>26845</v>
      </c>
      <c r="F115" s="127" t="str">
        <f t="shared" si="6"/>
        <v>Date check - OK</v>
      </c>
      <c r="G115" s="1"/>
      <c r="H115" s="161"/>
      <c r="I115" s="37"/>
      <c r="J115" s="135">
        <f t="shared" si="7"/>
        <v>0.59839396822477431</v>
      </c>
      <c r="K115" s="112"/>
      <c r="L115" s="37">
        <v>153</v>
      </c>
      <c r="M115" s="37" t="s">
        <v>288</v>
      </c>
      <c r="N115" s="37">
        <v>887.32618952270082</v>
      </c>
      <c r="O115" s="130">
        <f t="shared" si="8"/>
        <v>135760.90699697324</v>
      </c>
      <c r="P115" s="132">
        <f t="shared" si="9"/>
        <v>81238.507867713342</v>
      </c>
      <c r="Q115" s="261">
        <v>1</v>
      </c>
      <c r="R115" s="92"/>
    </row>
    <row r="116" spans="1:18" ht="23" x14ac:dyDescent="0.25">
      <c r="A116">
        <v>1973</v>
      </c>
      <c r="B116" t="s">
        <v>285</v>
      </c>
      <c r="C116" s="263" t="s">
        <v>339</v>
      </c>
      <c r="D116" s="157" t="s">
        <v>411</v>
      </c>
      <c r="E116" s="44">
        <f t="shared" si="5"/>
        <v>26845</v>
      </c>
      <c r="F116" s="127" t="str">
        <f t="shared" si="6"/>
        <v>Date check - OK</v>
      </c>
      <c r="G116" s="1"/>
      <c r="H116" s="161"/>
      <c r="I116" s="37"/>
      <c r="J116" s="135">
        <f t="shared" si="7"/>
        <v>0.59839396822477431</v>
      </c>
      <c r="K116" s="112"/>
      <c r="L116" s="37">
        <v>698</v>
      </c>
      <c r="M116" s="37" t="s">
        <v>288</v>
      </c>
      <c r="N116" s="37">
        <v>1024.3397923166472</v>
      </c>
      <c r="O116" s="130">
        <f t="shared" si="8"/>
        <v>714989.17503701977</v>
      </c>
      <c r="P116" s="132">
        <f t="shared" si="9"/>
        <v>183973.4401659088</v>
      </c>
      <c r="Q116" s="261">
        <v>0.43</v>
      </c>
      <c r="R116" s="92"/>
    </row>
    <row r="117" spans="1:18" ht="23" x14ac:dyDescent="0.25">
      <c r="A117">
        <v>1973</v>
      </c>
      <c r="B117" t="s">
        <v>285</v>
      </c>
      <c r="C117" s="263" t="s">
        <v>339</v>
      </c>
      <c r="D117" s="157" t="s">
        <v>412</v>
      </c>
      <c r="E117" s="44">
        <f t="shared" si="5"/>
        <v>26845</v>
      </c>
      <c r="F117" s="127" t="str">
        <f t="shared" si="6"/>
        <v>Date check - OK</v>
      </c>
      <c r="G117" s="1"/>
      <c r="H117" s="161"/>
      <c r="I117" s="37"/>
      <c r="J117" s="135">
        <f t="shared" si="7"/>
        <v>0.59839396822477431</v>
      </c>
      <c r="K117" s="112"/>
      <c r="L117" s="37">
        <v>121</v>
      </c>
      <c r="M117" s="37" t="s">
        <v>288</v>
      </c>
      <c r="N117" s="37">
        <v>450.18755203725266</v>
      </c>
      <c r="O117" s="130">
        <f t="shared" si="8"/>
        <v>54472.69379650757</v>
      </c>
      <c r="P117" s="132">
        <f t="shared" si="9"/>
        <v>15646.143072376901</v>
      </c>
      <c r="Q117" s="261">
        <v>0.48</v>
      </c>
      <c r="R117" s="92"/>
    </row>
    <row r="118" spans="1:18" x14ac:dyDescent="0.25">
      <c r="A118">
        <v>1973</v>
      </c>
      <c r="B118" t="s">
        <v>285</v>
      </c>
      <c r="C118" s="263" t="s">
        <v>340</v>
      </c>
      <c r="D118" s="157" t="s">
        <v>413</v>
      </c>
      <c r="E118" s="44">
        <f t="shared" si="5"/>
        <v>26845</v>
      </c>
      <c r="F118" s="127" t="str">
        <f t="shared" si="6"/>
        <v>Date check - OK</v>
      </c>
      <c r="G118" s="1"/>
      <c r="H118" s="161"/>
      <c r="I118" s="37"/>
      <c r="J118" s="135">
        <f t="shared" si="7"/>
        <v>0.59839396822477431</v>
      </c>
      <c r="K118" s="112"/>
      <c r="L118" s="37">
        <v>1572</v>
      </c>
      <c r="M118" s="37" t="s">
        <v>288</v>
      </c>
      <c r="N118" s="37">
        <v>1008.0286491268917</v>
      </c>
      <c r="O118" s="130">
        <f t="shared" si="8"/>
        <v>1584621.0364274736</v>
      </c>
      <c r="P118" s="132">
        <f t="shared" si="9"/>
        <v>948227.6701202906</v>
      </c>
      <c r="Q118" s="261">
        <v>1</v>
      </c>
      <c r="R118" s="92"/>
    </row>
    <row r="119" spans="1:18" x14ac:dyDescent="0.25">
      <c r="A119">
        <v>1973</v>
      </c>
      <c r="B119" t="s">
        <v>285</v>
      </c>
      <c r="C119" s="263" t="s">
        <v>340</v>
      </c>
      <c r="D119" s="157" t="s">
        <v>413</v>
      </c>
      <c r="E119" s="44">
        <f t="shared" si="5"/>
        <v>26845</v>
      </c>
      <c r="F119" s="127" t="str">
        <f t="shared" si="6"/>
        <v>Date check - OK</v>
      </c>
      <c r="G119" s="1"/>
      <c r="H119" s="161"/>
      <c r="I119" s="37"/>
      <c r="J119" s="135">
        <f t="shared" si="7"/>
        <v>0.59839396822477431</v>
      </c>
      <c r="K119" s="112"/>
      <c r="L119" s="37">
        <v>38</v>
      </c>
      <c r="M119" s="37" t="s">
        <v>288</v>
      </c>
      <c r="N119" s="37">
        <v>1008.0286491268917</v>
      </c>
      <c r="O119" s="130">
        <f t="shared" si="8"/>
        <v>38305.088666821881</v>
      </c>
      <c r="P119" s="132">
        <f t="shared" si="9"/>
        <v>22921.534010541374</v>
      </c>
      <c r="Q119" s="261">
        <v>1</v>
      </c>
      <c r="R119" s="92"/>
    </row>
    <row r="120" spans="1:18" ht="23" x14ac:dyDescent="0.25">
      <c r="A120">
        <v>1973</v>
      </c>
      <c r="B120" t="s">
        <v>285</v>
      </c>
      <c r="C120" s="263" t="s">
        <v>341</v>
      </c>
      <c r="D120" s="157" t="s">
        <v>414</v>
      </c>
      <c r="E120" s="44">
        <f t="shared" si="5"/>
        <v>26845</v>
      </c>
      <c r="F120" s="127" t="str">
        <f t="shared" si="6"/>
        <v>Date check - OK</v>
      </c>
      <c r="G120" s="1"/>
      <c r="H120" s="161"/>
      <c r="I120" s="37"/>
      <c r="J120" s="135">
        <f t="shared" si="7"/>
        <v>0.59839396822477431</v>
      </c>
      <c r="K120" s="112"/>
      <c r="L120" s="37">
        <v>122.7</v>
      </c>
      <c r="M120" s="37" t="s">
        <v>288</v>
      </c>
      <c r="N120" s="37">
        <v>494.22763864959256</v>
      </c>
      <c r="O120" s="130">
        <f t="shared" si="8"/>
        <v>60641.731262305009</v>
      </c>
      <c r="P120" s="132">
        <f t="shared" si="9"/>
        <v>15240.81140822984</v>
      </c>
      <c r="Q120" s="261">
        <v>0.42</v>
      </c>
      <c r="R120" s="92"/>
    </row>
    <row r="121" spans="1:18" x14ac:dyDescent="0.25">
      <c r="A121">
        <v>1973</v>
      </c>
      <c r="B121" t="s">
        <v>285</v>
      </c>
      <c r="C121" s="263" t="s">
        <v>342</v>
      </c>
      <c r="D121" s="157" t="s">
        <v>415</v>
      </c>
      <c r="E121" s="44">
        <f t="shared" si="5"/>
        <v>26845</v>
      </c>
      <c r="F121" s="127" t="str">
        <f t="shared" si="6"/>
        <v>Date check - OK</v>
      </c>
      <c r="G121" s="1"/>
      <c r="H121" s="161"/>
      <c r="I121" s="37"/>
      <c r="J121" s="135">
        <f t="shared" si="7"/>
        <v>0.59839396822477431</v>
      </c>
      <c r="K121" s="112"/>
      <c r="L121" s="37">
        <v>735</v>
      </c>
      <c r="M121" s="37" t="s">
        <v>288</v>
      </c>
      <c r="N121" s="37">
        <v>685.06801396973219</v>
      </c>
      <c r="O121" s="130">
        <f t="shared" si="8"/>
        <v>503524.99026775314</v>
      </c>
      <c r="P121" s="132">
        <f t="shared" si="9"/>
        <v>301306.31702666165</v>
      </c>
      <c r="Q121" s="261">
        <v>1</v>
      </c>
      <c r="R121" s="92"/>
    </row>
    <row r="122" spans="1:18" x14ac:dyDescent="0.25">
      <c r="A122">
        <v>1973</v>
      </c>
      <c r="B122" t="s">
        <v>285</v>
      </c>
      <c r="C122" s="263" t="s">
        <v>343</v>
      </c>
      <c r="D122" s="157" t="s">
        <v>416</v>
      </c>
      <c r="E122" s="44">
        <f t="shared" si="5"/>
        <v>26845</v>
      </c>
      <c r="F122" s="127" t="str">
        <f t="shared" si="6"/>
        <v>Date check - OK</v>
      </c>
      <c r="G122" s="1"/>
      <c r="H122" s="161"/>
      <c r="I122" s="37"/>
      <c r="J122" s="135">
        <f t="shared" si="7"/>
        <v>0.59839396822477431</v>
      </c>
      <c r="K122" s="112"/>
      <c r="L122" s="37">
        <v>558</v>
      </c>
      <c r="M122" s="37" t="s">
        <v>288</v>
      </c>
      <c r="N122" s="37">
        <v>2644.0363110593712</v>
      </c>
      <c r="O122" s="130">
        <f t="shared" si="8"/>
        <v>1475372.2615711291</v>
      </c>
      <c r="P122" s="132">
        <f t="shared" si="9"/>
        <v>882853.86221030762</v>
      </c>
      <c r="Q122" s="261">
        <v>1</v>
      </c>
      <c r="R122" s="92"/>
    </row>
    <row r="123" spans="1:18" x14ac:dyDescent="0.25">
      <c r="A123">
        <v>1973</v>
      </c>
      <c r="B123" t="s">
        <v>285</v>
      </c>
      <c r="C123" s="263" t="s">
        <v>343</v>
      </c>
      <c r="D123" s="157" t="s">
        <v>416</v>
      </c>
      <c r="E123" s="44">
        <f t="shared" si="5"/>
        <v>26845</v>
      </c>
      <c r="F123" s="127" t="str">
        <f t="shared" si="6"/>
        <v>Date check - OK</v>
      </c>
      <c r="G123" s="1"/>
      <c r="H123" s="161"/>
      <c r="I123" s="37"/>
      <c r="J123" s="135">
        <f t="shared" si="7"/>
        <v>0.59839396822477431</v>
      </c>
      <c r="K123" s="112"/>
      <c r="L123" s="37">
        <v>732</v>
      </c>
      <c r="M123" s="37" t="s">
        <v>288</v>
      </c>
      <c r="N123" s="37">
        <v>2210.1599022118739</v>
      </c>
      <c r="O123" s="130">
        <f t="shared" si="8"/>
        <v>1617837.0484190916</v>
      </c>
      <c r="P123" s="132">
        <f t="shared" si="9"/>
        <v>968103.93134455662</v>
      </c>
      <c r="Q123" s="261">
        <v>1</v>
      </c>
      <c r="R123" s="92"/>
    </row>
    <row r="124" spans="1:18" x14ac:dyDescent="0.25">
      <c r="A124">
        <v>1973</v>
      </c>
      <c r="B124" t="s">
        <v>285</v>
      </c>
      <c r="C124" s="263" t="s">
        <v>343</v>
      </c>
      <c r="D124" s="157" t="s">
        <v>416</v>
      </c>
      <c r="E124" s="44">
        <f t="shared" si="5"/>
        <v>26845</v>
      </c>
      <c r="F124" s="127" t="str">
        <f t="shared" si="6"/>
        <v>Date check - OK</v>
      </c>
      <c r="G124" s="1"/>
      <c r="H124" s="161"/>
      <c r="I124" s="37"/>
      <c r="J124" s="135">
        <f t="shared" si="7"/>
        <v>0.59839396822477431</v>
      </c>
      <c r="K124" s="112"/>
      <c r="L124" s="37">
        <v>1365</v>
      </c>
      <c r="M124" s="37" t="s">
        <v>288</v>
      </c>
      <c r="N124" s="37">
        <v>1666.9988339930151</v>
      </c>
      <c r="O124" s="130">
        <f t="shared" si="8"/>
        <v>2275453.4084004657</v>
      </c>
      <c r="P124" s="132">
        <f t="shared" si="9"/>
        <v>1361617.5945633426</v>
      </c>
      <c r="Q124" s="261">
        <v>1</v>
      </c>
      <c r="R124" s="92"/>
    </row>
    <row r="125" spans="1:18" x14ac:dyDescent="0.25">
      <c r="A125">
        <v>1973</v>
      </c>
      <c r="B125" t="s">
        <v>285</v>
      </c>
      <c r="C125" s="263" t="s">
        <v>343</v>
      </c>
      <c r="D125" s="157" t="s">
        <v>416</v>
      </c>
      <c r="E125" s="44">
        <f t="shared" si="5"/>
        <v>26845</v>
      </c>
      <c r="F125" s="127" t="str">
        <f t="shared" si="6"/>
        <v>Date check - OK</v>
      </c>
      <c r="G125" s="1"/>
      <c r="H125" s="161"/>
      <c r="I125" s="37"/>
      <c r="J125" s="135">
        <f t="shared" si="7"/>
        <v>0.59839396822477431</v>
      </c>
      <c r="K125" s="112"/>
      <c r="L125" s="37">
        <v>40</v>
      </c>
      <c r="M125" s="37" t="s">
        <v>288</v>
      </c>
      <c r="N125" s="37">
        <v>1177.6645383003492</v>
      </c>
      <c r="O125" s="130">
        <f t="shared" si="8"/>
        <v>47106.581532013966</v>
      </c>
      <c r="P125" s="132">
        <f t="shared" si="9"/>
        <v>28188.294252445707</v>
      </c>
      <c r="Q125" s="261">
        <v>1</v>
      </c>
      <c r="R125" s="92"/>
    </row>
    <row r="126" spans="1:18" x14ac:dyDescent="0.25">
      <c r="A126">
        <v>1973</v>
      </c>
      <c r="B126" t="s">
        <v>285</v>
      </c>
      <c r="C126" s="263" t="s">
        <v>343</v>
      </c>
      <c r="D126" s="157" t="s">
        <v>416</v>
      </c>
      <c r="E126" s="44">
        <f t="shared" ref="E126:E153" si="10">DATEVALUE("30 Jun "&amp;A126)</f>
        <v>26845</v>
      </c>
      <c r="F126" s="127" t="str">
        <f t="shared" si="6"/>
        <v>Date check - OK</v>
      </c>
      <c r="G126" s="1"/>
      <c r="H126" s="161"/>
      <c r="I126" s="37"/>
      <c r="J126" s="135">
        <f t="shared" si="7"/>
        <v>0.59839396822477431</v>
      </c>
      <c r="K126" s="112"/>
      <c r="L126" s="37">
        <v>65</v>
      </c>
      <c r="M126" s="37" t="s">
        <v>288</v>
      </c>
      <c r="N126" s="37">
        <v>450.18755203725266</v>
      </c>
      <c r="O126" s="130">
        <f t="shared" ref="O126:O153" si="11">IF(N126="","-",L126*N126)</f>
        <v>29262.190882421422</v>
      </c>
      <c r="P126" s="132">
        <f t="shared" ref="P126:P153" si="12">IF(O126="-","-",IF(OR(E126&lt;$E$15,E126&gt;$E$16),0,O126*J126))*Q126</f>
        <v>17510.318521082965</v>
      </c>
      <c r="Q126" s="261">
        <v>1</v>
      </c>
      <c r="R126" s="92"/>
    </row>
    <row r="127" spans="1:18" x14ac:dyDescent="0.25">
      <c r="A127">
        <v>1972</v>
      </c>
      <c r="B127" t="s">
        <v>285</v>
      </c>
      <c r="C127" s="263" t="s">
        <v>344</v>
      </c>
      <c r="D127" s="157" t="s">
        <v>417</v>
      </c>
      <c r="E127" s="44">
        <f t="shared" si="10"/>
        <v>26480</v>
      </c>
      <c r="F127" s="127" t="str">
        <f t="shared" si="6"/>
        <v>Date check - OK</v>
      </c>
      <c r="G127" s="1"/>
      <c r="H127" s="161"/>
      <c r="I127" s="37"/>
      <c r="J127" s="135">
        <f t="shared" si="7"/>
        <v>0.59839396822477431</v>
      </c>
      <c r="K127" s="112"/>
      <c r="L127" s="37">
        <v>216</v>
      </c>
      <c r="M127" s="37" t="s">
        <v>288</v>
      </c>
      <c r="N127" s="37">
        <v>624.71678416763677</v>
      </c>
      <c r="O127" s="130">
        <f t="shared" si="11"/>
        <v>134938.82538020954</v>
      </c>
      <c r="P127" s="132">
        <f t="shared" si="12"/>
        <v>80746.579186853472</v>
      </c>
      <c r="Q127" s="261">
        <v>1</v>
      </c>
      <c r="R127" s="92"/>
    </row>
    <row r="128" spans="1:18" x14ac:dyDescent="0.25">
      <c r="A128">
        <v>1972</v>
      </c>
      <c r="B128" t="s">
        <v>285</v>
      </c>
      <c r="C128" s="263" t="s">
        <v>345</v>
      </c>
      <c r="D128" s="157" t="s">
        <v>418</v>
      </c>
      <c r="E128" s="44">
        <f t="shared" si="10"/>
        <v>26480</v>
      </c>
      <c r="F128" s="127" t="str">
        <f t="shared" si="6"/>
        <v>Date check - OK</v>
      </c>
      <c r="G128" s="1"/>
      <c r="H128" s="161"/>
      <c r="I128" s="37"/>
      <c r="J128" s="135">
        <f t="shared" si="7"/>
        <v>0.59839396822477431</v>
      </c>
      <c r="K128" s="112"/>
      <c r="L128" s="37">
        <v>56</v>
      </c>
      <c r="M128" s="37" t="s">
        <v>288</v>
      </c>
      <c r="N128" s="37">
        <v>2833.2455720605353</v>
      </c>
      <c r="O128" s="130">
        <f t="shared" si="11"/>
        <v>158661.75203538997</v>
      </c>
      <c r="P128" s="132">
        <f t="shared" si="12"/>
        <v>94942.235405952175</v>
      </c>
      <c r="Q128" s="261">
        <v>1</v>
      </c>
      <c r="R128" s="92"/>
    </row>
    <row r="129" spans="1:18" x14ac:dyDescent="0.25">
      <c r="A129">
        <v>1972</v>
      </c>
      <c r="B129" t="s">
        <v>285</v>
      </c>
      <c r="C129" s="263" t="s">
        <v>345</v>
      </c>
      <c r="D129" s="157" t="s">
        <v>418</v>
      </c>
      <c r="E129" s="44">
        <f t="shared" si="10"/>
        <v>26480</v>
      </c>
      <c r="F129" s="127" t="str">
        <f t="shared" si="6"/>
        <v>Date check - OK</v>
      </c>
      <c r="G129" s="1"/>
      <c r="H129" s="161"/>
      <c r="I129" s="37"/>
      <c r="J129" s="135">
        <f t="shared" si="7"/>
        <v>0.59839396822477431</v>
      </c>
      <c r="K129" s="112"/>
      <c r="L129" s="37">
        <v>419</v>
      </c>
      <c r="M129" s="37" t="s">
        <v>288</v>
      </c>
      <c r="N129" s="37">
        <v>2296.6089611175785</v>
      </c>
      <c r="O129" s="130">
        <f t="shared" si="11"/>
        <v>962279.15470826533</v>
      </c>
      <c r="P129" s="132">
        <f t="shared" si="12"/>
        <v>575822.04192586045</v>
      </c>
      <c r="Q129" s="261">
        <v>1</v>
      </c>
      <c r="R129" s="92"/>
    </row>
    <row r="130" spans="1:18" x14ac:dyDescent="0.25">
      <c r="A130">
        <v>1972</v>
      </c>
      <c r="B130" t="s">
        <v>285</v>
      </c>
      <c r="C130" s="263" t="s">
        <v>345</v>
      </c>
      <c r="D130" s="157" t="s">
        <v>418</v>
      </c>
      <c r="E130" s="44">
        <f t="shared" si="10"/>
        <v>26480</v>
      </c>
      <c r="F130" s="127" t="str">
        <f t="shared" si="6"/>
        <v>Date check - OK</v>
      </c>
      <c r="G130" s="1"/>
      <c r="H130" s="161"/>
      <c r="I130" s="37"/>
      <c r="J130" s="135">
        <f t="shared" si="7"/>
        <v>0.59839396822477431</v>
      </c>
      <c r="K130" s="112"/>
      <c r="L130" s="37">
        <v>102</v>
      </c>
      <c r="M130" s="37" t="s">
        <v>288</v>
      </c>
      <c r="N130" s="37">
        <v>1666.9988339930151</v>
      </c>
      <c r="O130" s="130">
        <f t="shared" si="11"/>
        <v>170033.88106728753</v>
      </c>
      <c r="P130" s="132">
        <f t="shared" si="12"/>
        <v>101747.2488245135</v>
      </c>
      <c r="Q130" s="261">
        <v>1</v>
      </c>
      <c r="R130" s="92"/>
    </row>
    <row r="131" spans="1:18" x14ac:dyDescent="0.25">
      <c r="A131">
        <v>1972</v>
      </c>
      <c r="B131" t="s">
        <v>285</v>
      </c>
      <c r="C131" s="263" t="s">
        <v>345</v>
      </c>
      <c r="D131" s="157" t="s">
        <v>418</v>
      </c>
      <c r="E131" s="44">
        <f t="shared" si="10"/>
        <v>26480</v>
      </c>
      <c r="F131" s="127" t="str">
        <f t="shared" si="6"/>
        <v>Date check - OK</v>
      </c>
      <c r="G131" s="1"/>
      <c r="H131" s="161"/>
      <c r="I131" s="37"/>
      <c r="J131" s="135">
        <f t="shared" si="7"/>
        <v>0.59839396822477431</v>
      </c>
      <c r="K131" s="112"/>
      <c r="L131" s="37">
        <v>645</v>
      </c>
      <c r="M131" s="37" t="s">
        <v>288</v>
      </c>
      <c r="N131" s="37">
        <v>1234.7535394644935</v>
      </c>
      <c r="O131" s="130">
        <f t="shared" si="11"/>
        <v>796416.03295459831</v>
      </c>
      <c r="P131" s="132">
        <f t="shared" si="12"/>
        <v>476570.55031753471</v>
      </c>
      <c r="Q131" s="261">
        <v>1</v>
      </c>
      <c r="R131" s="92"/>
    </row>
    <row r="132" spans="1:18" x14ac:dyDescent="0.25">
      <c r="A132">
        <v>1972</v>
      </c>
      <c r="B132" t="s">
        <v>285</v>
      </c>
      <c r="C132" s="263" t="s">
        <v>345</v>
      </c>
      <c r="D132" s="157" t="s">
        <v>418</v>
      </c>
      <c r="E132" s="44">
        <f t="shared" si="10"/>
        <v>26480</v>
      </c>
      <c r="F132" s="127" t="str">
        <f t="shared" si="6"/>
        <v>Date check - OK</v>
      </c>
      <c r="G132" s="1"/>
      <c r="H132" s="161"/>
      <c r="I132" s="37"/>
      <c r="J132" s="135">
        <f t="shared" si="7"/>
        <v>0.59839396822477431</v>
      </c>
      <c r="K132" s="112"/>
      <c r="L132" s="37">
        <v>510</v>
      </c>
      <c r="M132" s="37" t="s">
        <v>288</v>
      </c>
      <c r="N132" s="37">
        <v>1149.9355948777647</v>
      </c>
      <c r="O132" s="130">
        <f t="shared" si="11"/>
        <v>586467.15338766004</v>
      </c>
      <c r="P132" s="132">
        <f t="shared" si="12"/>
        <v>350938.40714912926</v>
      </c>
      <c r="Q132" s="261">
        <v>1</v>
      </c>
      <c r="R132" s="92"/>
    </row>
    <row r="133" spans="1:18" x14ac:dyDescent="0.25">
      <c r="A133">
        <v>1972</v>
      </c>
      <c r="B133" t="s">
        <v>285</v>
      </c>
      <c r="C133" s="263" t="s">
        <v>345</v>
      </c>
      <c r="D133" s="157" t="s">
        <v>418</v>
      </c>
      <c r="E133" s="44">
        <f t="shared" si="10"/>
        <v>26480</v>
      </c>
      <c r="F133" s="127" t="str">
        <f t="shared" si="6"/>
        <v>Date check - OK</v>
      </c>
      <c r="G133" s="1"/>
      <c r="H133" s="161"/>
      <c r="I133" s="37"/>
      <c r="J133" s="135">
        <f t="shared" si="7"/>
        <v>0.59839396822477431</v>
      </c>
      <c r="K133" s="112"/>
      <c r="L133" s="37">
        <v>337</v>
      </c>
      <c r="M133" s="37" t="s">
        <v>288</v>
      </c>
      <c r="N133" s="37">
        <v>520.32546775320145</v>
      </c>
      <c r="O133" s="130">
        <f t="shared" si="11"/>
        <v>175349.68263282889</v>
      </c>
      <c r="P133" s="132">
        <f t="shared" si="12"/>
        <v>104928.19241761327</v>
      </c>
      <c r="Q133" s="261">
        <v>1</v>
      </c>
      <c r="R133" s="92"/>
    </row>
    <row r="134" spans="1:18" x14ac:dyDescent="0.25">
      <c r="A134">
        <v>1972</v>
      </c>
      <c r="B134" t="s">
        <v>285</v>
      </c>
      <c r="C134" s="263" t="s">
        <v>345</v>
      </c>
      <c r="D134" s="157" t="s">
        <v>418</v>
      </c>
      <c r="E134" s="44">
        <f t="shared" si="10"/>
        <v>26480</v>
      </c>
      <c r="F134" s="127" t="str">
        <f t="shared" si="6"/>
        <v>Date check - OK</v>
      </c>
      <c r="G134" s="1"/>
      <c r="H134" s="161"/>
      <c r="I134" s="37"/>
      <c r="J134" s="135">
        <f t="shared" si="7"/>
        <v>0.59839396822477431</v>
      </c>
      <c r="K134" s="112"/>
      <c r="L134" s="37">
        <v>338</v>
      </c>
      <c r="M134" s="37" t="s">
        <v>288</v>
      </c>
      <c r="N134" s="37">
        <v>567.62778300349237</v>
      </c>
      <c r="O134" s="130">
        <f t="shared" si="11"/>
        <v>191858.19065518043</v>
      </c>
      <c r="P134" s="132">
        <f t="shared" si="12"/>
        <v>114806.78404257873</v>
      </c>
      <c r="Q134" s="261">
        <v>1</v>
      </c>
      <c r="R134" s="92"/>
    </row>
    <row r="135" spans="1:18" x14ac:dyDescent="0.25">
      <c r="A135">
        <v>1972</v>
      </c>
      <c r="B135" t="s">
        <v>285</v>
      </c>
      <c r="C135" s="263" t="s">
        <v>346</v>
      </c>
      <c r="D135" s="157" t="s">
        <v>419</v>
      </c>
      <c r="E135" s="44">
        <f t="shared" si="10"/>
        <v>26480</v>
      </c>
      <c r="F135" s="127" t="str">
        <f t="shared" si="6"/>
        <v>Date check - OK</v>
      </c>
      <c r="G135" s="1"/>
      <c r="H135" s="161"/>
      <c r="I135" s="37"/>
      <c r="J135" s="135">
        <f t="shared" si="7"/>
        <v>0.59839396822477431</v>
      </c>
      <c r="K135" s="112"/>
      <c r="L135" s="37">
        <v>276</v>
      </c>
      <c r="M135" s="37" t="s">
        <v>288</v>
      </c>
      <c r="N135" s="37">
        <v>685.06801396973219</v>
      </c>
      <c r="O135" s="130">
        <f t="shared" si="11"/>
        <v>189078.77185564607</v>
      </c>
      <c r="P135" s="132">
        <f t="shared" si="12"/>
        <v>113143.59659776682</v>
      </c>
      <c r="Q135" s="261">
        <v>1</v>
      </c>
      <c r="R135" s="92"/>
    </row>
    <row r="136" spans="1:18" x14ac:dyDescent="0.25">
      <c r="A136">
        <v>1972</v>
      </c>
      <c r="B136" t="s">
        <v>285</v>
      </c>
      <c r="C136" s="263" t="s">
        <v>347</v>
      </c>
      <c r="D136" s="157" t="s">
        <v>420</v>
      </c>
      <c r="E136" s="44">
        <f t="shared" si="10"/>
        <v>26480</v>
      </c>
      <c r="F136" s="127" t="str">
        <f t="shared" si="6"/>
        <v>Date check - OK</v>
      </c>
      <c r="G136" s="1"/>
      <c r="H136" s="161"/>
      <c r="I136" s="37"/>
      <c r="J136" s="135">
        <f t="shared" si="7"/>
        <v>0.59839396822477431</v>
      </c>
      <c r="K136" s="112"/>
      <c r="L136" s="37">
        <v>1138</v>
      </c>
      <c r="M136" s="37" t="s">
        <v>288</v>
      </c>
      <c r="N136" s="37">
        <v>2644.0363110593712</v>
      </c>
      <c r="O136" s="130">
        <f t="shared" si="11"/>
        <v>3008913.3219855642</v>
      </c>
      <c r="P136" s="132">
        <f t="shared" si="12"/>
        <v>1800515.5827873298</v>
      </c>
      <c r="Q136" s="261">
        <v>1</v>
      </c>
      <c r="R136" s="92"/>
    </row>
    <row r="137" spans="1:18" x14ac:dyDescent="0.25">
      <c r="A137">
        <v>1972</v>
      </c>
      <c r="B137" t="s">
        <v>285</v>
      </c>
      <c r="C137" s="263" t="s">
        <v>348</v>
      </c>
      <c r="D137" s="157" t="s">
        <v>421</v>
      </c>
      <c r="E137" s="44">
        <f t="shared" si="10"/>
        <v>26480</v>
      </c>
      <c r="F137" s="127" t="str">
        <f t="shared" si="6"/>
        <v>Date check - OK</v>
      </c>
      <c r="G137" s="1"/>
      <c r="H137" s="161"/>
      <c r="I137" s="37"/>
      <c r="J137" s="135">
        <f t="shared" si="7"/>
        <v>0.59839396822477431</v>
      </c>
      <c r="K137" s="112"/>
      <c r="L137" s="37">
        <v>1013</v>
      </c>
      <c r="M137" s="37" t="s">
        <v>288</v>
      </c>
      <c r="N137" s="37">
        <v>4413.7953471478459</v>
      </c>
      <c r="O137" s="130">
        <f t="shared" si="11"/>
        <v>4471174.6866607675</v>
      </c>
      <c r="P137" s="132">
        <f t="shared" si="12"/>
        <v>2675523.9633770986</v>
      </c>
      <c r="Q137" s="261">
        <v>1</v>
      </c>
      <c r="R137" s="92"/>
    </row>
    <row r="138" spans="1:18" ht="23" x14ac:dyDescent="0.25">
      <c r="A138">
        <v>1971</v>
      </c>
      <c r="B138" t="s">
        <v>285</v>
      </c>
      <c r="C138" s="263" t="s">
        <v>349</v>
      </c>
      <c r="D138" s="157" t="s">
        <v>422</v>
      </c>
      <c r="E138" s="44">
        <f t="shared" si="10"/>
        <v>26114</v>
      </c>
      <c r="F138" s="127" t="str">
        <f t="shared" si="6"/>
        <v>Date check - OK</v>
      </c>
      <c r="G138" s="1"/>
      <c r="H138" s="161"/>
      <c r="I138" s="37"/>
      <c r="J138" s="135">
        <f t="shared" si="7"/>
        <v>0.59839396822477431</v>
      </c>
      <c r="K138" s="112"/>
      <c r="L138" s="37">
        <v>666</v>
      </c>
      <c r="M138" s="37" t="s">
        <v>288</v>
      </c>
      <c r="N138" s="37">
        <v>639.39681303841667</v>
      </c>
      <c r="O138" s="130">
        <f t="shared" si="11"/>
        <v>425838.27748358552</v>
      </c>
      <c r="P138" s="132">
        <f t="shared" si="12"/>
        <v>56060.192470789167</v>
      </c>
      <c r="Q138" s="261">
        <v>0.22</v>
      </c>
      <c r="R138" s="92"/>
    </row>
    <row r="139" spans="1:18" x14ac:dyDescent="0.25">
      <c r="A139">
        <v>1971</v>
      </c>
      <c r="B139" t="s">
        <v>285</v>
      </c>
      <c r="C139" s="263" t="s">
        <v>349</v>
      </c>
      <c r="D139" s="157" t="s">
        <v>423</v>
      </c>
      <c r="E139" s="44">
        <f t="shared" si="10"/>
        <v>26114</v>
      </c>
      <c r="F139" s="127" t="str">
        <f t="shared" si="6"/>
        <v>Date check - OK</v>
      </c>
      <c r="G139" s="1"/>
      <c r="H139" s="161"/>
      <c r="I139" s="37"/>
      <c r="J139" s="135">
        <f t="shared" si="7"/>
        <v>0.59839396822477431</v>
      </c>
      <c r="K139" s="112"/>
      <c r="L139" s="37">
        <v>452</v>
      </c>
      <c r="M139" s="37" t="s">
        <v>288</v>
      </c>
      <c r="N139" s="37">
        <v>685.06801396973219</v>
      </c>
      <c r="O139" s="130">
        <f t="shared" si="11"/>
        <v>309650.74231431895</v>
      </c>
      <c r="P139" s="132">
        <f t="shared" si="12"/>
        <v>185293.13645721236</v>
      </c>
      <c r="Q139" s="261">
        <v>1</v>
      </c>
      <c r="R139" s="92"/>
    </row>
    <row r="140" spans="1:18" x14ac:dyDescent="0.25">
      <c r="A140">
        <v>1971</v>
      </c>
      <c r="B140" t="s">
        <v>285</v>
      </c>
      <c r="C140" s="263" t="s">
        <v>350</v>
      </c>
      <c r="D140" s="157" t="s">
        <v>424</v>
      </c>
      <c r="E140" s="44">
        <f t="shared" si="10"/>
        <v>26114</v>
      </c>
      <c r="F140" s="127" t="str">
        <f t="shared" si="6"/>
        <v>Date check - OK</v>
      </c>
      <c r="G140" s="1"/>
      <c r="H140" s="161"/>
      <c r="I140" s="37"/>
      <c r="J140" s="135">
        <f t="shared" si="7"/>
        <v>0.59839396822477431</v>
      </c>
      <c r="K140" s="112"/>
      <c r="L140" s="37">
        <v>501</v>
      </c>
      <c r="M140" s="37" t="s">
        <v>288</v>
      </c>
      <c r="N140" s="37">
        <v>833.49941699650753</v>
      </c>
      <c r="O140" s="130">
        <f t="shared" si="11"/>
        <v>417583.20791525027</v>
      </c>
      <c r="P140" s="132">
        <f t="shared" si="12"/>
        <v>249879.2728484376</v>
      </c>
      <c r="Q140" s="261">
        <v>1</v>
      </c>
      <c r="R140" s="92"/>
    </row>
    <row r="141" spans="1:18" x14ac:dyDescent="0.25">
      <c r="A141">
        <v>1971</v>
      </c>
      <c r="B141" t="s">
        <v>285</v>
      </c>
      <c r="C141" s="263" t="s">
        <v>350</v>
      </c>
      <c r="D141" s="157" t="s">
        <v>424</v>
      </c>
      <c r="E141" s="44">
        <f t="shared" si="10"/>
        <v>26114</v>
      </c>
      <c r="F141" s="127" t="str">
        <f t="shared" si="6"/>
        <v>Date check - OK</v>
      </c>
      <c r="G141" s="1"/>
      <c r="H141" s="161"/>
      <c r="I141" s="37"/>
      <c r="J141" s="135">
        <f t="shared" si="7"/>
        <v>0.59839396822477431</v>
      </c>
      <c r="K141" s="112"/>
      <c r="L141" s="37">
        <v>91</v>
      </c>
      <c r="M141" s="37" t="s">
        <v>288</v>
      </c>
      <c r="N141" s="37">
        <v>685.06801396973219</v>
      </c>
      <c r="O141" s="130">
        <f t="shared" si="11"/>
        <v>62341.189271245632</v>
      </c>
      <c r="P141" s="132">
        <f t="shared" si="12"/>
        <v>37304.591631872398</v>
      </c>
      <c r="Q141" s="261">
        <v>1</v>
      </c>
      <c r="R141" s="92"/>
    </row>
    <row r="142" spans="1:18" x14ac:dyDescent="0.25">
      <c r="A142">
        <v>1971</v>
      </c>
      <c r="B142" t="s">
        <v>285</v>
      </c>
      <c r="C142" s="263" t="s">
        <v>351</v>
      </c>
      <c r="D142" s="157" t="s">
        <v>425</v>
      </c>
      <c r="E142" s="44">
        <f t="shared" si="10"/>
        <v>26114</v>
      </c>
      <c r="F142" s="127" t="str">
        <f t="shared" si="6"/>
        <v>Date check - OK</v>
      </c>
      <c r="G142" s="1"/>
      <c r="H142" s="161"/>
      <c r="I142" s="37"/>
      <c r="J142" s="135">
        <f t="shared" si="7"/>
        <v>0.59839396822477431</v>
      </c>
      <c r="K142" s="112"/>
      <c r="L142" s="37">
        <v>332</v>
      </c>
      <c r="M142" s="37" t="s">
        <v>288</v>
      </c>
      <c r="N142" s="37">
        <v>709.53472875436546</v>
      </c>
      <c r="O142" s="130">
        <f t="shared" si="11"/>
        <v>235565.52994644933</v>
      </c>
      <c r="P142" s="132">
        <f t="shared" si="12"/>
        <v>140960.99224162771</v>
      </c>
      <c r="Q142" s="261">
        <v>1</v>
      </c>
      <c r="R142" s="92"/>
    </row>
    <row r="143" spans="1:18" x14ac:dyDescent="0.25">
      <c r="A143">
        <v>1971</v>
      </c>
      <c r="B143" t="s">
        <v>285</v>
      </c>
      <c r="C143" s="263" t="s">
        <v>351</v>
      </c>
      <c r="D143" s="157" t="s">
        <v>425</v>
      </c>
      <c r="E143" s="44">
        <f t="shared" si="10"/>
        <v>26114</v>
      </c>
      <c r="F143" s="127" t="str">
        <f t="shared" si="6"/>
        <v>Date check - OK</v>
      </c>
      <c r="G143" s="1"/>
      <c r="H143" s="161"/>
      <c r="I143" s="37"/>
      <c r="J143" s="135">
        <f t="shared" si="7"/>
        <v>0.59839396822477431</v>
      </c>
      <c r="K143" s="112"/>
      <c r="L143" s="37">
        <v>71</v>
      </c>
      <c r="M143" s="37" t="s">
        <v>288</v>
      </c>
      <c r="N143" s="37">
        <v>751.94370104772986</v>
      </c>
      <c r="O143" s="130">
        <f t="shared" si="11"/>
        <v>53388.00277438882</v>
      </c>
      <c r="P143" s="132">
        <f t="shared" si="12"/>
        <v>31947.058835761785</v>
      </c>
      <c r="Q143" s="261">
        <v>1</v>
      </c>
      <c r="R143" s="92"/>
    </row>
    <row r="144" spans="1:18" x14ac:dyDescent="0.25">
      <c r="A144">
        <v>1971</v>
      </c>
      <c r="B144" t="s">
        <v>285</v>
      </c>
      <c r="C144" s="263" t="s">
        <v>352</v>
      </c>
      <c r="D144" s="157" t="s">
        <v>426</v>
      </c>
      <c r="E144" s="44">
        <f t="shared" si="10"/>
        <v>26114</v>
      </c>
      <c r="F144" s="127" t="str">
        <f t="shared" si="6"/>
        <v>Date check - OK</v>
      </c>
      <c r="G144" s="1"/>
      <c r="H144" s="161"/>
      <c r="I144" s="37"/>
      <c r="J144" s="135">
        <f t="shared" si="7"/>
        <v>0.59839396822477431</v>
      </c>
      <c r="K144" s="112"/>
      <c r="L144" s="37">
        <v>55</v>
      </c>
      <c r="M144" s="37" t="s">
        <v>288</v>
      </c>
      <c r="N144" s="37">
        <v>685.06801396973219</v>
      </c>
      <c r="O144" s="130">
        <f t="shared" si="11"/>
        <v>37678.740768335272</v>
      </c>
      <c r="P144" s="132">
        <f t="shared" si="12"/>
        <v>22546.731206076725</v>
      </c>
      <c r="Q144" s="261">
        <v>1</v>
      </c>
      <c r="R144" s="92"/>
    </row>
    <row r="145" spans="1:18" x14ac:dyDescent="0.25">
      <c r="A145">
        <v>1971</v>
      </c>
      <c r="B145" t="s">
        <v>285</v>
      </c>
      <c r="C145" s="263" t="s">
        <v>353</v>
      </c>
      <c r="D145" s="157" t="s">
        <v>427</v>
      </c>
      <c r="E145" s="44">
        <f t="shared" si="10"/>
        <v>26114</v>
      </c>
      <c r="F145" s="127" t="str">
        <f t="shared" si="6"/>
        <v>Date check - OK</v>
      </c>
      <c r="G145" s="1"/>
      <c r="H145" s="161"/>
      <c r="I145" s="37"/>
      <c r="J145" s="135">
        <f t="shared" si="7"/>
        <v>0.59839396822477431</v>
      </c>
      <c r="K145" s="112"/>
      <c r="L145" s="37">
        <v>309.60000000000002</v>
      </c>
      <c r="M145" s="37" t="s">
        <v>288</v>
      </c>
      <c r="N145" s="37">
        <v>685.06801396973219</v>
      </c>
      <c r="O145" s="130">
        <f t="shared" si="11"/>
        <v>212097.0571250291</v>
      </c>
      <c r="P145" s="132">
        <f t="shared" si="12"/>
        <v>126917.5996618428</v>
      </c>
      <c r="Q145" s="261">
        <v>1</v>
      </c>
      <c r="R145" s="92"/>
    </row>
    <row r="146" spans="1:18" x14ac:dyDescent="0.25">
      <c r="A146">
        <v>1970</v>
      </c>
      <c r="B146" t="s">
        <v>285</v>
      </c>
      <c r="C146" s="263" t="s">
        <v>354</v>
      </c>
      <c r="D146" s="157" t="s">
        <v>428</v>
      </c>
      <c r="E146" s="44">
        <f t="shared" si="10"/>
        <v>25749</v>
      </c>
      <c r="F146" s="127" t="str">
        <f t="shared" si="6"/>
        <v>Date check - OK</v>
      </c>
      <c r="G146" s="1"/>
      <c r="H146" s="161"/>
      <c r="I146" s="37"/>
      <c r="J146" s="135">
        <f t="shared" si="7"/>
        <v>0.59839396822477431</v>
      </c>
      <c r="K146" s="112"/>
      <c r="L146" s="37">
        <v>520</v>
      </c>
      <c r="M146" s="37" t="s">
        <v>288</v>
      </c>
      <c r="N146" s="37">
        <v>685.06801396973219</v>
      </c>
      <c r="O146" s="130">
        <f t="shared" si="11"/>
        <v>356235.36726426071</v>
      </c>
      <c r="P146" s="132">
        <f t="shared" si="12"/>
        <v>213169.09503927082</v>
      </c>
      <c r="Q146" s="261">
        <v>1</v>
      </c>
      <c r="R146" s="92"/>
    </row>
    <row r="147" spans="1:18" x14ac:dyDescent="0.25">
      <c r="A147">
        <v>1970</v>
      </c>
      <c r="B147" t="s">
        <v>285</v>
      </c>
      <c r="C147" s="263" t="s">
        <v>355</v>
      </c>
      <c r="D147" s="157" t="s">
        <v>429</v>
      </c>
      <c r="E147" s="44">
        <f t="shared" si="10"/>
        <v>25749</v>
      </c>
      <c r="F147" s="127" t="str">
        <f t="shared" si="6"/>
        <v>Date check - OK</v>
      </c>
      <c r="G147" s="1"/>
      <c r="H147" s="161"/>
      <c r="I147" s="37"/>
      <c r="J147" s="135">
        <f t="shared" si="7"/>
        <v>0.59839396822477431</v>
      </c>
      <c r="K147" s="112"/>
      <c r="L147" s="37">
        <v>38</v>
      </c>
      <c r="M147" s="37" t="s">
        <v>288</v>
      </c>
      <c r="N147" s="37">
        <v>639.39681303841667</v>
      </c>
      <c r="O147" s="130">
        <f t="shared" si="11"/>
        <v>24297.078895459832</v>
      </c>
      <c r="P147" s="132">
        <f t="shared" si="12"/>
        <v>14539.225456524626</v>
      </c>
      <c r="Q147" s="261">
        <v>1</v>
      </c>
      <c r="R147" s="92"/>
    </row>
    <row r="148" spans="1:18" x14ac:dyDescent="0.25">
      <c r="A148">
        <v>1970</v>
      </c>
      <c r="B148" t="s">
        <v>285</v>
      </c>
      <c r="C148" s="263" t="s">
        <v>355</v>
      </c>
      <c r="D148" s="157" t="s">
        <v>429</v>
      </c>
      <c r="E148" s="44">
        <f t="shared" si="10"/>
        <v>25749</v>
      </c>
      <c r="F148" s="127" t="str">
        <f t="shared" si="6"/>
        <v>Date check - OK</v>
      </c>
      <c r="G148" s="1"/>
      <c r="H148" s="161"/>
      <c r="I148" s="37"/>
      <c r="J148" s="135">
        <f t="shared" si="7"/>
        <v>0.59839396822477431</v>
      </c>
      <c r="K148" s="112"/>
      <c r="L148" s="37">
        <v>928</v>
      </c>
      <c r="M148" s="37" t="s">
        <v>288</v>
      </c>
      <c r="N148" s="37">
        <v>624.71678416763677</v>
      </c>
      <c r="O148" s="130">
        <f t="shared" si="11"/>
        <v>579737.1757075669</v>
      </c>
      <c r="P148" s="132">
        <f t="shared" si="12"/>
        <v>346911.2290990742</v>
      </c>
      <c r="Q148" s="261">
        <v>1</v>
      </c>
      <c r="R148" s="92"/>
    </row>
    <row r="149" spans="1:18" x14ac:dyDescent="0.25">
      <c r="A149">
        <v>1970</v>
      </c>
      <c r="B149" t="s">
        <v>285</v>
      </c>
      <c r="C149" s="263" t="s">
        <v>356</v>
      </c>
      <c r="D149" s="157" t="s">
        <v>430</v>
      </c>
      <c r="E149" s="44">
        <f t="shared" si="10"/>
        <v>25749</v>
      </c>
      <c r="F149" s="127" t="str">
        <f t="shared" si="6"/>
        <v>Date check - OK</v>
      </c>
      <c r="G149" s="1"/>
      <c r="H149" s="161"/>
      <c r="I149" s="37"/>
      <c r="J149" s="135">
        <f t="shared" si="7"/>
        <v>0.59839396822477431</v>
      </c>
      <c r="K149" s="112"/>
      <c r="L149" s="37">
        <v>297</v>
      </c>
      <c r="M149" s="37" t="s">
        <v>288</v>
      </c>
      <c r="N149" s="37">
        <v>950.93964796274736</v>
      </c>
      <c r="O149" s="130">
        <f t="shared" si="11"/>
        <v>282429.07544493594</v>
      </c>
      <c r="P149" s="132">
        <f t="shared" si="12"/>
        <v>169003.85519754939</v>
      </c>
      <c r="Q149" s="261">
        <v>1</v>
      </c>
      <c r="R149" s="92"/>
    </row>
    <row r="150" spans="1:18" x14ac:dyDescent="0.25">
      <c r="A150">
        <v>1970</v>
      </c>
      <c r="B150" t="s">
        <v>285</v>
      </c>
      <c r="C150" s="263" t="s">
        <v>356</v>
      </c>
      <c r="D150" s="157" t="s">
        <v>430</v>
      </c>
      <c r="E150" s="44">
        <f t="shared" si="10"/>
        <v>25749</v>
      </c>
      <c r="F150" s="127" t="str">
        <f t="shared" si="6"/>
        <v>Date check - OK</v>
      </c>
      <c r="G150" s="1"/>
      <c r="H150" s="161"/>
      <c r="I150" s="37"/>
      <c r="J150" s="135">
        <f t="shared" si="7"/>
        <v>0.59839396822477431</v>
      </c>
      <c r="K150" s="112"/>
      <c r="L150" s="37">
        <v>913</v>
      </c>
      <c r="M150" s="37" t="s">
        <v>288</v>
      </c>
      <c r="N150" s="37">
        <v>639.39681303841667</v>
      </c>
      <c r="O150" s="130">
        <f t="shared" si="11"/>
        <v>583769.29030407441</v>
      </c>
      <c r="P150" s="132">
        <f t="shared" si="12"/>
        <v>349324.02215281536</v>
      </c>
      <c r="Q150" s="261">
        <v>1</v>
      </c>
      <c r="R150" s="92"/>
    </row>
    <row r="151" spans="1:18" x14ac:dyDescent="0.25">
      <c r="A151">
        <v>1970</v>
      </c>
      <c r="B151" t="s">
        <v>285</v>
      </c>
      <c r="C151" s="263" t="s">
        <v>356</v>
      </c>
      <c r="D151" s="157" t="s">
        <v>431</v>
      </c>
      <c r="E151" s="44">
        <f t="shared" si="10"/>
        <v>25749</v>
      </c>
      <c r="F151" s="127" t="str">
        <f t="shared" si="6"/>
        <v>Date check - OK</v>
      </c>
      <c r="G151" s="1"/>
      <c r="H151" s="161"/>
      <c r="I151" s="37"/>
      <c r="J151" s="135">
        <f t="shared" si="7"/>
        <v>0.59839396822477431</v>
      </c>
      <c r="K151" s="112"/>
      <c r="L151" s="37">
        <v>297</v>
      </c>
      <c r="M151" s="37" t="s">
        <v>288</v>
      </c>
      <c r="N151" s="37">
        <v>1024.3397923166472</v>
      </c>
      <c r="O151" s="130">
        <f t="shared" si="11"/>
        <v>304228.91831804422</v>
      </c>
      <c r="P151" s="132">
        <f t="shared" si="12"/>
        <v>182048.74968106521</v>
      </c>
      <c r="Q151" s="261">
        <v>1</v>
      </c>
      <c r="R151" s="92"/>
    </row>
    <row r="152" spans="1:18" x14ac:dyDescent="0.25">
      <c r="A152">
        <v>1970</v>
      </c>
      <c r="B152" t="s">
        <v>285</v>
      </c>
      <c r="C152" s="263" t="s">
        <v>356</v>
      </c>
      <c r="D152" s="157" t="s">
        <v>431</v>
      </c>
      <c r="E152" s="44">
        <f t="shared" si="10"/>
        <v>25749</v>
      </c>
      <c r="F152" s="127" t="str">
        <f t="shared" ref="F152:F215" si="13">IF(E152="","-",IF(OR(E152&lt;$E$15,E152&gt;$E$16),"ERROR - date outside of range","Date check - OK"))</f>
        <v>Date check - OK</v>
      </c>
      <c r="G152" s="1"/>
      <c r="H152" s="161"/>
      <c r="I152" s="37"/>
      <c r="J152" s="135">
        <f t="shared" ref="J152:J215" si="14">J151</f>
        <v>0.59839396822477431</v>
      </c>
      <c r="K152" s="112"/>
      <c r="L152" s="37">
        <v>913</v>
      </c>
      <c r="M152" s="37" t="s">
        <v>288</v>
      </c>
      <c r="N152" s="37">
        <v>639.39681303841667</v>
      </c>
      <c r="O152" s="130">
        <f t="shared" si="11"/>
        <v>583769.29030407441</v>
      </c>
      <c r="P152" s="132">
        <f t="shared" si="12"/>
        <v>349324.02215281536</v>
      </c>
      <c r="Q152" s="261">
        <v>1</v>
      </c>
      <c r="R152" s="92"/>
    </row>
    <row r="153" spans="1:18" x14ac:dyDescent="0.25">
      <c r="A153">
        <v>1970</v>
      </c>
      <c r="B153" t="s">
        <v>285</v>
      </c>
      <c r="C153" s="263" t="s">
        <v>337</v>
      </c>
      <c r="D153" s="157" t="s">
        <v>432</v>
      </c>
      <c r="E153" s="44">
        <f t="shared" si="10"/>
        <v>25749</v>
      </c>
      <c r="F153" s="127" t="str">
        <f t="shared" si="13"/>
        <v>Date check - OK</v>
      </c>
      <c r="G153" s="1"/>
      <c r="H153" s="161"/>
      <c r="I153" s="37"/>
      <c r="J153" s="135">
        <f t="shared" si="14"/>
        <v>0.59839396822477431</v>
      </c>
      <c r="K153" s="112"/>
      <c r="L153" s="37">
        <v>164</v>
      </c>
      <c r="M153" s="37" t="s">
        <v>288</v>
      </c>
      <c r="N153" s="37">
        <v>4521.4488922002329</v>
      </c>
      <c r="O153" s="130">
        <f t="shared" si="11"/>
        <v>741517.6183208382</v>
      </c>
      <c r="P153" s="132">
        <f t="shared" si="12"/>
        <v>443719.67013558996</v>
      </c>
      <c r="Q153" s="261">
        <v>1</v>
      </c>
      <c r="R153" s="92"/>
    </row>
    <row r="154" spans="1:18" x14ac:dyDescent="0.25">
      <c r="C154" s="263"/>
      <c r="D154" s="157"/>
      <c r="E154" s="44"/>
      <c r="F154" s="127"/>
      <c r="G154" s="1"/>
      <c r="H154" s="161"/>
      <c r="I154" s="37"/>
      <c r="J154" s="135"/>
      <c r="K154" s="112"/>
      <c r="L154" s="37"/>
      <c r="M154" s="37"/>
      <c r="N154" s="37"/>
      <c r="O154" s="130"/>
      <c r="P154" s="132"/>
      <c r="Q154" s="261"/>
      <c r="R154" s="92"/>
    </row>
    <row r="155" spans="1:18" x14ac:dyDescent="0.25">
      <c r="A155">
        <v>1993</v>
      </c>
      <c r="B155" t="s">
        <v>287</v>
      </c>
      <c r="C155" s="263">
        <v>307351</v>
      </c>
      <c r="D155" s="157" t="s">
        <v>466</v>
      </c>
      <c r="E155" s="44">
        <f t="shared" ref="E155:E162" si="15">DATEVALUE("30 Jun "&amp;A155)</f>
        <v>34150</v>
      </c>
      <c r="F155" s="127" t="str">
        <f t="shared" si="13"/>
        <v>Date check - OK</v>
      </c>
      <c r="G155" s="1"/>
      <c r="H155" s="161"/>
      <c r="I155" s="37"/>
      <c r="J155" s="135">
        <f>J153</f>
        <v>0.59839396822477431</v>
      </c>
      <c r="K155" s="112"/>
      <c r="L155" s="37">
        <v>750</v>
      </c>
      <c r="M155" s="37" t="s">
        <v>288</v>
      </c>
      <c r="N155" s="37">
        <v>1513.674088009313</v>
      </c>
      <c r="O155" s="130">
        <f t="shared" ref="O155:O162" si="16">IF(N155="","-",L155*N155)</f>
        <v>1135255.5660069848</v>
      </c>
      <c r="P155" s="132">
        <f t="shared" ref="P155:P162" si="17">IF(O155="-","-",IF(OR(E155&lt;$E$15,E155&gt;$E$16),0,O155*J155))*Q155</f>
        <v>679330.08309218183</v>
      </c>
      <c r="Q155" s="261">
        <v>1</v>
      </c>
      <c r="R155" s="92"/>
    </row>
    <row r="156" spans="1:18" x14ac:dyDescent="0.25">
      <c r="A156">
        <v>1982</v>
      </c>
      <c r="B156" t="s">
        <v>287</v>
      </c>
      <c r="C156" s="263">
        <v>37181</v>
      </c>
      <c r="D156" s="157" t="s">
        <v>467</v>
      </c>
      <c r="E156" s="44">
        <f t="shared" si="15"/>
        <v>30132</v>
      </c>
      <c r="F156" s="127" t="str">
        <f t="shared" si="13"/>
        <v>Date check - OK</v>
      </c>
      <c r="G156" s="1"/>
      <c r="H156" s="161"/>
      <c r="I156" s="37"/>
      <c r="J156" s="135">
        <f t="shared" si="14"/>
        <v>0.59839396822477431</v>
      </c>
      <c r="K156" s="112"/>
      <c r="L156" s="37">
        <v>450</v>
      </c>
      <c r="M156" s="37" t="s">
        <v>288</v>
      </c>
      <c r="N156" s="37">
        <v>1513.674088009313</v>
      </c>
      <c r="O156" s="130">
        <f t="shared" si="16"/>
        <v>681153.33960419078</v>
      </c>
      <c r="P156" s="132">
        <f t="shared" si="17"/>
        <v>407598.04985530901</v>
      </c>
      <c r="Q156" s="261">
        <v>1</v>
      </c>
      <c r="R156" s="92"/>
    </row>
    <row r="157" spans="1:18" x14ac:dyDescent="0.25">
      <c r="A157">
        <v>1976</v>
      </c>
      <c r="B157" t="s">
        <v>287</v>
      </c>
      <c r="C157" s="263">
        <v>47443</v>
      </c>
      <c r="D157" s="157" t="s">
        <v>468</v>
      </c>
      <c r="E157" s="44">
        <f t="shared" si="15"/>
        <v>27941</v>
      </c>
      <c r="F157" s="127" t="str">
        <f t="shared" si="13"/>
        <v>Date check - OK</v>
      </c>
      <c r="G157" s="1"/>
      <c r="H157" s="161"/>
      <c r="I157" s="37"/>
      <c r="J157" s="135">
        <f t="shared" si="14"/>
        <v>0.59839396822477431</v>
      </c>
      <c r="K157" s="112"/>
      <c r="L157" s="37">
        <v>250</v>
      </c>
      <c r="M157" s="37" t="s">
        <v>288</v>
      </c>
      <c r="N157" s="37">
        <v>546.42329685681023</v>
      </c>
      <c r="O157" s="130">
        <f t="shared" si="16"/>
        <v>136605.82421420256</v>
      </c>
      <c r="P157" s="132">
        <f t="shared" si="17"/>
        <v>81744.101234152622</v>
      </c>
      <c r="Q157" s="261">
        <v>1</v>
      </c>
      <c r="R157" s="92"/>
    </row>
    <row r="158" spans="1:18" x14ac:dyDescent="0.25">
      <c r="A158">
        <v>1972</v>
      </c>
      <c r="B158" t="s">
        <v>287</v>
      </c>
      <c r="C158" s="263">
        <v>89722</v>
      </c>
      <c r="D158" s="157" t="s">
        <v>469</v>
      </c>
      <c r="E158" s="44">
        <f t="shared" si="15"/>
        <v>26480</v>
      </c>
      <c r="F158" s="127" t="str">
        <f t="shared" si="13"/>
        <v>Date check - OK</v>
      </c>
      <c r="G158" s="1"/>
      <c r="H158" s="161"/>
      <c r="I158" s="37"/>
      <c r="J158" s="135">
        <f t="shared" si="14"/>
        <v>0.59839396822477431</v>
      </c>
      <c r="K158" s="112"/>
      <c r="L158" s="37">
        <v>250</v>
      </c>
      <c r="M158" s="37" t="s">
        <v>288</v>
      </c>
      <c r="N158" s="37">
        <v>1513.674088009313</v>
      </c>
      <c r="O158" s="130">
        <f t="shared" si="16"/>
        <v>378418.52200232825</v>
      </c>
      <c r="P158" s="132">
        <f t="shared" si="17"/>
        <v>226443.36103072728</v>
      </c>
      <c r="Q158" s="261">
        <v>1</v>
      </c>
      <c r="R158" s="92"/>
    </row>
    <row r="159" spans="1:18" x14ac:dyDescent="0.25">
      <c r="C159" s="263"/>
      <c r="D159" s="157"/>
      <c r="E159" s="44"/>
      <c r="F159" s="127"/>
      <c r="G159" s="1"/>
      <c r="H159" s="161"/>
      <c r="I159" s="37"/>
      <c r="J159" s="135"/>
      <c r="K159" s="112"/>
      <c r="L159" s="37"/>
      <c r="M159" s="37"/>
      <c r="N159" s="37"/>
      <c r="O159" s="130"/>
      <c r="P159" s="132"/>
      <c r="Q159" s="261"/>
      <c r="R159" s="92"/>
    </row>
    <row r="160" spans="1:18" x14ac:dyDescent="0.25">
      <c r="A160">
        <v>1976</v>
      </c>
      <c r="B160" t="s">
        <v>284</v>
      </c>
      <c r="C160" s="263">
        <v>36736</v>
      </c>
      <c r="D160" s="157" t="s">
        <v>470</v>
      </c>
      <c r="E160" s="44">
        <f t="shared" si="15"/>
        <v>27941</v>
      </c>
      <c r="F160" s="127" t="str">
        <f t="shared" si="13"/>
        <v>Date check - OK</v>
      </c>
      <c r="G160" s="1"/>
      <c r="H160" s="161"/>
      <c r="I160" s="37"/>
      <c r="J160" s="135">
        <f>J158</f>
        <v>0.59839396822477431</v>
      </c>
      <c r="K160" s="112"/>
      <c r="L160" s="37">
        <v>1</v>
      </c>
      <c r="M160" s="37" t="s">
        <v>473</v>
      </c>
      <c r="N160" s="37">
        <v>310513.60178905702</v>
      </c>
      <c r="O160" s="130">
        <f t="shared" si="16"/>
        <v>310513.60178905702</v>
      </c>
      <c r="P160" s="132">
        <f t="shared" si="17"/>
        <v>185809.4663623212</v>
      </c>
      <c r="Q160" s="261">
        <v>1</v>
      </c>
      <c r="R160" s="92"/>
    </row>
    <row r="161" spans="1:18" ht="34.5" x14ac:dyDescent="0.25">
      <c r="A161">
        <v>1982</v>
      </c>
      <c r="B161" t="s">
        <v>284</v>
      </c>
      <c r="C161" s="263">
        <v>36735</v>
      </c>
      <c r="D161" s="157" t="s">
        <v>471</v>
      </c>
      <c r="E161" s="44">
        <f t="shared" si="15"/>
        <v>30132</v>
      </c>
      <c r="F161" s="127" t="str">
        <f t="shared" si="13"/>
        <v>Date check - OK</v>
      </c>
      <c r="G161" s="1"/>
      <c r="H161" s="161"/>
      <c r="I161" s="37"/>
      <c r="J161" s="135">
        <f t="shared" si="14"/>
        <v>0.59839396822477431</v>
      </c>
      <c r="K161" s="112"/>
      <c r="L161" s="37">
        <v>1</v>
      </c>
      <c r="M161" s="37" t="s">
        <v>473</v>
      </c>
      <c r="N161" s="37">
        <v>3270475.5519478461</v>
      </c>
      <c r="O161" s="130">
        <f t="shared" si="16"/>
        <v>3270475.5519478461</v>
      </c>
      <c r="P161" s="132">
        <f t="shared" si="17"/>
        <v>1957032.8435121807</v>
      </c>
      <c r="Q161" s="261">
        <v>1</v>
      </c>
      <c r="R161" s="92"/>
    </row>
    <row r="162" spans="1:18" x14ac:dyDescent="0.25">
      <c r="A162">
        <v>1972</v>
      </c>
      <c r="B162" t="s">
        <v>284</v>
      </c>
      <c r="C162" s="263">
        <v>89644</v>
      </c>
      <c r="D162" s="157" t="s">
        <v>472</v>
      </c>
      <c r="E162" s="44">
        <f t="shared" si="15"/>
        <v>26480</v>
      </c>
      <c r="F162" s="127" t="str">
        <f t="shared" si="13"/>
        <v>Date check - OK</v>
      </c>
      <c r="G162" s="1"/>
      <c r="H162" s="161"/>
      <c r="I162" s="37"/>
      <c r="J162" s="135">
        <f t="shared" si="14"/>
        <v>0.59839396822477431</v>
      </c>
      <c r="K162" s="112"/>
      <c r="L162" s="37">
        <v>1</v>
      </c>
      <c r="M162" s="37" t="s">
        <v>473</v>
      </c>
      <c r="N162" s="37">
        <v>327739.80011175782</v>
      </c>
      <c r="O162" s="130">
        <f t="shared" si="16"/>
        <v>327739.80011175782</v>
      </c>
      <c r="P162" s="132">
        <f t="shared" si="17"/>
        <v>196117.51953406908</v>
      </c>
      <c r="Q162" s="261">
        <v>1</v>
      </c>
      <c r="R162" s="92"/>
    </row>
    <row r="163" spans="1:18" x14ac:dyDescent="0.25">
      <c r="C163" s="263"/>
      <c r="D163" s="157"/>
      <c r="E163" s="44"/>
      <c r="F163" s="127"/>
      <c r="G163" s="1"/>
      <c r="H163" s="161"/>
      <c r="I163" s="37"/>
      <c r="J163" s="135">
        <f t="shared" si="14"/>
        <v>0.59839396822477431</v>
      </c>
      <c r="K163" s="112"/>
      <c r="L163" s="37"/>
      <c r="M163" s="37"/>
      <c r="N163" s="37"/>
      <c r="O163" s="130"/>
      <c r="P163" s="132"/>
      <c r="Q163" s="261"/>
      <c r="R163" s="92"/>
    </row>
    <row r="164" spans="1:18" x14ac:dyDescent="0.25">
      <c r="A164">
        <v>1970</v>
      </c>
      <c r="B164" t="s">
        <v>285</v>
      </c>
      <c r="C164" s="263" t="s">
        <v>543</v>
      </c>
      <c r="D164" s="157" t="s">
        <v>544</v>
      </c>
      <c r="E164" s="44">
        <v>25749</v>
      </c>
      <c r="F164" s="127" t="str">
        <f t="shared" si="13"/>
        <v>Date check - OK</v>
      </c>
      <c r="G164" s="1"/>
      <c r="H164" s="161"/>
      <c r="I164" s="37"/>
      <c r="J164" s="135">
        <f t="shared" si="14"/>
        <v>0.59839396822477431</v>
      </c>
      <c r="K164" s="112"/>
      <c r="L164" s="37">
        <v>435</v>
      </c>
      <c r="M164" s="37" t="s">
        <v>288</v>
      </c>
      <c r="N164" s="37">
        <v>624.71678416763677</v>
      </c>
      <c r="O164" s="130">
        <f t="shared" ref="O164:O227" si="18">IF(N164="","-",L164*N164)</f>
        <v>271751.80111292202</v>
      </c>
      <c r="P164" s="132">
        <f t="shared" ref="P164:P227" si="19">IF(O164="-","-",IF(OR(E164&lt;$E$15,E164&gt;$E$16),0,O164*J164))*Q164</f>
        <v>162614.63864019106</v>
      </c>
      <c r="Q164" s="261">
        <v>1</v>
      </c>
      <c r="R164" s="92"/>
    </row>
    <row r="165" spans="1:18" x14ac:dyDescent="0.25">
      <c r="A165">
        <v>1970</v>
      </c>
      <c r="B165" t="s">
        <v>285</v>
      </c>
      <c r="C165" s="263">
        <v>36382</v>
      </c>
      <c r="D165" s="157" t="s">
        <v>545</v>
      </c>
      <c r="E165" s="44">
        <v>25749</v>
      </c>
      <c r="F165" s="127" t="str">
        <f t="shared" si="13"/>
        <v>Date check - OK</v>
      </c>
      <c r="G165" s="1"/>
      <c r="H165" s="161"/>
      <c r="I165" s="37"/>
      <c r="J165" s="135">
        <f t="shared" si="14"/>
        <v>0.59839396822477431</v>
      </c>
      <c r="K165" s="112"/>
      <c r="L165" s="37">
        <v>156</v>
      </c>
      <c r="M165" s="37" t="s">
        <v>288</v>
      </c>
      <c r="N165" s="37">
        <v>1024.3397923166472</v>
      </c>
      <c r="O165" s="130">
        <f t="shared" si="18"/>
        <v>159797.00760139697</v>
      </c>
      <c r="P165" s="132">
        <f t="shared" si="19"/>
        <v>95621.565489044355</v>
      </c>
      <c r="Q165" s="261">
        <v>1</v>
      </c>
      <c r="R165" s="92"/>
    </row>
    <row r="166" spans="1:18" x14ac:dyDescent="0.25">
      <c r="A166">
        <v>1970</v>
      </c>
      <c r="B166" t="s">
        <v>285</v>
      </c>
      <c r="C166" s="263">
        <v>36382</v>
      </c>
      <c r="D166" s="157" t="s">
        <v>545</v>
      </c>
      <c r="E166" s="44">
        <v>25749</v>
      </c>
      <c r="F166" s="127" t="str">
        <f t="shared" si="13"/>
        <v>Date check - OK</v>
      </c>
      <c r="G166" s="1"/>
      <c r="H166" s="161"/>
      <c r="I166" s="37"/>
      <c r="J166" s="135">
        <f t="shared" si="14"/>
        <v>0.59839396822477431</v>
      </c>
      <c r="K166" s="112"/>
      <c r="L166" s="37">
        <v>509</v>
      </c>
      <c r="M166" s="37" t="s">
        <v>288</v>
      </c>
      <c r="N166" s="37">
        <v>639.39681303841667</v>
      </c>
      <c r="O166" s="130">
        <f t="shared" si="18"/>
        <v>325452.97783655406</v>
      </c>
      <c r="P166" s="132">
        <f t="shared" si="19"/>
        <v>194749.09887818509</v>
      </c>
      <c r="Q166" s="261">
        <v>1</v>
      </c>
      <c r="R166" s="92"/>
    </row>
    <row r="167" spans="1:18" x14ac:dyDescent="0.25">
      <c r="A167">
        <v>1970</v>
      </c>
      <c r="B167" t="s">
        <v>285</v>
      </c>
      <c r="C167" s="263">
        <v>46011</v>
      </c>
      <c r="D167" s="157" t="s">
        <v>546</v>
      </c>
      <c r="E167" s="44">
        <v>25749</v>
      </c>
      <c r="F167" s="127" t="str">
        <f t="shared" si="13"/>
        <v>Date check - OK</v>
      </c>
      <c r="G167" s="1"/>
      <c r="H167" s="161"/>
      <c r="I167" s="37"/>
      <c r="J167" s="135">
        <f t="shared" si="14"/>
        <v>0.59839396822477431</v>
      </c>
      <c r="K167" s="112"/>
      <c r="L167" s="37">
        <v>33</v>
      </c>
      <c r="M167" s="37" t="s">
        <v>288</v>
      </c>
      <c r="N167" s="37">
        <v>685.06801396973219</v>
      </c>
      <c r="O167" s="130">
        <f t="shared" si="18"/>
        <v>22607.244461001163</v>
      </c>
      <c r="P167" s="132">
        <f t="shared" si="19"/>
        <v>13528.038723646034</v>
      </c>
      <c r="Q167" s="261">
        <v>1</v>
      </c>
      <c r="R167" s="92"/>
    </row>
    <row r="168" spans="1:18" x14ac:dyDescent="0.25">
      <c r="A168">
        <v>1970</v>
      </c>
      <c r="B168" t="s">
        <v>285</v>
      </c>
      <c r="C168" s="263">
        <v>36443</v>
      </c>
      <c r="D168" s="157" t="s">
        <v>547</v>
      </c>
      <c r="E168" s="44">
        <v>25749</v>
      </c>
      <c r="F168" s="127" t="str">
        <f t="shared" si="13"/>
        <v>Date check - OK</v>
      </c>
      <c r="G168" s="1"/>
      <c r="H168" s="161"/>
      <c r="I168" s="37"/>
      <c r="J168" s="135">
        <f t="shared" si="14"/>
        <v>0.59839396822477431</v>
      </c>
      <c r="K168" s="112"/>
      <c r="L168" s="37">
        <v>544</v>
      </c>
      <c r="M168" s="37" t="s">
        <v>288</v>
      </c>
      <c r="N168" s="37">
        <v>624.71678416763677</v>
      </c>
      <c r="O168" s="130">
        <f t="shared" si="18"/>
        <v>339845.93058719439</v>
      </c>
      <c r="P168" s="132">
        <f t="shared" si="19"/>
        <v>203361.75498911247</v>
      </c>
      <c r="Q168" s="261">
        <v>1</v>
      </c>
      <c r="R168" s="92"/>
    </row>
    <row r="169" spans="1:18" x14ac:dyDescent="0.25">
      <c r="A169">
        <v>1970</v>
      </c>
      <c r="B169" t="s">
        <v>285</v>
      </c>
      <c r="C169" s="263">
        <v>46010</v>
      </c>
      <c r="D169" s="157" t="s">
        <v>548</v>
      </c>
      <c r="E169" s="44">
        <v>25749</v>
      </c>
      <c r="F169" s="127" t="str">
        <f t="shared" si="13"/>
        <v>Date check - OK</v>
      </c>
      <c r="G169" s="1"/>
      <c r="H169" s="161"/>
      <c r="I169" s="37"/>
      <c r="J169" s="135">
        <f t="shared" si="14"/>
        <v>0.59839396822477431</v>
      </c>
      <c r="K169" s="112"/>
      <c r="L169" s="37">
        <v>19</v>
      </c>
      <c r="M169" s="37" t="s">
        <v>288</v>
      </c>
      <c r="N169" s="37">
        <v>685.06801396973219</v>
      </c>
      <c r="O169" s="130">
        <f t="shared" si="18"/>
        <v>13016.292265424912</v>
      </c>
      <c r="P169" s="132">
        <f t="shared" si="19"/>
        <v>7788.8707802810504</v>
      </c>
      <c r="Q169" s="261">
        <v>1</v>
      </c>
      <c r="R169" s="92"/>
    </row>
    <row r="170" spans="1:18" x14ac:dyDescent="0.25">
      <c r="A170">
        <v>1970</v>
      </c>
      <c r="B170" t="s">
        <v>285</v>
      </c>
      <c r="C170" s="263">
        <v>45879</v>
      </c>
      <c r="D170" s="157" t="s">
        <v>549</v>
      </c>
      <c r="E170" s="44">
        <v>25749</v>
      </c>
      <c r="F170" s="127" t="str">
        <f t="shared" si="13"/>
        <v>Date check - OK</v>
      </c>
      <c r="G170" s="1"/>
      <c r="H170" s="161"/>
      <c r="I170" s="37"/>
      <c r="J170" s="135">
        <f t="shared" si="14"/>
        <v>0.59839396822477431</v>
      </c>
      <c r="K170" s="112"/>
      <c r="L170" s="37">
        <v>151</v>
      </c>
      <c r="M170" s="37" t="s">
        <v>288</v>
      </c>
      <c r="N170" s="37">
        <v>1306.5225694994178</v>
      </c>
      <c r="O170" s="130">
        <f t="shared" si="18"/>
        <v>197284.90799441209</v>
      </c>
      <c r="P170" s="132">
        <f t="shared" si="19"/>
        <v>118054.09896563576</v>
      </c>
      <c r="Q170" s="261">
        <v>1</v>
      </c>
      <c r="R170" s="92"/>
    </row>
    <row r="171" spans="1:18" x14ac:dyDescent="0.25">
      <c r="A171">
        <v>1970</v>
      </c>
      <c r="B171" t="s">
        <v>285</v>
      </c>
      <c r="C171" s="263">
        <v>45879</v>
      </c>
      <c r="D171" s="157" t="s">
        <v>549</v>
      </c>
      <c r="E171" s="44">
        <v>25749</v>
      </c>
      <c r="F171" s="127" t="str">
        <f t="shared" si="13"/>
        <v>Date check - OK</v>
      </c>
      <c r="G171" s="1"/>
      <c r="H171" s="161"/>
      <c r="I171" s="37"/>
      <c r="J171" s="135">
        <f t="shared" si="14"/>
        <v>0.59839396822477431</v>
      </c>
      <c r="K171" s="112"/>
      <c r="L171" s="37">
        <v>1246</v>
      </c>
      <c r="M171" s="37" t="s">
        <v>288</v>
      </c>
      <c r="N171" s="37">
        <v>1074.9043362048894</v>
      </c>
      <c r="O171" s="130">
        <f t="shared" si="18"/>
        <v>1339330.8029112923</v>
      </c>
      <c r="P171" s="132">
        <f t="shared" si="19"/>
        <v>801447.47391976125</v>
      </c>
      <c r="Q171" s="261">
        <v>1</v>
      </c>
      <c r="R171" s="92"/>
    </row>
    <row r="172" spans="1:18" x14ac:dyDescent="0.25">
      <c r="A172">
        <v>1970</v>
      </c>
      <c r="B172" t="s">
        <v>285</v>
      </c>
      <c r="C172" s="263">
        <v>36444</v>
      </c>
      <c r="D172" s="157" t="s">
        <v>550</v>
      </c>
      <c r="E172" s="44">
        <v>25749</v>
      </c>
      <c r="F172" s="127" t="str">
        <f t="shared" si="13"/>
        <v>Date check - OK</v>
      </c>
      <c r="G172" s="1"/>
      <c r="H172" s="161"/>
      <c r="I172" s="37"/>
      <c r="J172" s="135">
        <f t="shared" si="14"/>
        <v>0.59839396822477431</v>
      </c>
      <c r="K172" s="112"/>
      <c r="L172" s="37">
        <v>338</v>
      </c>
      <c r="M172" s="37" t="s">
        <v>288</v>
      </c>
      <c r="N172" s="37">
        <v>1074.9043362048894</v>
      </c>
      <c r="O172" s="130">
        <f t="shared" si="18"/>
        <v>363317.66563725262</v>
      </c>
      <c r="P172" s="132">
        <f t="shared" si="19"/>
        <v>217407.09966683731</v>
      </c>
      <c r="Q172" s="261">
        <v>1</v>
      </c>
      <c r="R172" s="92"/>
    </row>
    <row r="173" spans="1:18" x14ac:dyDescent="0.25">
      <c r="A173">
        <v>1970</v>
      </c>
      <c r="B173" t="s">
        <v>285</v>
      </c>
      <c r="C173" s="263">
        <v>36444</v>
      </c>
      <c r="D173" s="157" t="s">
        <v>550</v>
      </c>
      <c r="E173" s="44">
        <v>25749</v>
      </c>
      <c r="F173" s="127" t="str">
        <f t="shared" si="13"/>
        <v>Date check - OK</v>
      </c>
      <c r="G173" s="1"/>
      <c r="H173" s="161"/>
      <c r="I173" s="37"/>
      <c r="J173" s="135">
        <f t="shared" si="14"/>
        <v>0.59839396822477431</v>
      </c>
      <c r="K173" s="112"/>
      <c r="L173" s="37">
        <v>363</v>
      </c>
      <c r="M173" s="37" t="s">
        <v>288</v>
      </c>
      <c r="N173" s="37">
        <v>950.93964796274736</v>
      </c>
      <c r="O173" s="130">
        <f t="shared" si="18"/>
        <v>345191.09221047728</v>
      </c>
      <c r="P173" s="132">
        <f t="shared" si="19"/>
        <v>206560.26746367148</v>
      </c>
      <c r="Q173" s="261">
        <v>1</v>
      </c>
      <c r="R173" s="92"/>
    </row>
    <row r="174" spans="1:18" x14ac:dyDescent="0.25">
      <c r="A174">
        <v>1970</v>
      </c>
      <c r="B174" t="s">
        <v>285</v>
      </c>
      <c r="C174" s="263" t="s">
        <v>551</v>
      </c>
      <c r="D174" s="157" t="s">
        <v>552</v>
      </c>
      <c r="E174" s="44">
        <v>25749</v>
      </c>
      <c r="F174" s="127" t="str">
        <f t="shared" si="13"/>
        <v>Date check - OK</v>
      </c>
      <c r="G174" s="1"/>
      <c r="H174" s="161"/>
      <c r="I174" s="37"/>
      <c r="J174" s="135">
        <f t="shared" si="14"/>
        <v>0.59839396822477431</v>
      </c>
      <c r="K174" s="112"/>
      <c r="L174" s="37">
        <v>135</v>
      </c>
      <c r="M174" s="37" t="s">
        <v>288</v>
      </c>
      <c r="N174" s="37">
        <v>685.06801396973219</v>
      </c>
      <c r="O174" s="130">
        <f t="shared" si="18"/>
        <v>92484.181885913844</v>
      </c>
      <c r="P174" s="132">
        <f t="shared" si="19"/>
        <v>55341.976596733773</v>
      </c>
      <c r="Q174" s="261">
        <v>1</v>
      </c>
      <c r="R174" s="92"/>
    </row>
    <row r="175" spans="1:18" x14ac:dyDescent="0.25">
      <c r="A175">
        <v>1971</v>
      </c>
      <c r="B175" t="s">
        <v>285</v>
      </c>
      <c r="C175" s="263">
        <v>36383</v>
      </c>
      <c r="D175" s="157" t="s">
        <v>553</v>
      </c>
      <c r="E175" s="44">
        <v>26114</v>
      </c>
      <c r="F175" s="127" t="str">
        <f t="shared" si="13"/>
        <v>Date check - OK</v>
      </c>
      <c r="G175" s="1"/>
      <c r="H175" s="161"/>
      <c r="I175" s="37"/>
      <c r="J175" s="135">
        <f t="shared" si="14"/>
        <v>0.59839396822477431</v>
      </c>
      <c r="K175" s="112"/>
      <c r="L175" s="37">
        <v>177</v>
      </c>
      <c r="M175" s="37" t="s">
        <v>288</v>
      </c>
      <c r="N175" s="37">
        <v>5653.4422295692666</v>
      </c>
      <c r="O175" s="130">
        <f t="shared" si="18"/>
        <v>1000659.2746337602</v>
      </c>
      <c r="P175" s="132">
        <f t="shared" si="19"/>
        <v>598788.47418901999</v>
      </c>
      <c r="Q175" s="261">
        <v>1</v>
      </c>
      <c r="R175" s="92"/>
    </row>
    <row r="176" spans="1:18" x14ac:dyDescent="0.25">
      <c r="A176">
        <v>1971</v>
      </c>
      <c r="B176" t="s">
        <v>285</v>
      </c>
      <c r="C176" s="263">
        <v>36383</v>
      </c>
      <c r="D176" s="157" t="s">
        <v>553</v>
      </c>
      <c r="E176" s="44">
        <v>26114</v>
      </c>
      <c r="F176" s="127" t="str">
        <f t="shared" si="13"/>
        <v>Date check - OK</v>
      </c>
      <c r="G176" s="1"/>
      <c r="H176" s="161"/>
      <c r="I176" s="37"/>
      <c r="J176" s="135">
        <f t="shared" si="14"/>
        <v>0.59839396822477431</v>
      </c>
      <c r="K176" s="112"/>
      <c r="L176" s="37">
        <v>441</v>
      </c>
      <c r="M176" s="37" t="s">
        <v>288</v>
      </c>
      <c r="N176" s="37">
        <v>5653.4422295692666</v>
      </c>
      <c r="O176" s="130">
        <f t="shared" si="18"/>
        <v>2493168.0232400466</v>
      </c>
      <c r="P176" s="132">
        <f t="shared" si="19"/>
        <v>1491896.7068777278</v>
      </c>
      <c r="Q176" s="261">
        <v>1</v>
      </c>
      <c r="R176" s="92"/>
    </row>
    <row r="177" spans="1:18" x14ac:dyDescent="0.25">
      <c r="A177">
        <v>1971</v>
      </c>
      <c r="B177" t="s">
        <v>285</v>
      </c>
      <c r="C177" s="263">
        <v>36383</v>
      </c>
      <c r="D177" s="157" t="s">
        <v>554</v>
      </c>
      <c r="E177" s="44">
        <v>26114</v>
      </c>
      <c r="F177" s="127" t="str">
        <f t="shared" si="13"/>
        <v>Date check - OK</v>
      </c>
      <c r="G177" s="1"/>
      <c r="H177" s="161"/>
      <c r="I177" s="37"/>
      <c r="J177" s="135">
        <f t="shared" si="14"/>
        <v>0.59839396822477431</v>
      </c>
      <c r="K177" s="112"/>
      <c r="L177" s="37">
        <v>18</v>
      </c>
      <c r="M177" s="37" t="s">
        <v>288</v>
      </c>
      <c r="N177" s="37">
        <v>494.22763864959256</v>
      </c>
      <c r="O177" s="130">
        <f t="shared" si="18"/>
        <v>8896.0974956926657</v>
      </c>
      <c r="P177" s="132">
        <f t="shared" si="19"/>
        <v>5323.3710821620116</v>
      </c>
      <c r="Q177" s="261">
        <v>1</v>
      </c>
      <c r="R177" s="92"/>
    </row>
    <row r="178" spans="1:18" x14ac:dyDescent="0.25">
      <c r="A178">
        <v>1971</v>
      </c>
      <c r="B178" t="s">
        <v>285</v>
      </c>
      <c r="C178" s="263">
        <v>58905</v>
      </c>
      <c r="D178" s="157" t="s">
        <v>555</v>
      </c>
      <c r="E178" s="44">
        <v>26114</v>
      </c>
      <c r="F178" s="127" t="str">
        <f t="shared" si="13"/>
        <v>Date check - OK</v>
      </c>
      <c r="G178" s="1"/>
      <c r="H178" s="161"/>
      <c r="I178" s="37"/>
      <c r="J178" s="135">
        <f t="shared" si="14"/>
        <v>0.59839396822477431</v>
      </c>
      <c r="K178" s="112"/>
      <c r="L178" s="37">
        <v>282</v>
      </c>
      <c r="M178" s="37" t="s">
        <v>288</v>
      </c>
      <c r="N178" s="37">
        <v>950.93964796274736</v>
      </c>
      <c r="O178" s="130">
        <f t="shared" si="18"/>
        <v>268164.98072549474</v>
      </c>
      <c r="P178" s="132">
        <f t="shared" si="19"/>
        <v>160468.3069552489</v>
      </c>
      <c r="Q178" s="261">
        <v>1</v>
      </c>
      <c r="R178" s="92"/>
    </row>
    <row r="179" spans="1:18" x14ac:dyDescent="0.25">
      <c r="A179">
        <v>1971</v>
      </c>
      <c r="B179" t="s">
        <v>285</v>
      </c>
      <c r="C179" s="263">
        <v>58905</v>
      </c>
      <c r="D179" s="157" t="s">
        <v>555</v>
      </c>
      <c r="E179" s="44">
        <v>26114</v>
      </c>
      <c r="F179" s="127" t="str">
        <f t="shared" si="13"/>
        <v>Date check - OK</v>
      </c>
      <c r="G179" s="1"/>
      <c r="H179" s="161"/>
      <c r="I179" s="37"/>
      <c r="J179" s="135">
        <f t="shared" si="14"/>
        <v>0.59839396822477431</v>
      </c>
      <c r="K179" s="112"/>
      <c r="L179" s="37">
        <v>473</v>
      </c>
      <c r="M179" s="37" t="s">
        <v>288</v>
      </c>
      <c r="N179" s="37">
        <v>709.53472875436546</v>
      </c>
      <c r="O179" s="130">
        <f t="shared" si="18"/>
        <v>335609.92670081486</v>
      </c>
      <c r="P179" s="132">
        <f t="shared" si="19"/>
        <v>200826.95581412624</v>
      </c>
      <c r="Q179" s="261">
        <v>1</v>
      </c>
      <c r="R179" s="92"/>
    </row>
    <row r="180" spans="1:18" x14ac:dyDescent="0.25">
      <c r="A180">
        <v>1971</v>
      </c>
      <c r="B180" t="s">
        <v>285</v>
      </c>
      <c r="C180" s="263">
        <v>58905</v>
      </c>
      <c r="D180" s="157" t="s">
        <v>555</v>
      </c>
      <c r="E180" s="44">
        <v>26114</v>
      </c>
      <c r="F180" s="127" t="str">
        <f t="shared" si="13"/>
        <v>Date check - OK</v>
      </c>
      <c r="G180" s="1"/>
      <c r="H180" s="161"/>
      <c r="I180" s="37"/>
      <c r="J180" s="135">
        <f t="shared" si="14"/>
        <v>0.59839396822477431</v>
      </c>
      <c r="K180" s="112"/>
      <c r="L180" s="37">
        <v>51</v>
      </c>
      <c r="M180" s="37" t="s">
        <v>288</v>
      </c>
      <c r="N180" s="37">
        <v>567.62778300349237</v>
      </c>
      <c r="O180" s="130">
        <f t="shared" si="18"/>
        <v>28949.016933178111</v>
      </c>
      <c r="P180" s="132">
        <f t="shared" si="19"/>
        <v>17322.917118850637</v>
      </c>
      <c r="Q180" s="261">
        <v>1</v>
      </c>
      <c r="R180" s="92"/>
    </row>
    <row r="181" spans="1:18" x14ac:dyDescent="0.25">
      <c r="A181">
        <v>1971</v>
      </c>
      <c r="B181" t="s">
        <v>285</v>
      </c>
      <c r="C181" s="263">
        <v>58906</v>
      </c>
      <c r="D181" s="157" t="s">
        <v>556</v>
      </c>
      <c r="E181" s="44">
        <v>26114</v>
      </c>
      <c r="F181" s="127" t="str">
        <f t="shared" si="13"/>
        <v>Date check - OK</v>
      </c>
      <c r="G181" s="1"/>
      <c r="H181" s="161"/>
      <c r="I181" s="37"/>
      <c r="J181" s="135">
        <f t="shared" si="14"/>
        <v>0.59839396822477431</v>
      </c>
      <c r="K181" s="112"/>
      <c r="L181" s="37">
        <v>671</v>
      </c>
      <c r="M181" s="37" t="s">
        <v>288</v>
      </c>
      <c r="N181" s="37">
        <v>1149.9355948777647</v>
      </c>
      <c r="O181" s="130">
        <f t="shared" si="18"/>
        <v>771606.78416298016</v>
      </c>
      <c r="P181" s="132">
        <f t="shared" si="19"/>
        <v>461724.84548444266</v>
      </c>
      <c r="Q181" s="261">
        <v>1</v>
      </c>
      <c r="R181" s="92"/>
    </row>
    <row r="182" spans="1:18" x14ac:dyDescent="0.25">
      <c r="A182">
        <v>1971</v>
      </c>
      <c r="B182" t="s">
        <v>285</v>
      </c>
      <c r="C182" s="263">
        <v>58906</v>
      </c>
      <c r="D182" s="157" t="s">
        <v>556</v>
      </c>
      <c r="E182" s="44">
        <v>26114</v>
      </c>
      <c r="F182" s="127" t="str">
        <f t="shared" si="13"/>
        <v>Date check - OK</v>
      </c>
      <c r="G182" s="1"/>
      <c r="H182" s="161"/>
      <c r="I182" s="37"/>
      <c r="J182" s="135">
        <f t="shared" si="14"/>
        <v>0.59839396822477431</v>
      </c>
      <c r="K182" s="112"/>
      <c r="L182" s="37">
        <v>164</v>
      </c>
      <c r="M182" s="37" t="s">
        <v>288</v>
      </c>
      <c r="N182" s="37">
        <v>1024.3397923166472</v>
      </c>
      <c r="O182" s="130">
        <f t="shared" si="18"/>
        <v>167991.72593993013</v>
      </c>
      <c r="P182" s="132">
        <f t="shared" si="19"/>
        <v>100525.23551412355</v>
      </c>
      <c r="Q182" s="261">
        <v>1</v>
      </c>
      <c r="R182" s="92"/>
    </row>
    <row r="183" spans="1:18" x14ac:dyDescent="0.25">
      <c r="A183">
        <v>1971</v>
      </c>
      <c r="B183" t="s">
        <v>285</v>
      </c>
      <c r="C183" s="263">
        <v>46308</v>
      </c>
      <c r="D183" s="157" t="s">
        <v>557</v>
      </c>
      <c r="E183" s="44">
        <v>26114</v>
      </c>
      <c r="F183" s="127" t="str">
        <f t="shared" si="13"/>
        <v>Date check - OK</v>
      </c>
      <c r="G183" s="1"/>
      <c r="H183" s="161"/>
      <c r="I183" s="37"/>
      <c r="J183" s="135">
        <f t="shared" si="14"/>
        <v>0.59839396822477431</v>
      </c>
      <c r="K183" s="112"/>
      <c r="L183" s="37">
        <v>658</v>
      </c>
      <c r="M183" s="37" t="s">
        <v>288</v>
      </c>
      <c r="N183" s="37">
        <v>580.67669755529687</v>
      </c>
      <c r="O183" s="130">
        <f t="shared" si="18"/>
        <v>382085.26699138532</v>
      </c>
      <c r="P183" s="132">
        <f t="shared" si="19"/>
        <v>228637.51911519744</v>
      </c>
      <c r="Q183" s="261">
        <v>1</v>
      </c>
      <c r="R183" s="92"/>
    </row>
    <row r="184" spans="1:18" x14ac:dyDescent="0.25">
      <c r="A184">
        <v>1971</v>
      </c>
      <c r="B184" t="s">
        <v>285</v>
      </c>
      <c r="C184" s="263">
        <v>46308</v>
      </c>
      <c r="D184" s="157" t="s">
        <v>557</v>
      </c>
      <c r="E184" s="44">
        <v>26114</v>
      </c>
      <c r="F184" s="127" t="str">
        <f t="shared" si="13"/>
        <v>Date check - OK</v>
      </c>
      <c r="G184" s="1"/>
      <c r="H184" s="161"/>
      <c r="I184" s="37"/>
      <c r="J184" s="135">
        <f t="shared" si="14"/>
        <v>0.59839396822477431</v>
      </c>
      <c r="K184" s="112"/>
      <c r="L184" s="37">
        <v>134</v>
      </c>
      <c r="M184" s="37" t="s">
        <v>288</v>
      </c>
      <c r="N184" s="37">
        <v>494.22763864959256</v>
      </c>
      <c r="O184" s="130">
        <f t="shared" si="18"/>
        <v>66226.503579045399</v>
      </c>
      <c r="P184" s="132">
        <f t="shared" si="19"/>
        <v>39629.540278317196</v>
      </c>
      <c r="Q184" s="261">
        <v>1</v>
      </c>
      <c r="R184" s="92"/>
    </row>
    <row r="185" spans="1:18" x14ac:dyDescent="0.25">
      <c r="A185">
        <v>1971</v>
      </c>
      <c r="B185" t="s">
        <v>285</v>
      </c>
      <c r="C185" s="263">
        <v>36459</v>
      </c>
      <c r="D185" s="157" t="s">
        <v>558</v>
      </c>
      <c r="E185" s="44">
        <v>26114</v>
      </c>
      <c r="F185" s="127" t="str">
        <f t="shared" si="13"/>
        <v>Date check - OK</v>
      </c>
      <c r="G185" s="1"/>
      <c r="H185" s="161"/>
      <c r="I185" s="37"/>
      <c r="J185" s="135">
        <f t="shared" si="14"/>
        <v>0.59839396822477431</v>
      </c>
      <c r="K185" s="112"/>
      <c r="L185" s="37">
        <v>80</v>
      </c>
      <c r="M185" s="37" t="s">
        <v>288</v>
      </c>
      <c r="N185" s="37">
        <v>1024.3397923166472</v>
      </c>
      <c r="O185" s="130">
        <f t="shared" si="18"/>
        <v>81947.183385331766</v>
      </c>
      <c r="P185" s="132">
        <f t="shared" si="19"/>
        <v>49036.700250791968</v>
      </c>
      <c r="Q185" s="261">
        <v>1</v>
      </c>
      <c r="R185" s="92"/>
    </row>
    <row r="186" spans="1:18" x14ac:dyDescent="0.25">
      <c r="A186">
        <v>1971</v>
      </c>
      <c r="B186" t="s">
        <v>285</v>
      </c>
      <c r="C186" s="263">
        <v>36459</v>
      </c>
      <c r="D186" s="157" t="s">
        <v>558</v>
      </c>
      <c r="E186" s="44">
        <v>26114</v>
      </c>
      <c r="F186" s="127" t="str">
        <f t="shared" si="13"/>
        <v>Date check - OK</v>
      </c>
      <c r="G186" s="1"/>
      <c r="H186" s="161"/>
      <c r="I186" s="37"/>
      <c r="J186" s="135">
        <f t="shared" si="14"/>
        <v>0.59839396822477431</v>
      </c>
      <c r="K186" s="112"/>
      <c r="L186" s="37">
        <v>658</v>
      </c>
      <c r="M186" s="37" t="s">
        <v>288</v>
      </c>
      <c r="N186" s="37">
        <v>580.67669755529687</v>
      </c>
      <c r="O186" s="130">
        <f t="shared" si="18"/>
        <v>382085.26699138532</v>
      </c>
      <c r="P186" s="132">
        <f t="shared" si="19"/>
        <v>228637.51911519744</v>
      </c>
      <c r="Q186" s="261">
        <v>1</v>
      </c>
      <c r="R186" s="92"/>
    </row>
    <row r="187" spans="1:18" x14ac:dyDescent="0.25">
      <c r="A187">
        <v>1971</v>
      </c>
      <c r="B187" t="s">
        <v>285</v>
      </c>
      <c r="C187" s="263">
        <v>36496</v>
      </c>
      <c r="D187" s="157" t="s">
        <v>559</v>
      </c>
      <c r="E187" s="44">
        <v>26114</v>
      </c>
      <c r="F187" s="127" t="str">
        <f t="shared" si="13"/>
        <v>Date check - OK</v>
      </c>
      <c r="G187" s="1"/>
      <c r="H187" s="161"/>
      <c r="I187" s="37"/>
      <c r="J187" s="135">
        <f t="shared" si="14"/>
        <v>0.59839396822477431</v>
      </c>
      <c r="K187" s="112"/>
      <c r="L187" s="37">
        <v>178</v>
      </c>
      <c r="M187" s="37" t="s">
        <v>288</v>
      </c>
      <c r="N187" s="37">
        <v>639.39681303841667</v>
      </c>
      <c r="O187" s="130">
        <f t="shared" si="18"/>
        <v>113812.63272083817</v>
      </c>
      <c r="P187" s="132">
        <f t="shared" si="19"/>
        <v>68104.79292793115</v>
      </c>
      <c r="Q187" s="261">
        <v>1</v>
      </c>
      <c r="R187" s="92"/>
    </row>
    <row r="188" spans="1:18" x14ac:dyDescent="0.25">
      <c r="A188">
        <v>1971</v>
      </c>
      <c r="B188" t="s">
        <v>285</v>
      </c>
      <c r="C188" s="263">
        <v>36496</v>
      </c>
      <c r="D188" s="157" t="s">
        <v>559</v>
      </c>
      <c r="E188" s="44">
        <v>26114</v>
      </c>
      <c r="F188" s="127" t="str">
        <f t="shared" si="13"/>
        <v>Date check - OK</v>
      </c>
      <c r="G188" s="1"/>
      <c r="H188" s="161"/>
      <c r="I188" s="37"/>
      <c r="J188" s="135">
        <f t="shared" si="14"/>
        <v>0.59839396822477431</v>
      </c>
      <c r="K188" s="112"/>
      <c r="L188" s="37">
        <v>538</v>
      </c>
      <c r="M188" s="37" t="s">
        <v>288</v>
      </c>
      <c r="N188" s="37">
        <v>685.06801396973219</v>
      </c>
      <c r="O188" s="130">
        <f t="shared" si="18"/>
        <v>368566.59151571593</v>
      </c>
      <c r="P188" s="132">
        <f t="shared" si="19"/>
        <v>220548.02525216868</v>
      </c>
      <c r="Q188" s="261">
        <v>1</v>
      </c>
      <c r="R188" s="92"/>
    </row>
    <row r="189" spans="1:18" x14ac:dyDescent="0.25">
      <c r="A189">
        <v>1971</v>
      </c>
      <c r="B189" t="s">
        <v>285</v>
      </c>
      <c r="C189" s="263">
        <v>46607</v>
      </c>
      <c r="D189" s="157" t="s">
        <v>560</v>
      </c>
      <c r="E189" s="44">
        <v>26114</v>
      </c>
      <c r="F189" s="127" t="str">
        <f t="shared" si="13"/>
        <v>Date check - OK</v>
      </c>
      <c r="G189" s="1"/>
      <c r="H189" s="161"/>
      <c r="I189" s="37"/>
      <c r="J189" s="135">
        <f t="shared" si="14"/>
        <v>0.59839396822477431</v>
      </c>
      <c r="K189" s="112"/>
      <c r="L189" s="37">
        <v>80</v>
      </c>
      <c r="M189" s="37" t="s">
        <v>288</v>
      </c>
      <c r="N189" s="37">
        <v>624.71678416763677</v>
      </c>
      <c r="O189" s="130">
        <f t="shared" si="18"/>
        <v>49977.342733410944</v>
      </c>
      <c r="P189" s="132">
        <f t="shared" si="19"/>
        <v>29906.140439575363</v>
      </c>
      <c r="Q189" s="261">
        <v>1</v>
      </c>
      <c r="R189" s="92"/>
    </row>
    <row r="190" spans="1:18" x14ac:dyDescent="0.25">
      <c r="A190">
        <v>1971</v>
      </c>
      <c r="B190" t="s">
        <v>285</v>
      </c>
      <c r="C190" s="263">
        <v>46311</v>
      </c>
      <c r="D190" s="157" t="s">
        <v>561</v>
      </c>
      <c r="E190" s="44">
        <v>26114</v>
      </c>
      <c r="F190" s="127" t="str">
        <f t="shared" si="13"/>
        <v>Date check - OK</v>
      </c>
      <c r="G190" s="1"/>
      <c r="H190" s="161"/>
      <c r="I190" s="37"/>
      <c r="J190" s="135">
        <f t="shared" si="14"/>
        <v>0.59839396822477431</v>
      </c>
      <c r="K190" s="112"/>
      <c r="L190" s="37">
        <v>396</v>
      </c>
      <c r="M190" s="37" t="s">
        <v>288</v>
      </c>
      <c r="N190" s="37">
        <v>567.62778300349237</v>
      </c>
      <c r="O190" s="130">
        <f t="shared" si="18"/>
        <v>224780.60206938296</v>
      </c>
      <c r="P190" s="132">
        <f t="shared" si="19"/>
        <v>134507.35645225199</v>
      </c>
      <c r="Q190" s="261">
        <v>1</v>
      </c>
      <c r="R190" s="92"/>
    </row>
    <row r="191" spans="1:18" x14ac:dyDescent="0.25">
      <c r="A191">
        <v>1971</v>
      </c>
      <c r="B191" t="s">
        <v>285</v>
      </c>
      <c r="C191" s="263">
        <v>36495</v>
      </c>
      <c r="D191" s="157" t="s">
        <v>562</v>
      </c>
      <c r="E191" s="44">
        <v>26114</v>
      </c>
      <c r="F191" s="127" t="str">
        <f t="shared" si="13"/>
        <v>Date check - OK</v>
      </c>
      <c r="G191" s="1"/>
      <c r="H191" s="161"/>
      <c r="I191" s="37"/>
      <c r="J191" s="135">
        <f t="shared" si="14"/>
        <v>0.59839396822477431</v>
      </c>
      <c r="K191" s="112"/>
      <c r="L191" s="37">
        <v>511</v>
      </c>
      <c r="M191" s="37" t="s">
        <v>288</v>
      </c>
      <c r="N191" s="37">
        <v>639.39681303841667</v>
      </c>
      <c r="O191" s="130">
        <f t="shared" si="18"/>
        <v>326731.77146263089</v>
      </c>
      <c r="P191" s="132">
        <f t="shared" si="19"/>
        <v>195514.32127063378</v>
      </c>
      <c r="Q191" s="261">
        <v>1</v>
      </c>
      <c r="R191" s="92"/>
    </row>
    <row r="192" spans="1:18" x14ac:dyDescent="0.25">
      <c r="A192">
        <v>1971</v>
      </c>
      <c r="B192" t="s">
        <v>285</v>
      </c>
      <c r="C192" s="263">
        <v>36518</v>
      </c>
      <c r="D192" s="157" t="s">
        <v>563</v>
      </c>
      <c r="E192" s="44">
        <v>26114</v>
      </c>
      <c r="F192" s="127" t="str">
        <f t="shared" si="13"/>
        <v>Date check - OK</v>
      </c>
      <c r="G192" s="1"/>
      <c r="H192" s="161"/>
      <c r="I192" s="37"/>
      <c r="J192" s="135">
        <f t="shared" si="14"/>
        <v>0.59839396822477431</v>
      </c>
      <c r="K192" s="112"/>
      <c r="L192" s="37">
        <v>345.82600000000002</v>
      </c>
      <c r="M192" s="37" t="s">
        <v>288</v>
      </c>
      <c r="N192" s="37">
        <v>709.53472875436546</v>
      </c>
      <c r="O192" s="130">
        <f t="shared" si="18"/>
        <v>245375.55710620721</v>
      </c>
      <c r="P192" s="132">
        <f t="shared" si="19"/>
        <v>146831.25332214806</v>
      </c>
      <c r="Q192" s="261">
        <v>1</v>
      </c>
      <c r="R192" s="92"/>
    </row>
    <row r="193" spans="1:18" x14ac:dyDescent="0.25">
      <c r="A193">
        <v>1971</v>
      </c>
      <c r="B193" t="s">
        <v>285</v>
      </c>
      <c r="C193" s="263">
        <v>36518</v>
      </c>
      <c r="D193" s="157" t="s">
        <v>563</v>
      </c>
      <c r="E193" s="44">
        <v>26114</v>
      </c>
      <c r="F193" s="127" t="str">
        <f t="shared" si="13"/>
        <v>Date check - OK</v>
      </c>
      <c r="G193" s="1"/>
      <c r="H193" s="161"/>
      <c r="I193" s="37"/>
      <c r="J193" s="135">
        <f t="shared" si="14"/>
        <v>0.59839396822477431</v>
      </c>
      <c r="K193" s="112"/>
      <c r="L193" s="37">
        <v>287.30399999999997</v>
      </c>
      <c r="M193" s="37" t="s">
        <v>288</v>
      </c>
      <c r="N193" s="37">
        <v>751.94370104772986</v>
      </c>
      <c r="O193" s="130">
        <f t="shared" si="18"/>
        <v>216036.43308581697</v>
      </c>
      <c r="P193" s="132">
        <f t="shared" si="19"/>
        <v>129274.89847534795</v>
      </c>
      <c r="Q193" s="261">
        <v>1</v>
      </c>
      <c r="R193" s="92"/>
    </row>
    <row r="194" spans="1:18" x14ac:dyDescent="0.25">
      <c r="A194">
        <v>1971</v>
      </c>
      <c r="B194" t="s">
        <v>285</v>
      </c>
      <c r="C194" s="263">
        <v>89164</v>
      </c>
      <c r="D194" s="157" t="s">
        <v>564</v>
      </c>
      <c r="E194" s="44">
        <v>26114</v>
      </c>
      <c r="F194" s="127" t="str">
        <f t="shared" si="13"/>
        <v>Date check - OK</v>
      </c>
      <c r="G194" s="1"/>
      <c r="H194" s="161"/>
      <c r="I194" s="37"/>
      <c r="J194" s="135">
        <f t="shared" si="14"/>
        <v>0.59839396822477431</v>
      </c>
      <c r="K194" s="112"/>
      <c r="L194" s="37">
        <v>418</v>
      </c>
      <c r="M194" s="37" t="s">
        <v>288</v>
      </c>
      <c r="N194" s="37">
        <v>685.06801396973219</v>
      </c>
      <c r="O194" s="130">
        <f t="shared" si="18"/>
        <v>286358.42983934807</v>
      </c>
      <c r="P194" s="132">
        <f t="shared" si="19"/>
        <v>171355.15716618311</v>
      </c>
      <c r="Q194" s="261">
        <v>1</v>
      </c>
      <c r="R194" s="92"/>
    </row>
    <row r="195" spans="1:18" x14ac:dyDescent="0.25">
      <c r="A195">
        <v>1972</v>
      </c>
      <c r="B195" t="s">
        <v>285</v>
      </c>
      <c r="C195" s="263">
        <v>58966</v>
      </c>
      <c r="D195" s="157" t="s">
        <v>565</v>
      </c>
      <c r="E195" s="44">
        <v>26480</v>
      </c>
      <c r="F195" s="127" t="str">
        <f t="shared" si="13"/>
        <v>Date check - OK</v>
      </c>
      <c r="G195" s="1"/>
      <c r="H195" s="161"/>
      <c r="I195" s="37"/>
      <c r="J195" s="135">
        <f t="shared" si="14"/>
        <v>0.59839396822477431</v>
      </c>
      <c r="K195" s="112"/>
      <c r="L195" s="37">
        <v>287</v>
      </c>
      <c r="M195" s="37" t="s">
        <v>288</v>
      </c>
      <c r="N195" s="37">
        <v>1024.3397923166472</v>
      </c>
      <c r="O195" s="130">
        <f t="shared" si="18"/>
        <v>293985.52039487776</v>
      </c>
      <c r="P195" s="132">
        <f t="shared" si="19"/>
        <v>175919.16214971623</v>
      </c>
      <c r="Q195" s="261">
        <v>1</v>
      </c>
      <c r="R195" s="92"/>
    </row>
    <row r="196" spans="1:18" x14ac:dyDescent="0.25">
      <c r="A196">
        <v>1972</v>
      </c>
      <c r="B196" t="s">
        <v>285</v>
      </c>
      <c r="C196" s="263">
        <v>58966</v>
      </c>
      <c r="D196" s="157" t="s">
        <v>565</v>
      </c>
      <c r="E196" s="44">
        <v>26480</v>
      </c>
      <c r="F196" s="127" t="str">
        <f t="shared" si="13"/>
        <v>Date check - OK</v>
      </c>
      <c r="G196" s="1"/>
      <c r="H196" s="161"/>
      <c r="I196" s="37"/>
      <c r="J196" s="135">
        <f t="shared" si="14"/>
        <v>0.59839396822477431</v>
      </c>
      <c r="K196" s="112"/>
      <c r="L196" s="37">
        <v>462</v>
      </c>
      <c r="M196" s="37" t="s">
        <v>288</v>
      </c>
      <c r="N196" s="37">
        <v>580.67669755529687</v>
      </c>
      <c r="O196" s="130">
        <f t="shared" si="18"/>
        <v>268272.63427054713</v>
      </c>
      <c r="P196" s="132">
        <f t="shared" si="19"/>
        <v>160532.72618726629</v>
      </c>
      <c r="Q196" s="261">
        <v>1</v>
      </c>
      <c r="R196" s="92"/>
    </row>
    <row r="197" spans="1:18" x14ac:dyDescent="0.25">
      <c r="A197">
        <v>1972</v>
      </c>
      <c r="B197" t="s">
        <v>285</v>
      </c>
      <c r="C197" s="263">
        <v>59008</v>
      </c>
      <c r="D197" s="157" t="s">
        <v>566</v>
      </c>
      <c r="E197" s="44">
        <v>26480</v>
      </c>
      <c r="F197" s="127" t="str">
        <f t="shared" si="13"/>
        <v>Date check - OK</v>
      </c>
      <c r="G197" s="1"/>
      <c r="H197" s="161"/>
      <c r="I197" s="37"/>
      <c r="J197" s="135">
        <f t="shared" si="14"/>
        <v>0.59839396822477431</v>
      </c>
      <c r="K197" s="112"/>
      <c r="L197" s="37">
        <v>484</v>
      </c>
      <c r="M197" s="37" t="s">
        <v>288</v>
      </c>
      <c r="N197" s="37">
        <v>567.62778300349237</v>
      </c>
      <c r="O197" s="130">
        <f t="shared" si="18"/>
        <v>274731.84697369032</v>
      </c>
      <c r="P197" s="132">
        <f t="shared" si="19"/>
        <v>164397.88010830802</v>
      </c>
      <c r="Q197" s="261">
        <v>1</v>
      </c>
      <c r="R197" s="92"/>
    </row>
    <row r="198" spans="1:18" x14ac:dyDescent="0.25">
      <c r="A198">
        <v>1973</v>
      </c>
      <c r="B198" t="s">
        <v>285</v>
      </c>
      <c r="C198" s="263">
        <v>36521</v>
      </c>
      <c r="D198" s="157" t="s">
        <v>567</v>
      </c>
      <c r="E198" s="44">
        <v>26845</v>
      </c>
      <c r="F198" s="127" t="str">
        <f t="shared" si="13"/>
        <v>Date check - OK</v>
      </c>
      <c r="G198" s="1"/>
      <c r="H198" s="161"/>
      <c r="I198" s="37"/>
      <c r="J198" s="135">
        <f t="shared" si="14"/>
        <v>0.59839396822477431</v>
      </c>
      <c r="K198" s="112"/>
      <c r="L198" s="37">
        <v>2072</v>
      </c>
      <c r="M198" s="37" t="s">
        <v>288</v>
      </c>
      <c r="N198" s="37">
        <v>2296.6089611175785</v>
      </c>
      <c r="O198" s="130">
        <f t="shared" si="18"/>
        <v>4758573.7674356224</v>
      </c>
      <c r="P198" s="132">
        <f t="shared" si="19"/>
        <v>2847501.8397861165</v>
      </c>
      <c r="Q198" s="261">
        <v>1</v>
      </c>
      <c r="R198" s="92"/>
    </row>
    <row r="199" spans="1:18" x14ac:dyDescent="0.25">
      <c r="A199">
        <v>1973</v>
      </c>
      <c r="B199" t="s">
        <v>285</v>
      </c>
      <c r="C199" s="263">
        <v>36604</v>
      </c>
      <c r="D199" s="157" t="s">
        <v>568</v>
      </c>
      <c r="E199" s="44">
        <v>26845</v>
      </c>
      <c r="F199" s="127" t="str">
        <f t="shared" si="13"/>
        <v>Date check - OK</v>
      </c>
      <c r="G199" s="1"/>
      <c r="H199" s="161"/>
      <c r="I199" s="37"/>
      <c r="J199" s="135">
        <f t="shared" si="14"/>
        <v>0.59839396822477431</v>
      </c>
      <c r="K199" s="112"/>
      <c r="L199" s="37">
        <v>1300</v>
      </c>
      <c r="M199" s="37" t="s">
        <v>288</v>
      </c>
      <c r="N199" s="37">
        <v>1008.0286491268917</v>
      </c>
      <c r="O199" s="130">
        <f t="shared" si="18"/>
        <v>1310437.2438649591</v>
      </c>
      <c r="P199" s="132">
        <f t="shared" si="19"/>
        <v>784157.7424658892</v>
      </c>
      <c r="Q199" s="261">
        <v>1</v>
      </c>
      <c r="R199" s="92"/>
    </row>
    <row r="200" spans="1:18" x14ac:dyDescent="0.25">
      <c r="A200">
        <v>1973</v>
      </c>
      <c r="B200" t="s">
        <v>285</v>
      </c>
      <c r="C200" s="263">
        <v>36604</v>
      </c>
      <c r="D200" s="157" t="s">
        <v>568</v>
      </c>
      <c r="E200" s="44">
        <v>26845</v>
      </c>
      <c r="F200" s="127" t="str">
        <f t="shared" si="13"/>
        <v>Date check - OK</v>
      </c>
      <c r="G200" s="1"/>
      <c r="H200" s="161"/>
      <c r="I200" s="37"/>
      <c r="J200" s="135">
        <f t="shared" si="14"/>
        <v>0.59839396822477431</v>
      </c>
      <c r="K200" s="112"/>
      <c r="L200" s="37">
        <v>60</v>
      </c>
      <c r="M200" s="37" t="s">
        <v>288</v>
      </c>
      <c r="N200" s="37">
        <v>833.49941699650753</v>
      </c>
      <c r="O200" s="130">
        <f t="shared" si="18"/>
        <v>50009.965019790456</v>
      </c>
      <c r="P200" s="132">
        <f t="shared" si="19"/>
        <v>29925.661418974563</v>
      </c>
      <c r="Q200" s="261">
        <v>1</v>
      </c>
      <c r="R200" s="92"/>
    </row>
    <row r="201" spans="1:18" x14ac:dyDescent="0.25">
      <c r="A201">
        <v>1973</v>
      </c>
      <c r="B201" t="s">
        <v>285</v>
      </c>
      <c r="C201" s="263">
        <v>36604</v>
      </c>
      <c r="D201" s="157" t="s">
        <v>568</v>
      </c>
      <c r="E201" s="44">
        <v>26845</v>
      </c>
      <c r="F201" s="127" t="str">
        <f t="shared" si="13"/>
        <v>Date check - OK</v>
      </c>
      <c r="G201" s="1"/>
      <c r="H201" s="161"/>
      <c r="I201" s="37"/>
      <c r="J201" s="135">
        <f t="shared" si="14"/>
        <v>0.59839396822477431</v>
      </c>
      <c r="K201" s="112"/>
      <c r="L201" s="37">
        <v>415</v>
      </c>
      <c r="M201" s="37" t="s">
        <v>288</v>
      </c>
      <c r="N201" s="37">
        <v>580.67669755529687</v>
      </c>
      <c r="O201" s="130">
        <f t="shared" si="18"/>
        <v>240980.82948544819</v>
      </c>
      <c r="P201" s="132">
        <f t="shared" si="19"/>
        <v>144201.47482189504</v>
      </c>
      <c r="Q201" s="261">
        <v>1</v>
      </c>
      <c r="R201" s="92"/>
    </row>
    <row r="202" spans="1:18" x14ac:dyDescent="0.25">
      <c r="A202">
        <v>1973</v>
      </c>
      <c r="B202" t="s">
        <v>285</v>
      </c>
      <c r="C202" s="263">
        <v>46912</v>
      </c>
      <c r="D202" s="157" t="s">
        <v>569</v>
      </c>
      <c r="E202" s="44">
        <v>26845</v>
      </c>
      <c r="F202" s="127" t="str">
        <f t="shared" si="13"/>
        <v>Date check - OK</v>
      </c>
      <c r="G202" s="1"/>
      <c r="H202" s="161"/>
      <c r="I202" s="37"/>
      <c r="J202" s="135">
        <f t="shared" si="14"/>
        <v>0.59839396822477431</v>
      </c>
      <c r="K202" s="112"/>
      <c r="L202" s="37">
        <v>447</v>
      </c>
      <c r="M202" s="37" t="s">
        <v>288</v>
      </c>
      <c r="N202" s="37">
        <v>624.71678416763677</v>
      </c>
      <c r="O202" s="130">
        <f t="shared" si="18"/>
        <v>279248.40252293361</v>
      </c>
      <c r="P202" s="132">
        <f t="shared" si="19"/>
        <v>167100.55970612733</v>
      </c>
      <c r="Q202" s="261">
        <v>1</v>
      </c>
      <c r="R202" s="92"/>
    </row>
    <row r="203" spans="1:18" x14ac:dyDescent="0.25">
      <c r="A203">
        <v>1973</v>
      </c>
      <c r="B203" t="s">
        <v>285</v>
      </c>
      <c r="C203" s="263">
        <v>46913</v>
      </c>
      <c r="D203" s="157" t="s">
        <v>569</v>
      </c>
      <c r="E203" s="44">
        <v>26845</v>
      </c>
      <c r="F203" s="127" t="str">
        <f t="shared" si="13"/>
        <v>Date check - OK</v>
      </c>
      <c r="G203" s="1"/>
      <c r="H203" s="161"/>
      <c r="I203" s="37"/>
      <c r="J203" s="135">
        <f t="shared" si="14"/>
        <v>0.59839396822477431</v>
      </c>
      <c r="K203" s="112"/>
      <c r="L203" s="37">
        <v>305</v>
      </c>
      <c r="M203" s="37" t="s">
        <v>288</v>
      </c>
      <c r="N203" s="37">
        <v>567.62778300349237</v>
      </c>
      <c r="O203" s="130">
        <f t="shared" si="18"/>
        <v>173126.47381606518</v>
      </c>
      <c r="P203" s="132">
        <f t="shared" si="19"/>
        <v>103597.83767155773</v>
      </c>
      <c r="Q203" s="261">
        <v>1</v>
      </c>
      <c r="R203" s="92"/>
    </row>
    <row r="204" spans="1:18" x14ac:dyDescent="0.25">
      <c r="A204">
        <v>1974</v>
      </c>
      <c r="B204" t="s">
        <v>285</v>
      </c>
      <c r="C204" s="263">
        <v>47284</v>
      </c>
      <c r="D204" s="157" t="s">
        <v>570</v>
      </c>
      <c r="E204" s="44">
        <v>27210</v>
      </c>
      <c r="F204" s="127" t="str">
        <f t="shared" si="13"/>
        <v>Date check - OK</v>
      </c>
      <c r="G204" s="1"/>
      <c r="H204" s="161"/>
      <c r="I204" s="37"/>
      <c r="J204" s="135">
        <f t="shared" si="14"/>
        <v>0.59839396822477431</v>
      </c>
      <c r="K204" s="112"/>
      <c r="L204" s="37">
        <v>68</v>
      </c>
      <c r="M204" s="37" t="s">
        <v>288</v>
      </c>
      <c r="N204" s="37">
        <v>5653.4422295692666</v>
      </c>
      <c r="O204" s="130">
        <f t="shared" si="18"/>
        <v>384434.07161071012</v>
      </c>
      <c r="P204" s="132">
        <f t="shared" si="19"/>
        <v>230043.02963193989</v>
      </c>
      <c r="Q204" s="261">
        <v>1</v>
      </c>
      <c r="R204" s="92"/>
    </row>
    <row r="205" spans="1:18" x14ac:dyDescent="0.25">
      <c r="A205">
        <v>1974</v>
      </c>
      <c r="B205" t="s">
        <v>285</v>
      </c>
      <c r="C205" s="263">
        <v>36522</v>
      </c>
      <c r="D205" s="157" t="s">
        <v>571</v>
      </c>
      <c r="E205" s="44">
        <v>27210</v>
      </c>
      <c r="F205" s="127" t="str">
        <f t="shared" si="13"/>
        <v>Date check - OK</v>
      </c>
      <c r="G205" s="1"/>
      <c r="H205" s="161"/>
      <c r="I205" s="37"/>
      <c r="J205" s="135">
        <f t="shared" si="14"/>
        <v>0.59839396822477431</v>
      </c>
      <c r="K205" s="112"/>
      <c r="L205" s="37">
        <v>72</v>
      </c>
      <c r="M205" s="37" t="s">
        <v>288</v>
      </c>
      <c r="N205" s="37">
        <v>2644.0363110593712</v>
      </c>
      <c r="O205" s="130">
        <f t="shared" si="18"/>
        <v>190370.61439627473</v>
      </c>
      <c r="P205" s="132">
        <f t="shared" si="19"/>
        <v>113916.62738197518</v>
      </c>
      <c r="Q205" s="261">
        <v>1</v>
      </c>
      <c r="R205" s="92"/>
    </row>
    <row r="206" spans="1:18" x14ac:dyDescent="0.25">
      <c r="A206">
        <v>1974</v>
      </c>
      <c r="B206" t="s">
        <v>285</v>
      </c>
      <c r="C206" s="263">
        <v>36522</v>
      </c>
      <c r="D206" s="157" t="s">
        <v>572</v>
      </c>
      <c r="E206" s="44">
        <v>27210</v>
      </c>
      <c r="F206" s="127" t="str">
        <f t="shared" si="13"/>
        <v>Date check - OK</v>
      </c>
      <c r="G206" s="1"/>
      <c r="H206" s="161"/>
      <c r="I206" s="37"/>
      <c r="J206" s="135">
        <f t="shared" si="14"/>
        <v>0.59839396822477431</v>
      </c>
      <c r="K206" s="112"/>
      <c r="L206" s="37">
        <v>1375</v>
      </c>
      <c r="M206" s="37" t="s">
        <v>288</v>
      </c>
      <c r="N206" s="37">
        <v>2296.6089611175785</v>
      </c>
      <c r="O206" s="130">
        <f t="shared" si="18"/>
        <v>3157837.3215366704</v>
      </c>
      <c r="P206" s="132">
        <f t="shared" si="19"/>
        <v>1889630.8058426208</v>
      </c>
      <c r="Q206" s="261">
        <v>1</v>
      </c>
      <c r="R206" s="92"/>
    </row>
    <row r="207" spans="1:18" x14ac:dyDescent="0.25">
      <c r="A207">
        <v>1974</v>
      </c>
      <c r="B207" t="s">
        <v>285</v>
      </c>
      <c r="C207" s="263">
        <v>59106</v>
      </c>
      <c r="D207" s="157" t="s">
        <v>573</v>
      </c>
      <c r="E207" s="44">
        <v>27210</v>
      </c>
      <c r="F207" s="127" t="str">
        <f t="shared" si="13"/>
        <v>Date check - OK</v>
      </c>
      <c r="G207" s="1"/>
      <c r="H207" s="161"/>
      <c r="I207" s="37"/>
      <c r="J207" s="135">
        <f t="shared" si="14"/>
        <v>0.59839396822477431</v>
      </c>
      <c r="K207" s="112"/>
      <c r="L207" s="37">
        <v>455</v>
      </c>
      <c r="M207" s="37" t="s">
        <v>288</v>
      </c>
      <c r="N207" s="37">
        <v>580.67669755529687</v>
      </c>
      <c r="O207" s="130">
        <f t="shared" si="18"/>
        <v>264207.89738766005</v>
      </c>
      <c r="P207" s="132">
        <f t="shared" si="19"/>
        <v>158100.41215412589</v>
      </c>
      <c r="Q207" s="261">
        <v>1</v>
      </c>
      <c r="R207" s="92"/>
    </row>
    <row r="208" spans="1:18" x14ac:dyDescent="0.25">
      <c r="A208">
        <v>1974</v>
      </c>
      <c r="B208" t="s">
        <v>285</v>
      </c>
      <c r="C208" s="263">
        <v>59106</v>
      </c>
      <c r="D208" s="157" t="s">
        <v>573</v>
      </c>
      <c r="E208" s="44">
        <v>27210</v>
      </c>
      <c r="F208" s="127" t="str">
        <f t="shared" si="13"/>
        <v>Date check - OK</v>
      </c>
      <c r="G208" s="1"/>
      <c r="H208" s="161"/>
      <c r="I208" s="37"/>
      <c r="J208" s="135">
        <f t="shared" si="14"/>
        <v>0.59839396822477431</v>
      </c>
      <c r="K208" s="112"/>
      <c r="L208" s="37">
        <v>627.46</v>
      </c>
      <c r="M208" s="37" t="s">
        <v>288</v>
      </c>
      <c r="N208" s="37">
        <v>624.71678416763677</v>
      </c>
      <c r="O208" s="130">
        <f t="shared" si="18"/>
        <v>391984.79339382541</v>
      </c>
      <c r="P208" s="132">
        <f t="shared" si="19"/>
        <v>234561.33600269948</v>
      </c>
      <c r="Q208" s="261">
        <v>1</v>
      </c>
      <c r="R208" s="92"/>
    </row>
    <row r="209" spans="1:18" x14ac:dyDescent="0.25">
      <c r="A209">
        <v>1974</v>
      </c>
      <c r="B209" t="s">
        <v>285</v>
      </c>
      <c r="C209" s="263">
        <v>36705</v>
      </c>
      <c r="D209" s="157" t="s">
        <v>574</v>
      </c>
      <c r="E209" s="44">
        <v>27210</v>
      </c>
      <c r="F209" s="127" t="str">
        <f t="shared" si="13"/>
        <v>Date check - OK</v>
      </c>
      <c r="G209" s="1"/>
      <c r="H209" s="161"/>
      <c r="I209" s="37"/>
      <c r="J209" s="135">
        <f t="shared" si="14"/>
        <v>0.59839396822477431</v>
      </c>
      <c r="K209" s="112"/>
      <c r="L209" s="37">
        <v>449</v>
      </c>
      <c r="M209" s="37" t="s">
        <v>288</v>
      </c>
      <c r="N209" s="37">
        <v>1008.0286491268917</v>
      </c>
      <c r="O209" s="130">
        <f t="shared" si="18"/>
        <v>452604.86345797434</v>
      </c>
      <c r="P209" s="132">
        <f t="shared" si="19"/>
        <v>270836.02028244943</v>
      </c>
      <c r="Q209" s="261">
        <v>1</v>
      </c>
      <c r="R209" s="92"/>
    </row>
    <row r="210" spans="1:18" x14ac:dyDescent="0.25">
      <c r="A210">
        <v>1974</v>
      </c>
      <c r="B210" t="s">
        <v>285</v>
      </c>
      <c r="C210" s="263">
        <v>36705</v>
      </c>
      <c r="D210" s="157" t="s">
        <v>574</v>
      </c>
      <c r="E210" s="44">
        <v>27210</v>
      </c>
      <c r="F210" s="127" t="str">
        <f t="shared" si="13"/>
        <v>Date check - OK</v>
      </c>
      <c r="G210" s="1"/>
      <c r="H210" s="161"/>
      <c r="I210" s="37"/>
      <c r="J210" s="135">
        <f t="shared" si="14"/>
        <v>0.59839396822477431</v>
      </c>
      <c r="K210" s="112"/>
      <c r="L210" s="37">
        <v>748.37</v>
      </c>
      <c r="M210" s="37" t="s">
        <v>288</v>
      </c>
      <c r="N210" s="37">
        <v>887.32618952270082</v>
      </c>
      <c r="O210" s="130">
        <f t="shared" si="18"/>
        <v>664048.30045310361</v>
      </c>
      <c r="P210" s="132">
        <f t="shared" si="19"/>
        <v>397362.49760104989</v>
      </c>
      <c r="Q210" s="261">
        <v>1</v>
      </c>
      <c r="R210" s="92"/>
    </row>
    <row r="211" spans="1:18" x14ac:dyDescent="0.25">
      <c r="A211">
        <v>1974</v>
      </c>
      <c r="B211" t="s">
        <v>285</v>
      </c>
      <c r="C211" s="263">
        <v>36705</v>
      </c>
      <c r="D211" s="157" t="s">
        <v>574</v>
      </c>
      <c r="E211" s="44">
        <v>27210</v>
      </c>
      <c r="F211" s="127" t="str">
        <f t="shared" si="13"/>
        <v>Date check - OK</v>
      </c>
      <c r="G211" s="1"/>
      <c r="H211" s="161"/>
      <c r="I211" s="37"/>
      <c r="J211" s="135">
        <f t="shared" si="14"/>
        <v>0.59839396822477431</v>
      </c>
      <c r="K211" s="112"/>
      <c r="L211" s="37">
        <v>161.24</v>
      </c>
      <c r="M211" s="37" t="s">
        <v>288</v>
      </c>
      <c r="N211" s="37">
        <v>580.67669755529687</v>
      </c>
      <c r="O211" s="130">
        <f t="shared" si="18"/>
        <v>93628.31071381607</v>
      </c>
      <c r="P211" s="132">
        <f t="shared" si="19"/>
        <v>56026.616386222551</v>
      </c>
      <c r="Q211" s="261">
        <v>1</v>
      </c>
      <c r="R211" s="92"/>
    </row>
    <row r="212" spans="1:18" x14ac:dyDescent="0.25">
      <c r="A212">
        <v>1974</v>
      </c>
      <c r="B212" t="s">
        <v>285</v>
      </c>
      <c r="C212" s="263">
        <v>36705</v>
      </c>
      <c r="D212" s="157" t="s">
        <v>575</v>
      </c>
      <c r="E212" s="44">
        <v>27210</v>
      </c>
      <c r="F212" s="127" t="str">
        <f t="shared" si="13"/>
        <v>Date check - OK</v>
      </c>
      <c r="G212" s="1"/>
      <c r="H212" s="161"/>
      <c r="I212" s="37"/>
      <c r="J212" s="135">
        <f t="shared" si="14"/>
        <v>0.59839396822477431</v>
      </c>
      <c r="K212" s="112"/>
      <c r="L212" s="37">
        <v>6</v>
      </c>
      <c r="M212" s="37" t="s">
        <v>288</v>
      </c>
      <c r="N212" s="37">
        <v>567.62778300349237</v>
      </c>
      <c r="O212" s="130">
        <f t="shared" si="18"/>
        <v>3405.7666980209542</v>
      </c>
      <c r="P212" s="132">
        <f t="shared" si="19"/>
        <v>2037.9902492765455</v>
      </c>
      <c r="Q212" s="261">
        <v>1</v>
      </c>
      <c r="R212" s="92"/>
    </row>
    <row r="213" spans="1:18" x14ac:dyDescent="0.25">
      <c r="A213">
        <v>1974</v>
      </c>
      <c r="B213" t="s">
        <v>285</v>
      </c>
      <c r="C213" s="263">
        <v>36519</v>
      </c>
      <c r="D213" s="157" t="s">
        <v>576</v>
      </c>
      <c r="E213" s="44">
        <v>27210</v>
      </c>
      <c r="F213" s="127" t="str">
        <f t="shared" si="13"/>
        <v>Date check - OK</v>
      </c>
      <c r="G213" s="1"/>
      <c r="H213" s="161"/>
      <c r="I213" s="37"/>
      <c r="J213" s="135">
        <f t="shared" si="14"/>
        <v>0.59839396822477431</v>
      </c>
      <c r="K213" s="112"/>
      <c r="L213" s="37">
        <v>177</v>
      </c>
      <c r="M213" s="37" t="s">
        <v>288</v>
      </c>
      <c r="N213" s="37">
        <v>2644.0363110593712</v>
      </c>
      <c r="O213" s="130">
        <f t="shared" si="18"/>
        <v>467994.42705750873</v>
      </c>
      <c r="P213" s="132">
        <f t="shared" si="19"/>
        <v>280045.04231402231</v>
      </c>
      <c r="Q213" s="261">
        <v>1</v>
      </c>
      <c r="R213" s="92"/>
    </row>
    <row r="214" spans="1:18" x14ac:dyDescent="0.25">
      <c r="A214">
        <v>1974</v>
      </c>
      <c r="B214" t="s">
        <v>285</v>
      </c>
      <c r="C214" s="263">
        <v>36519</v>
      </c>
      <c r="D214" s="157" t="s">
        <v>576</v>
      </c>
      <c r="E214" s="44">
        <v>27210</v>
      </c>
      <c r="F214" s="127" t="str">
        <f t="shared" si="13"/>
        <v>Date check - OK</v>
      </c>
      <c r="G214" s="1"/>
      <c r="H214" s="161"/>
      <c r="I214" s="37"/>
      <c r="J214" s="135">
        <f t="shared" si="14"/>
        <v>0.59839396822477431</v>
      </c>
      <c r="K214" s="112"/>
      <c r="L214" s="37">
        <v>547</v>
      </c>
      <c r="M214" s="37" t="s">
        <v>288</v>
      </c>
      <c r="N214" s="37">
        <v>2296.6089611175785</v>
      </c>
      <c r="O214" s="130">
        <f t="shared" si="18"/>
        <v>1256245.1017313155</v>
      </c>
      <c r="P214" s="132">
        <f t="shared" si="19"/>
        <v>751729.49148793716</v>
      </c>
      <c r="Q214" s="261">
        <v>1</v>
      </c>
      <c r="R214" s="92"/>
    </row>
    <row r="215" spans="1:18" x14ac:dyDescent="0.25">
      <c r="A215">
        <v>1974</v>
      </c>
      <c r="B215" t="s">
        <v>285</v>
      </c>
      <c r="C215" s="263">
        <v>36519</v>
      </c>
      <c r="D215" s="157" t="s">
        <v>576</v>
      </c>
      <c r="E215" s="44">
        <v>27210</v>
      </c>
      <c r="F215" s="127" t="str">
        <f t="shared" si="13"/>
        <v>Date check - OK</v>
      </c>
      <c r="G215" s="1"/>
      <c r="H215" s="161"/>
      <c r="I215" s="37"/>
      <c r="J215" s="135">
        <f t="shared" si="14"/>
        <v>0.59839396822477431</v>
      </c>
      <c r="K215" s="112"/>
      <c r="L215" s="37">
        <v>322</v>
      </c>
      <c r="M215" s="37" t="s">
        <v>288</v>
      </c>
      <c r="N215" s="37">
        <v>1764.8656931315481</v>
      </c>
      <c r="O215" s="130">
        <f t="shared" si="18"/>
        <v>568286.7531883585</v>
      </c>
      <c r="P215" s="132">
        <f t="shared" si="19"/>
        <v>340059.36532995477</v>
      </c>
      <c r="Q215" s="261">
        <v>1</v>
      </c>
      <c r="R215" s="92"/>
    </row>
    <row r="216" spans="1:18" x14ac:dyDescent="0.25">
      <c r="A216">
        <v>1974</v>
      </c>
      <c r="B216" t="s">
        <v>285</v>
      </c>
      <c r="C216" s="263">
        <v>36519</v>
      </c>
      <c r="D216" s="157" t="s">
        <v>577</v>
      </c>
      <c r="E216" s="44">
        <v>27210</v>
      </c>
      <c r="F216" s="127" t="str">
        <f t="shared" ref="F216:F279" si="20">IF(E216="","-",IF(OR(E216&lt;$E$15,E216&gt;$E$16),"ERROR - date outside of range","Date check - OK"))</f>
        <v>Date check - OK</v>
      </c>
      <c r="G216" s="1"/>
      <c r="H216" s="161"/>
      <c r="I216" s="37"/>
      <c r="J216" s="135">
        <f t="shared" ref="J216:J279" si="21">J215</f>
        <v>0.59839396822477431</v>
      </c>
      <c r="K216" s="112"/>
      <c r="L216" s="37">
        <v>443.58</v>
      </c>
      <c r="M216" s="37" t="s">
        <v>288</v>
      </c>
      <c r="N216" s="37">
        <v>2663.6096828870777</v>
      </c>
      <c r="O216" s="130">
        <f t="shared" si="18"/>
        <v>1181523.9831350499</v>
      </c>
      <c r="P216" s="132">
        <f t="shared" si="19"/>
        <v>707016.82482092385</v>
      </c>
      <c r="Q216" s="261">
        <v>1</v>
      </c>
      <c r="R216" s="92"/>
    </row>
    <row r="217" spans="1:18" x14ac:dyDescent="0.25">
      <c r="A217">
        <v>1974</v>
      </c>
      <c r="B217" t="s">
        <v>285</v>
      </c>
      <c r="C217" s="263">
        <v>36591</v>
      </c>
      <c r="D217" s="157" t="s">
        <v>578</v>
      </c>
      <c r="E217" s="44">
        <v>27210</v>
      </c>
      <c r="F217" s="127" t="str">
        <f t="shared" si="20"/>
        <v>Date check - OK</v>
      </c>
      <c r="G217" s="1"/>
      <c r="H217" s="161"/>
      <c r="I217" s="37"/>
      <c r="J217" s="135">
        <f t="shared" si="21"/>
        <v>0.59839396822477431</v>
      </c>
      <c r="K217" s="112"/>
      <c r="L217" s="37">
        <v>253</v>
      </c>
      <c r="M217" s="37" t="s">
        <v>288</v>
      </c>
      <c r="N217" s="37">
        <v>2296.6089611175785</v>
      </c>
      <c r="O217" s="130">
        <f t="shared" si="18"/>
        <v>581042.06716274738</v>
      </c>
      <c r="P217" s="132">
        <f t="shared" si="19"/>
        <v>347692.06827504223</v>
      </c>
      <c r="Q217" s="261">
        <v>1</v>
      </c>
      <c r="R217" s="92"/>
    </row>
    <row r="218" spans="1:18" x14ac:dyDescent="0.25">
      <c r="A218">
        <v>1974</v>
      </c>
      <c r="B218" t="s">
        <v>285</v>
      </c>
      <c r="C218" s="263">
        <v>59052</v>
      </c>
      <c r="D218" s="157" t="s">
        <v>579</v>
      </c>
      <c r="E218" s="44">
        <v>27210</v>
      </c>
      <c r="F218" s="127" t="str">
        <f t="shared" si="20"/>
        <v>Date check - OK</v>
      </c>
      <c r="G218" s="1"/>
      <c r="H218" s="161"/>
      <c r="I218" s="37"/>
      <c r="J218" s="135">
        <f t="shared" si="21"/>
        <v>0.59839396822477431</v>
      </c>
      <c r="K218" s="112"/>
      <c r="L218" s="37">
        <v>253</v>
      </c>
      <c r="M218" s="37" t="s">
        <v>288</v>
      </c>
      <c r="N218" s="37">
        <v>567.62778300349237</v>
      </c>
      <c r="O218" s="130">
        <f t="shared" si="18"/>
        <v>143609.82909988356</v>
      </c>
      <c r="P218" s="132">
        <f t="shared" si="19"/>
        <v>18905.756212455417</v>
      </c>
      <c r="Q218" s="261">
        <v>0.22</v>
      </c>
      <c r="R218" s="92"/>
    </row>
    <row r="219" spans="1:18" x14ac:dyDescent="0.25">
      <c r="A219">
        <v>1974</v>
      </c>
      <c r="B219" t="s">
        <v>285</v>
      </c>
      <c r="C219" s="263">
        <v>59045</v>
      </c>
      <c r="D219" s="157" t="s">
        <v>580</v>
      </c>
      <c r="E219" s="44">
        <v>27210</v>
      </c>
      <c r="F219" s="127" t="str">
        <f t="shared" si="20"/>
        <v>Date check - OK</v>
      </c>
      <c r="G219" s="1"/>
      <c r="H219" s="161"/>
      <c r="I219" s="37"/>
      <c r="J219" s="135">
        <f t="shared" si="21"/>
        <v>0.59839396822477431</v>
      </c>
      <c r="K219" s="112"/>
      <c r="L219" s="37">
        <v>237</v>
      </c>
      <c r="M219" s="37" t="s">
        <v>288</v>
      </c>
      <c r="N219" s="37">
        <v>567.62778300349237</v>
      </c>
      <c r="O219" s="130">
        <f t="shared" si="18"/>
        <v>134527.78457182768</v>
      </c>
      <c r="P219" s="132">
        <f t="shared" si="19"/>
        <v>17710.135266213176</v>
      </c>
      <c r="Q219" s="261">
        <v>0.22</v>
      </c>
      <c r="R219" s="92"/>
    </row>
    <row r="220" spans="1:18" x14ac:dyDescent="0.25">
      <c r="A220">
        <v>1974</v>
      </c>
      <c r="B220" t="s">
        <v>285</v>
      </c>
      <c r="C220" s="263">
        <v>59174</v>
      </c>
      <c r="D220" s="157" t="s">
        <v>581</v>
      </c>
      <c r="E220" s="44">
        <v>27210</v>
      </c>
      <c r="F220" s="127" t="str">
        <f t="shared" si="20"/>
        <v>Date check - OK</v>
      </c>
      <c r="G220" s="1"/>
      <c r="H220" s="161"/>
      <c r="I220" s="37"/>
      <c r="J220" s="135">
        <f t="shared" si="21"/>
        <v>0.59839396822477431</v>
      </c>
      <c r="K220" s="112"/>
      <c r="L220" s="37">
        <v>98.388999999999996</v>
      </c>
      <c r="M220" s="37" t="s">
        <v>288</v>
      </c>
      <c r="N220" s="37">
        <v>639.39681303841667</v>
      </c>
      <c r="O220" s="130">
        <f t="shared" si="18"/>
        <v>62909.613038036776</v>
      </c>
      <c r="P220" s="132">
        <f t="shared" si="19"/>
        <v>37644.732985315823</v>
      </c>
      <c r="Q220" s="261">
        <v>1</v>
      </c>
      <c r="R220" s="92"/>
    </row>
    <row r="221" spans="1:18" x14ac:dyDescent="0.25">
      <c r="A221">
        <v>1974</v>
      </c>
      <c r="B221" t="s">
        <v>285</v>
      </c>
      <c r="C221" s="263">
        <v>59174</v>
      </c>
      <c r="D221" s="157" t="s">
        <v>581</v>
      </c>
      <c r="E221" s="44">
        <v>27210</v>
      </c>
      <c r="F221" s="127" t="str">
        <f t="shared" si="20"/>
        <v>Date check - OK</v>
      </c>
      <c r="G221" s="1"/>
      <c r="H221" s="161"/>
      <c r="I221" s="37"/>
      <c r="J221" s="135">
        <f t="shared" si="21"/>
        <v>0.59839396822477431</v>
      </c>
      <c r="K221" s="112"/>
      <c r="L221" s="37">
        <v>576</v>
      </c>
      <c r="M221" s="37" t="s">
        <v>288</v>
      </c>
      <c r="N221" s="37">
        <v>685.06801396973219</v>
      </c>
      <c r="O221" s="130">
        <f t="shared" si="18"/>
        <v>394599.17604656576</v>
      </c>
      <c r="P221" s="132">
        <f t="shared" si="19"/>
        <v>35418.865021909616</v>
      </c>
      <c r="Q221" s="261">
        <v>0.15</v>
      </c>
      <c r="R221" s="92"/>
    </row>
    <row r="222" spans="1:18" x14ac:dyDescent="0.25">
      <c r="A222">
        <v>1974</v>
      </c>
      <c r="B222" t="s">
        <v>285</v>
      </c>
      <c r="C222" s="263">
        <v>52862</v>
      </c>
      <c r="D222" s="157" t="s">
        <v>582</v>
      </c>
      <c r="E222" s="44">
        <v>27210</v>
      </c>
      <c r="F222" s="127" t="str">
        <f t="shared" si="20"/>
        <v>Date check - OK</v>
      </c>
      <c r="G222" s="1"/>
      <c r="H222" s="161"/>
      <c r="I222" s="37"/>
      <c r="J222" s="135">
        <f t="shared" si="21"/>
        <v>0.59839396822477431</v>
      </c>
      <c r="K222" s="112"/>
      <c r="L222" s="37">
        <v>346</v>
      </c>
      <c r="M222" s="37" t="s">
        <v>288</v>
      </c>
      <c r="N222" s="37">
        <v>685.06801396973219</v>
      </c>
      <c r="O222" s="130">
        <f t="shared" si="18"/>
        <v>237033.53283352734</v>
      </c>
      <c r="P222" s="132">
        <f t="shared" si="19"/>
        <v>21275.915447188763</v>
      </c>
      <c r="Q222" s="261">
        <v>0.15</v>
      </c>
      <c r="R222" s="92"/>
    </row>
    <row r="223" spans="1:18" x14ac:dyDescent="0.25">
      <c r="A223">
        <v>1975</v>
      </c>
      <c r="B223" t="s">
        <v>285</v>
      </c>
      <c r="C223" s="263">
        <v>36792</v>
      </c>
      <c r="D223" s="157" t="s">
        <v>583</v>
      </c>
      <c r="E223" s="44">
        <v>27575</v>
      </c>
      <c r="F223" s="127" t="str">
        <f t="shared" si="20"/>
        <v>Date check - OK</v>
      </c>
      <c r="G223" s="1"/>
      <c r="H223" s="161"/>
      <c r="I223" s="37"/>
      <c r="J223" s="135">
        <f t="shared" si="21"/>
        <v>0.59839396822477431</v>
      </c>
      <c r="K223" s="112"/>
      <c r="L223" s="37">
        <v>258</v>
      </c>
      <c r="M223" s="37" t="s">
        <v>288</v>
      </c>
      <c r="N223" s="37">
        <v>5653.4422295692666</v>
      </c>
      <c r="O223" s="130">
        <f t="shared" si="18"/>
        <v>1458588.0952288709</v>
      </c>
      <c r="P223" s="132">
        <f t="shared" si="19"/>
        <v>872810.31830941909</v>
      </c>
      <c r="Q223" s="261">
        <v>1</v>
      </c>
      <c r="R223" s="92"/>
    </row>
    <row r="224" spans="1:18" x14ac:dyDescent="0.25">
      <c r="A224">
        <v>1975</v>
      </c>
      <c r="B224" t="s">
        <v>285</v>
      </c>
      <c r="C224" s="263">
        <v>36792</v>
      </c>
      <c r="D224" s="157" t="s">
        <v>583</v>
      </c>
      <c r="E224" s="44">
        <v>27575</v>
      </c>
      <c r="F224" s="127" t="str">
        <f t="shared" si="20"/>
        <v>Date check - OK</v>
      </c>
      <c r="G224" s="1"/>
      <c r="H224" s="161"/>
      <c r="I224" s="37"/>
      <c r="J224" s="135">
        <f t="shared" si="21"/>
        <v>0.59839396822477431</v>
      </c>
      <c r="K224" s="112"/>
      <c r="L224" s="37">
        <v>41</v>
      </c>
      <c r="M224" s="37" t="s">
        <v>288</v>
      </c>
      <c r="N224" s="37">
        <v>2999.6192325960419</v>
      </c>
      <c r="O224" s="130">
        <f t="shared" si="18"/>
        <v>122984.38853643772</v>
      </c>
      <c r="P224" s="132">
        <f t="shared" si="19"/>
        <v>73593.116286016404</v>
      </c>
      <c r="Q224" s="261">
        <v>1</v>
      </c>
      <c r="R224" s="92"/>
    </row>
    <row r="225" spans="1:18" x14ac:dyDescent="0.25">
      <c r="A225">
        <v>1975</v>
      </c>
      <c r="B225" t="s">
        <v>285</v>
      </c>
      <c r="C225" s="263">
        <v>59182</v>
      </c>
      <c r="D225" s="157" t="s">
        <v>568</v>
      </c>
      <c r="E225" s="44">
        <v>27575</v>
      </c>
      <c r="F225" s="127" t="str">
        <f t="shared" si="20"/>
        <v>Date check - OK</v>
      </c>
      <c r="G225" s="1"/>
      <c r="H225" s="161"/>
      <c r="I225" s="37"/>
      <c r="J225" s="135">
        <f t="shared" si="21"/>
        <v>0.59839396822477431</v>
      </c>
      <c r="K225" s="112"/>
      <c r="L225" s="37">
        <v>242</v>
      </c>
      <c r="M225" s="37" t="s">
        <v>288</v>
      </c>
      <c r="N225" s="37">
        <v>494.22763864959256</v>
      </c>
      <c r="O225" s="130">
        <f t="shared" si="18"/>
        <v>119603.08855320141</v>
      </c>
      <c r="P225" s="132">
        <f t="shared" si="19"/>
        <v>25049.418369951243</v>
      </c>
      <c r="Q225" s="261">
        <v>0.35</v>
      </c>
      <c r="R225" s="92"/>
    </row>
    <row r="226" spans="1:18" x14ac:dyDescent="0.25">
      <c r="A226">
        <v>1975</v>
      </c>
      <c r="B226" t="s">
        <v>285</v>
      </c>
      <c r="C226" s="263">
        <v>59193</v>
      </c>
      <c r="D226" s="157" t="s">
        <v>584</v>
      </c>
      <c r="E226" s="44">
        <v>27575</v>
      </c>
      <c r="F226" s="127" t="str">
        <f t="shared" si="20"/>
        <v>Date check - OK</v>
      </c>
      <c r="G226" s="1"/>
      <c r="H226" s="161"/>
      <c r="I226" s="37"/>
      <c r="J226" s="135">
        <f t="shared" si="21"/>
        <v>0.59839396822477431</v>
      </c>
      <c r="K226" s="112"/>
      <c r="L226" s="37">
        <v>295</v>
      </c>
      <c r="M226" s="37" t="s">
        <v>288</v>
      </c>
      <c r="N226" s="37">
        <v>624.71678416763677</v>
      </c>
      <c r="O226" s="130">
        <f t="shared" si="18"/>
        <v>184291.45132945286</v>
      </c>
      <c r="P226" s="132">
        <f t="shared" si="19"/>
        <v>19850.200716768148</v>
      </c>
      <c r="Q226" s="261">
        <v>0.18</v>
      </c>
      <c r="R226" s="92"/>
    </row>
    <row r="227" spans="1:18" x14ac:dyDescent="0.25">
      <c r="A227">
        <v>1976</v>
      </c>
      <c r="B227" t="s">
        <v>285</v>
      </c>
      <c r="C227" s="263">
        <v>36793</v>
      </c>
      <c r="D227" s="157" t="s">
        <v>585</v>
      </c>
      <c r="E227" s="44">
        <v>27941</v>
      </c>
      <c r="F227" s="127" t="str">
        <f t="shared" si="20"/>
        <v>Date check - OK</v>
      </c>
      <c r="G227" s="1"/>
      <c r="H227" s="161"/>
      <c r="I227" s="37"/>
      <c r="J227" s="135">
        <f t="shared" si="21"/>
        <v>0.59839396822477431</v>
      </c>
      <c r="K227" s="112"/>
      <c r="L227" s="37">
        <v>55</v>
      </c>
      <c r="M227" s="37" t="s">
        <v>288</v>
      </c>
      <c r="N227" s="37">
        <v>5653.4422295692666</v>
      </c>
      <c r="O227" s="130">
        <f t="shared" si="18"/>
        <v>310939.32262630964</v>
      </c>
      <c r="P227" s="132">
        <f t="shared" si="19"/>
        <v>186064.21514348077</v>
      </c>
      <c r="Q227" s="261">
        <v>1</v>
      </c>
      <c r="R227" s="92"/>
    </row>
    <row r="228" spans="1:18" x14ac:dyDescent="0.25">
      <c r="A228">
        <v>1976</v>
      </c>
      <c r="B228" t="s">
        <v>285</v>
      </c>
      <c r="C228" s="263">
        <v>36793</v>
      </c>
      <c r="D228" s="157" t="s">
        <v>585</v>
      </c>
      <c r="E228" s="44">
        <v>27941</v>
      </c>
      <c r="F228" s="127" t="str">
        <f t="shared" si="20"/>
        <v>Date check - OK</v>
      </c>
      <c r="G228" s="1"/>
      <c r="H228" s="161"/>
      <c r="I228" s="37"/>
      <c r="J228" s="135">
        <f t="shared" si="21"/>
        <v>0.59839396822477431</v>
      </c>
      <c r="K228" s="112"/>
      <c r="L228" s="37">
        <v>300</v>
      </c>
      <c r="M228" s="37" t="s">
        <v>288</v>
      </c>
      <c r="N228" s="37">
        <v>3953.8211091967405</v>
      </c>
      <c r="O228" s="130">
        <f t="shared" ref="O228:O291" si="22">IF(N228="","-",L228*N228)</f>
        <v>1186146.3327590222</v>
      </c>
      <c r="P228" s="132">
        <f t="shared" ref="P228:P291" si="23">IF(O228="-","-",IF(OR(E228&lt;$E$15,E228&gt;$E$16),0,O228*J228))*Q228</f>
        <v>709782.81095493492</v>
      </c>
      <c r="Q228" s="261">
        <v>1</v>
      </c>
      <c r="R228" s="92"/>
    </row>
    <row r="229" spans="1:18" x14ac:dyDescent="0.25">
      <c r="A229">
        <v>1976</v>
      </c>
      <c r="B229" t="s">
        <v>285</v>
      </c>
      <c r="C229" s="263">
        <v>36793</v>
      </c>
      <c r="D229" s="157" t="s">
        <v>585</v>
      </c>
      <c r="E229" s="44">
        <v>27941</v>
      </c>
      <c r="F229" s="127" t="str">
        <f t="shared" si="20"/>
        <v>Date check - OK</v>
      </c>
      <c r="G229" s="1"/>
      <c r="H229" s="161"/>
      <c r="I229" s="37"/>
      <c r="J229" s="135">
        <f t="shared" si="21"/>
        <v>0.59839396822477431</v>
      </c>
      <c r="K229" s="112"/>
      <c r="L229" s="37">
        <v>1555.9</v>
      </c>
      <c r="M229" s="37" t="s">
        <v>288</v>
      </c>
      <c r="N229" s="37">
        <v>2926.2190882421423</v>
      </c>
      <c r="O229" s="130">
        <f t="shared" si="22"/>
        <v>4552904.2793959491</v>
      </c>
      <c r="P229" s="132">
        <f t="shared" si="23"/>
        <v>2724430.4586952985</v>
      </c>
      <c r="Q229" s="261">
        <v>1</v>
      </c>
      <c r="R229" s="92"/>
    </row>
    <row r="230" spans="1:18" x14ac:dyDescent="0.25">
      <c r="A230">
        <v>1976</v>
      </c>
      <c r="B230" t="s">
        <v>285</v>
      </c>
      <c r="C230" s="263">
        <v>36793</v>
      </c>
      <c r="D230" s="157" t="s">
        <v>585</v>
      </c>
      <c r="E230" s="44">
        <v>27941</v>
      </c>
      <c r="F230" s="127" t="str">
        <f t="shared" si="20"/>
        <v>Date check - OK</v>
      </c>
      <c r="G230" s="1"/>
      <c r="H230" s="161"/>
      <c r="I230" s="37"/>
      <c r="J230" s="135">
        <f t="shared" si="21"/>
        <v>0.59839396822477431</v>
      </c>
      <c r="K230" s="112"/>
      <c r="L230" s="37">
        <v>1762</v>
      </c>
      <c r="M230" s="37" t="s">
        <v>288</v>
      </c>
      <c r="N230" s="37">
        <v>2378.164677066356</v>
      </c>
      <c r="O230" s="130">
        <f t="shared" si="22"/>
        <v>4190326.1609909195</v>
      </c>
      <c r="P230" s="132">
        <f t="shared" si="23"/>
        <v>2507465.8996314406</v>
      </c>
      <c r="Q230" s="261">
        <v>1</v>
      </c>
      <c r="R230" s="92"/>
    </row>
    <row r="231" spans="1:18" x14ac:dyDescent="0.25">
      <c r="A231">
        <v>1976</v>
      </c>
      <c r="B231" t="s">
        <v>285</v>
      </c>
      <c r="C231" s="263">
        <v>36793</v>
      </c>
      <c r="D231" s="157" t="s">
        <v>585</v>
      </c>
      <c r="E231" s="44">
        <v>27941</v>
      </c>
      <c r="F231" s="127" t="str">
        <f t="shared" si="20"/>
        <v>Date check - OK</v>
      </c>
      <c r="G231" s="1"/>
      <c r="H231" s="161"/>
      <c r="I231" s="37"/>
      <c r="J231" s="135">
        <f t="shared" si="21"/>
        <v>0.59839396822477431</v>
      </c>
      <c r="K231" s="112"/>
      <c r="L231" s="37">
        <v>299</v>
      </c>
      <c r="M231" s="37" t="s">
        <v>288</v>
      </c>
      <c r="N231" s="37">
        <v>1861.1014379511059</v>
      </c>
      <c r="O231" s="130">
        <f t="shared" si="22"/>
        <v>556469.3299473807</v>
      </c>
      <c r="P231" s="132">
        <f t="shared" si="23"/>
        <v>332987.89054259437</v>
      </c>
      <c r="Q231" s="261">
        <v>1</v>
      </c>
      <c r="R231" s="92"/>
    </row>
    <row r="232" spans="1:18" x14ac:dyDescent="0.25">
      <c r="A232">
        <v>1976</v>
      </c>
      <c r="B232" t="s">
        <v>285</v>
      </c>
      <c r="C232" s="263">
        <v>36875</v>
      </c>
      <c r="D232" s="157" t="s">
        <v>586</v>
      </c>
      <c r="E232" s="44">
        <v>27941</v>
      </c>
      <c r="F232" s="127" t="str">
        <f t="shared" si="20"/>
        <v>Date check - OK</v>
      </c>
      <c r="G232" s="1"/>
      <c r="H232" s="161"/>
      <c r="I232" s="37"/>
      <c r="J232" s="135">
        <f t="shared" si="21"/>
        <v>0.59839396822477431</v>
      </c>
      <c r="K232" s="112"/>
      <c r="L232" s="37">
        <v>432</v>
      </c>
      <c r="M232" s="37" t="s">
        <v>288</v>
      </c>
      <c r="N232" s="37">
        <v>1024.3397923166472</v>
      </c>
      <c r="O232" s="130">
        <f t="shared" si="22"/>
        <v>442514.79028079158</v>
      </c>
      <c r="P232" s="132">
        <f t="shared" si="23"/>
        <v>264798.18135427666</v>
      </c>
      <c r="Q232" s="261">
        <v>1</v>
      </c>
      <c r="R232" s="92"/>
    </row>
    <row r="233" spans="1:18" x14ac:dyDescent="0.25">
      <c r="A233">
        <v>1976</v>
      </c>
      <c r="B233" t="s">
        <v>285</v>
      </c>
      <c r="C233" s="263">
        <v>36875</v>
      </c>
      <c r="D233" s="157" t="s">
        <v>586</v>
      </c>
      <c r="E233" s="44">
        <v>27941</v>
      </c>
      <c r="F233" s="127" t="str">
        <f t="shared" si="20"/>
        <v>Date check - OK</v>
      </c>
      <c r="G233" s="1"/>
      <c r="H233" s="161"/>
      <c r="I233" s="37"/>
      <c r="J233" s="135">
        <f t="shared" si="21"/>
        <v>0.59839396822477431</v>
      </c>
      <c r="K233" s="112"/>
      <c r="L233" s="37">
        <v>547</v>
      </c>
      <c r="M233" s="37" t="s">
        <v>288</v>
      </c>
      <c r="N233" s="37">
        <v>709.53472875436546</v>
      </c>
      <c r="O233" s="130">
        <f t="shared" si="22"/>
        <v>388115.49662863789</v>
      </c>
      <c r="P233" s="132">
        <f t="shared" si="23"/>
        <v>232245.97215713965</v>
      </c>
      <c r="Q233" s="261">
        <v>1</v>
      </c>
      <c r="R233" s="92"/>
    </row>
    <row r="234" spans="1:18" x14ac:dyDescent="0.25">
      <c r="A234">
        <v>1976</v>
      </c>
      <c r="B234" t="s">
        <v>285</v>
      </c>
      <c r="C234" s="263">
        <v>36875</v>
      </c>
      <c r="D234" s="157" t="s">
        <v>586</v>
      </c>
      <c r="E234" s="44">
        <v>27941</v>
      </c>
      <c r="F234" s="127" t="str">
        <f t="shared" si="20"/>
        <v>Date check - OK</v>
      </c>
      <c r="G234" s="1"/>
      <c r="H234" s="161"/>
      <c r="I234" s="37"/>
      <c r="J234" s="135">
        <f t="shared" si="21"/>
        <v>0.59839396822477431</v>
      </c>
      <c r="K234" s="112"/>
      <c r="L234" s="37">
        <v>184</v>
      </c>
      <c r="M234" s="37" t="s">
        <v>288</v>
      </c>
      <c r="N234" s="37">
        <v>685.06801396973219</v>
      </c>
      <c r="O234" s="130">
        <f t="shared" si="22"/>
        <v>126052.51457043072</v>
      </c>
      <c r="P234" s="132">
        <f t="shared" si="23"/>
        <v>75429.064398511226</v>
      </c>
      <c r="Q234" s="261">
        <v>1</v>
      </c>
      <c r="R234" s="92"/>
    </row>
    <row r="235" spans="1:18" x14ac:dyDescent="0.25">
      <c r="A235">
        <v>1976</v>
      </c>
      <c r="B235" t="s">
        <v>285</v>
      </c>
      <c r="C235" s="263">
        <v>36964</v>
      </c>
      <c r="D235" s="157" t="s">
        <v>587</v>
      </c>
      <c r="E235" s="44">
        <v>27941</v>
      </c>
      <c r="F235" s="127" t="str">
        <f t="shared" si="20"/>
        <v>Date check - OK</v>
      </c>
      <c r="G235" s="1"/>
      <c r="H235" s="161"/>
      <c r="I235" s="37"/>
      <c r="J235" s="135">
        <f t="shared" si="21"/>
        <v>0.59839396822477431</v>
      </c>
      <c r="K235" s="112"/>
      <c r="L235" s="37">
        <v>109</v>
      </c>
      <c r="M235" s="37" t="s">
        <v>288</v>
      </c>
      <c r="N235" s="37">
        <v>833.49941699650753</v>
      </c>
      <c r="O235" s="130">
        <f t="shared" si="22"/>
        <v>90851.436452619324</v>
      </c>
      <c r="P235" s="132">
        <f t="shared" si="23"/>
        <v>54364.951577803789</v>
      </c>
      <c r="Q235" s="261">
        <v>1</v>
      </c>
      <c r="R235" s="92"/>
    </row>
    <row r="236" spans="1:18" x14ac:dyDescent="0.25">
      <c r="A236">
        <v>1976</v>
      </c>
      <c r="B236" t="s">
        <v>285</v>
      </c>
      <c r="C236" s="263">
        <v>36964</v>
      </c>
      <c r="D236" s="157" t="s">
        <v>587</v>
      </c>
      <c r="E236" s="44">
        <v>27941</v>
      </c>
      <c r="F236" s="127" t="str">
        <f t="shared" si="20"/>
        <v>Date check - OK</v>
      </c>
      <c r="G236" s="1"/>
      <c r="H236" s="161"/>
      <c r="I236" s="37"/>
      <c r="J236" s="135">
        <f t="shared" si="21"/>
        <v>0.59839396822477431</v>
      </c>
      <c r="K236" s="112"/>
      <c r="L236" s="37">
        <v>145</v>
      </c>
      <c r="M236" s="37" t="s">
        <v>288</v>
      </c>
      <c r="N236" s="37">
        <v>424.08972293364377</v>
      </c>
      <c r="O236" s="130">
        <f t="shared" si="22"/>
        <v>61493.009825378344</v>
      </c>
      <c r="P236" s="132">
        <f t="shared" si="23"/>
        <v>36797.046167493179</v>
      </c>
      <c r="Q236" s="261">
        <v>1</v>
      </c>
      <c r="R236" s="92"/>
    </row>
    <row r="237" spans="1:18" x14ac:dyDescent="0.25">
      <c r="A237">
        <v>1977</v>
      </c>
      <c r="B237" t="s">
        <v>285</v>
      </c>
      <c r="C237" s="263">
        <v>36965</v>
      </c>
      <c r="D237" s="157" t="s">
        <v>588</v>
      </c>
      <c r="E237" s="44">
        <v>28306</v>
      </c>
      <c r="F237" s="127" t="str">
        <f t="shared" si="20"/>
        <v>Date check - OK</v>
      </c>
      <c r="G237" s="1"/>
      <c r="H237" s="161"/>
      <c r="I237" s="37"/>
      <c r="J237" s="135">
        <f t="shared" si="21"/>
        <v>0.59839396822477431</v>
      </c>
      <c r="K237" s="112"/>
      <c r="L237" s="37">
        <v>885</v>
      </c>
      <c r="M237" s="37" t="s">
        <v>288</v>
      </c>
      <c r="N237" s="37">
        <v>639.39681303841667</v>
      </c>
      <c r="O237" s="130">
        <f t="shared" si="22"/>
        <v>565866.17953899875</v>
      </c>
      <c r="P237" s="132">
        <f t="shared" si="23"/>
        <v>338610.90865853406</v>
      </c>
      <c r="Q237" s="261">
        <v>1</v>
      </c>
      <c r="R237" s="92"/>
    </row>
    <row r="238" spans="1:18" x14ac:dyDescent="0.25">
      <c r="A238">
        <v>1977</v>
      </c>
      <c r="B238" t="s">
        <v>285</v>
      </c>
      <c r="C238" s="263">
        <v>36965</v>
      </c>
      <c r="D238" s="157" t="s">
        <v>588</v>
      </c>
      <c r="E238" s="44">
        <v>28306</v>
      </c>
      <c r="F238" s="127" t="str">
        <f t="shared" si="20"/>
        <v>Date check - OK</v>
      </c>
      <c r="G238" s="1"/>
      <c r="H238" s="161"/>
      <c r="I238" s="37"/>
      <c r="J238" s="135">
        <f t="shared" si="21"/>
        <v>0.59839396822477431</v>
      </c>
      <c r="K238" s="112"/>
      <c r="L238" s="37">
        <v>273</v>
      </c>
      <c r="M238" s="37" t="s">
        <v>288</v>
      </c>
      <c r="N238" s="37">
        <v>624.71678416763677</v>
      </c>
      <c r="O238" s="130">
        <f t="shared" si="22"/>
        <v>170547.68207776485</v>
      </c>
      <c r="P238" s="132">
        <f t="shared" si="23"/>
        <v>102054.70425005093</v>
      </c>
      <c r="Q238" s="261">
        <v>1</v>
      </c>
      <c r="R238" s="92"/>
    </row>
    <row r="239" spans="1:18" x14ac:dyDescent="0.25">
      <c r="A239">
        <v>1977</v>
      </c>
      <c r="B239" t="s">
        <v>285</v>
      </c>
      <c r="C239" s="263">
        <v>37019</v>
      </c>
      <c r="D239" s="157" t="s">
        <v>589</v>
      </c>
      <c r="E239" s="44">
        <v>28306</v>
      </c>
      <c r="F239" s="127" t="str">
        <f t="shared" si="20"/>
        <v>Date check - OK</v>
      </c>
      <c r="G239" s="1"/>
      <c r="H239" s="161"/>
      <c r="I239" s="37"/>
      <c r="J239" s="135">
        <f t="shared" si="21"/>
        <v>0.59839396822477431</v>
      </c>
      <c r="K239" s="112"/>
      <c r="L239" s="37">
        <v>670</v>
      </c>
      <c r="M239" s="37" t="s">
        <v>288</v>
      </c>
      <c r="N239" s="37">
        <v>1234.7535394644935</v>
      </c>
      <c r="O239" s="130">
        <f t="shared" si="22"/>
        <v>827284.87144121062</v>
      </c>
      <c r="P239" s="132">
        <f t="shared" si="23"/>
        <v>495042.27707402827</v>
      </c>
      <c r="Q239" s="261">
        <v>1</v>
      </c>
      <c r="R239" s="92"/>
    </row>
    <row r="240" spans="1:18" x14ac:dyDescent="0.25">
      <c r="A240">
        <v>1977</v>
      </c>
      <c r="B240" t="s">
        <v>285</v>
      </c>
      <c r="C240" s="263">
        <v>37019</v>
      </c>
      <c r="D240" s="157" t="s">
        <v>589</v>
      </c>
      <c r="E240" s="44">
        <v>28306</v>
      </c>
      <c r="F240" s="127" t="str">
        <f t="shared" si="20"/>
        <v>Date check - OK</v>
      </c>
      <c r="G240" s="1"/>
      <c r="H240" s="161"/>
      <c r="I240" s="37"/>
      <c r="J240" s="135">
        <f t="shared" si="21"/>
        <v>0.59839396822477431</v>
      </c>
      <c r="K240" s="112"/>
      <c r="L240" s="37">
        <v>339</v>
      </c>
      <c r="M240" s="37" t="s">
        <v>288</v>
      </c>
      <c r="N240" s="37">
        <v>1008.0286491268917</v>
      </c>
      <c r="O240" s="130">
        <f t="shared" si="22"/>
        <v>341721.71205401624</v>
      </c>
      <c r="P240" s="132">
        <f t="shared" si="23"/>
        <v>204484.21130456647</v>
      </c>
      <c r="Q240" s="261">
        <v>1</v>
      </c>
      <c r="R240" s="92"/>
    </row>
    <row r="241" spans="1:18" x14ac:dyDescent="0.25">
      <c r="A241">
        <v>1977</v>
      </c>
      <c r="B241" t="s">
        <v>285</v>
      </c>
      <c r="C241" s="263">
        <v>37019</v>
      </c>
      <c r="D241" s="157" t="s">
        <v>590</v>
      </c>
      <c r="E241" s="44">
        <v>28306</v>
      </c>
      <c r="F241" s="127" t="str">
        <f t="shared" si="20"/>
        <v>Date check - OK</v>
      </c>
      <c r="G241" s="1"/>
      <c r="H241" s="161"/>
      <c r="I241" s="37"/>
      <c r="J241" s="135">
        <f t="shared" si="21"/>
        <v>0.59839396822477431</v>
      </c>
      <c r="K241" s="112"/>
      <c r="L241" s="37">
        <v>53</v>
      </c>
      <c r="M241" s="37" t="s">
        <v>288</v>
      </c>
      <c r="N241" s="37">
        <v>567.62778300349237</v>
      </c>
      <c r="O241" s="130">
        <f t="shared" si="22"/>
        <v>30084.272499185096</v>
      </c>
      <c r="P241" s="132">
        <f t="shared" si="23"/>
        <v>18002.247201942817</v>
      </c>
      <c r="Q241" s="261">
        <v>1</v>
      </c>
      <c r="R241" s="92"/>
    </row>
    <row r="242" spans="1:18" x14ac:dyDescent="0.25">
      <c r="A242">
        <v>1977</v>
      </c>
      <c r="B242" t="s">
        <v>285</v>
      </c>
      <c r="C242" s="263">
        <v>37021</v>
      </c>
      <c r="D242" s="157" t="s">
        <v>591</v>
      </c>
      <c r="E242" s="44">
        <v>28306</v>
      </c>
      <c r="F242" s="127" t="str">
        <f t="shared" si="20"/>
        <v>Date check - OK</v>
      </c>
      <c r="G242" s="1"/>
      <c r="H242" s="161"/>
      <c r="I242" s="37"/>
      <c r="J242" s="135">
        <f t="shared" si="21"/>
        <v>0.59839396822477431</v>
      </c>
      <c r="K242" s="112"/>
      <c r="L242" s="37">
        <v>661</v>
      </c>
      <c r="M242" s="37" t="s">
        <v>288</v>
      </c>
      <c r="N242" s="37">
        <v>1149.9355948777647</v>
      </c>
      <c r="O242" s="130">
        <f t="shared" si="22"/>
        <v>760107.42821420252</v>
      </c>
      <c r="P242" s="132">
        <f t="shared" si="23"/>
        <v>454843.70024622441</v>
      </c>
      <c r="Q242" s="261">
        <v>1</v>
      </c>
      <c r="R242" s="92"/>
    </row>
    <row r="243" spans="1:18" x14ac:dyDescent="0.25">
      <c r="A243">
        <v>1977</v>
      </c>
      <c r="B243" t="s">
        <v>285</v>
      </c>
      <c r="C243" s="263">
        <v>37021</v>
      </c>
      <c r="D243" s="157" t="s">
        <v>591</v>
      </c>
      <c r="E243" s="44">
        <v>28306</v>
      </c>
      <c r="F243" s="127" t="str">
        <f t="shared" si="20"/>
        <v>Date check - OK</v>
      </c>
      <c r="G243" s="1"/>
      <c r="H243" s="161"/>
      <c r="I243" s="37"/>
      <c r="J243" s="135">
        <f t="shared" si="21"/>
        <v>0.59839396822477431</v>
      </c>
      <c r="K243" s="112"/>
      <c r="L243" s="37">
        <v>988</v>
      </c>
      <c r="M243" s="37" t="s">
        <v>288</v>
      </c>
      <c r="N243" s="37">
        <v>1024.3397923166472</v>
      </c>
      <c r="O243" s="130">
        <f t="shared" si="22"/>
        <v>1012047.7148088474</v>
      </c>
      <c r="P243" s="132">
        <f t="shared" si="23"/>
        <v>605603.24809728086</v>
      </c>
      <c r="Q243" s="261">
        <v>1</v>
      </c>
      <c r="R243" s="92"/>
    </row>
    <row r="244" spans="1:18" x14ac:dyDescent="0.25">
      <c r="A244">
        <v>1977</v>
      </c>
      <c r="B244" t="s">
        <v>285</v>
      </c>
      <c r="C244" s="263">
        <v>59412</v>
      </c>
      <c r="D244" s="157" t="s">
        <v>592</v>
      </c>
      <c r="E244" s="44">
        <v>28306</v>
      </c>
      <c r="F244" s="127" t="str">
        <f t="shared" si="20"/>
        <v>Date check - OK</v>
      </c>
      <c r="G244" s="1"/>
      <c r="H244" s="161"/>
      <c r="I244" s="37"/>
      <c r="J244" s="135">
        <f t="shared" si="21"/>
        <v>0.59839396822477431</v>
      </c>
      <c r="K244" s="112"/>
      <c r="L244" s="37">
        <v>275</v>
      </c>
      <c r="M244" s="37" t="s">
        <v>288</v>
      </c>
      <c r="N244" s="37">
        <v>567.62778300349237</v>
      </c>
      <c r="O244" s="130">
        <f t="shared" si="22"/>
        <v>156097.64032596041</v>
      </c>
      <c r="P244" s="132">
        <f t="shared" si="23"/>
        <v>20549.735013538502</v>
      </c>
      <c r="Q244" s="261">
        <v>0.22</v>
      </c>
      <c r="R244" s="92"/>
    </row>
    <row r="245" spans="1:18" x14ac:dyDescent="0.25">
      <c r="A245">
        <v>1978</v>
      </c>
      <c r="B245" t="s">
        <v>285</v>
      </c>
      <c r="C245" s="263">
        <v>36966</v>
      </c>
      <c r="D245" s="157" t="s">
        <v>593</v>
      </c>
      <c r="E245" s="44">
        <v>28671</v>
      </c>
      <c r="F245" s="127" t="str">
        <f t="shared" si="20"/>
        <v>Date check - OK</v>
      </c>
      <c r="G245" s="1"/>
      <c r="H245" s="161"/>
      <c r="I245" s="37"/>
      <c r="J245" s="135">
        <f t="shared" si="21"/>
        <v>0.59839396822477431</v>
      </c>
      <c r="K245" s="112"/>
      <c r="L245" s="37">
        <v>118</v>
      </c>
      <c r="M245" s="37" t="s">
        <v>288</v>
      </c>
      <c r="N245" s="37">
        <v>3196.9840651920836</v>
      </c>
      <c r="O245" s="130">
        <f t="shared" si="22"/>
        <v>377244.11969266587</v>
      </c>
      <c r="P245" s="132">
        <f t="shared" si="23"/>
        <v>225740.60577235607</v>
      </c>
      <c r="Q245" s="261">
        <v>1</v>
      </c>
      <c r="R245" s="92"/>
    </row>
    <row r="246" spans="1:18" x14ac:dyDescent="0.25">
      <c r="A246">
        <v>1978</v>
      </c>
      <c r="B246" t="s">
        <v>285</v>
      </c>
      <c r="C246" s="263">
        <v>36966</v>
      </c>
      <c r="D246" s="157" t="s">
        <v>593</v>
      </c>
      <c r="E246" s="44">
        <v>28671</v>
      </c>
      <c r="F246" s="127" t="str">
        <f t="shared" si="20"/>
        <v>Date check - OK</v>
      </c>
      <c r="G246" s="1"/>
      <c r="H246" s="161"/>
      <c r="I246" s="37"/>
      <c r="J246" s="135">
        <f t="shared" si="21"/>
        <v>0.59839396822477431</v>
      </c>
      <c r="K246" s="112"/>
      <c r="L246" s="37">
        <v>95</v>
      </c>
      <c r="M246" s="37" t="s">
        <v>288</v>
      </c>
      <c r="N246" s="37">
        <v>2378.164677066356</v>
      </c>
      <c r="O246" s="130">
        <f t="shared" si="22"/>
        <v>225925.64432130381</v>
      </c>
      <c r="P246" s="132">
        <f t="shared" si="23"/>
        <v>135192.54282916393</v>
      </c>
      <c r="Q246" s="261">
        <v>1</v>
      </c>
      <c r="R246" s="92"/>
    </row>
    <row r="247" spans="1:18" x14ac:dyDescent="0.25">
      <c r="A247">
        <v>1978</v>
      </c>
      <c r="B247" t="s">
        <v>285</v>
      </c>
      <c r="C247" s="263">
        <v>36966</v>
      </c>
      <c r="D247" s="157" t="s">
        <v>593</v>
      </c>
      <c r="E247" s="44">
        <v>28671</v>
      </c>
      <c r="F247" s="127" t="str">
        <f t="shared" si="20"/>
        <v>Date check - OK</v>
      </c>
      <c r="G247" s="1"/>
      <c r="H247" s="161"/>
      <c r="I247" s="37"/>
      <c r="J247" s="135">
        <f t="shared" si="21"/>
        <v>0.59839396822477431</v>
      </c>
      <c r="K247" s="112"/>
      <c r="L247" s="37">
        <v>1646</v>
      </c>
      <c r="M247" s="37" t="s">
        <v>288</v>
      </c>
      <c r="N247" s="37">
        <v>1861.1014379511059</v>
      </c>
      <c r="O247" s="130">
        <f t="shared" si="22"/>
        <v>3063372.9668675205</v>
      </c>
      <c r="P247" s="132">
        <f t="shared" si="23"/>
        <v>1833103.9057963556</v>
      </c>
      <c r="Q247" s="261">
        <v>1</v>
      </c>
      <c r="R247" s="92"/>
    </row>
    <row r="248" spans="1:18" x14ac:dyDescent="0.25">
      <c r="A248">
        <v>1978</v>
      </c>
      <c r="B248" t="s">
        <v>285</v>
      </c>
      <c r="C248" s="263">
        <v>37104</v>
      </c>
      <c r="D248" s="157" t="s">
        <v>594</v>
      </c>
      <c r="E248" s="44">
        <v>28671</v>
      </c>
      <c r="F248" s="127" t="str">
        <f t="shared" si="20"/>
        <v>Date check - OK</v>
      </c>
      <c r="G248" s="1"/>
      <c r="H248" s="161"/>
      <c r="I248" s="37"/>
      <c r="J248" s="135">
        <f t="shared" si="21"/>
        <v>0.59839396822477431</v>
      </c>
      <c r="K248" s="112"/>
      <c r="L248" s="37">
        <v>104</v>
      </c>
      <c r="M248" s="37" t="s">
        <v>288</v>
      </c>
      <c r="N248" s="37">
        <v>1861.1014379511059</v>
      </c>
      <c r="O248" s="130">
        <f t="shared" si="22"/>
        <v>193554.54954691502</v>
      </c>
      <c r="P248" s="132">
        <f t="shared" si="23"/>
        <v>115821.87497133717</v>
      </c>
      <c r="Q248" s="261">
        <v>1</v>
      </c>
      <c r="R248" s="92"/>
    </row>
    <row r="249" spans="1:18" x14ac:dyDescent="0.25">
      <c r="A249">
        <v>1978</v>
      </c>
      <c r="B249" t="s">
        <v>285</v>
      </c>
      <c r="C249" s="263">
        <v>37020</v>
      </c>
      <c r="D249" s="157" t="s">
        <v>595</v>
      </c>
      <c r="E249" s="44">
        <v>28671</v>
      </c>
      <c r="F249" s="127" t="str">
        <f t="shared" si="20"/>
        <v>Date check - OK</v>
      </c>
      <c r="G249" s="1"/>
      <c r="H249" s="161"/>
      <c r="I249" s="37"/>
      <c r="J249" s="135">
        <f t="shared" si="21"/>
        <v>0.59839396822477431</v>
      </c>
      <c r="K249" s="112"/>
      <c r="L249" s="37">
        <v>90</v>
      </c>
      <c r="M249" s="37" t="s">
        <v>288</v>
      </c>
      <c r="N249" s="37">
        <v>2560.8494807916181</v>
      </c>
      <c r="O249" s="130">
        <f t="shared" si="22"/>
        <v>230476.45327124564</v>
      </c>
      <c r="P249" s="132">
        <f t="shared" si="23"/>
        <v>137915.71945535243</v>
      </c>
      <c r="Q249" s="261">
        <v>1</v>
      </c>
      <c r="R249" s="92"/>
    </row>
    <row r="250" spans="1:18" x14ac:dyDescent="0.25">
      <c r="A250">
        <v>1978</v>
      </c>
      <c r="B250" t="s">
        <v>285</v>
      </c>
      <c r="C250" s="263">
        <v>37020</v>
      </c>
      <c r="D250" s="157" t="s">
        <v>595</v>
      </c>
      <c r="E250" s="44">
        <v>28671</v>
      </c>
      <c r="F250" s="127" t="str">
        <f t="shared" si="20"/>
        <v>Date check - OK</v>
      </c>
      <c r="G250" s="1"/>
      <c r="H250" s="161"/>
      <c r="I250" s="37"/>
      <c r="J250" s="135">
        <f t="shared" si="21"/>
        <v>0.59839396822477431</v>
      </c>
      <c r="K250" s="112"/>
      <c r="L250" s="37">
        <v>859</v>
      </c>
      <c r="M250" s="37" t="s">
        <v>288</v>
      </c>
      <c r="N250" s="37">
        <v>1861.1014379511059</v>
      </c>
      <c r="O250" s="130">
        <f t="shared" si="22"/>
        <v>1598686.1351999999</v>
      </c>
      <c r="P250" s="132">
        <f t="shared" si="23"/>
        <v>956644.14038825594</v>
      </c>
      <c r="Q250" s="261">
        <v>1</v>
      </c>
      <c r="R250" s="92"/>
    </row>
    <row r="251" spans="1:18" x14ac:dyDescent="0.25">
      <c r="A251">
        <v>1978</v>
      </c>
      <c r="B251" t="s">
        <v>285</v>
      </c>
      <c r="C251" s="263">
        <v>37020</v>
      </c>
      <c r="D251" s="157" t="s">
        <v>595</v>
      </c>
      <c r="E251" s="44">
        <v>28671</v>
      </c>
      <c r="F251" s="127" t="str">
        <f t="shared" si="20"/>
        <v>Date check - OK</v>
      </c>
      <c r="G251" s="1"/>
      <c r="H251" s="161"/>
      <c r="I251" s="37"/>
      <c r="J251" s="135">
        <f t="shared" si="21"/>
        <v>0.59839396822477431</v>
      </c>
      <c r="K251" s="112"/>
      <c r="L251" s="37">
        <v>832</v>
      </c>
      <c r="M251" s="37" t="s">
        <v>288</v>
      </c>
      <c r="N251" s="37">
        <v>1386.4471711292199</v>
      </c>
      <c r="O251" s="130">
        <f t="shared" si="22"/>
        <v>1153524.046379511</v>
      </c>
      <c r="P251" s="132">
        <f t="shared" si="23"/>
        <v>690261.83155573416</v>
      </c>
      <c r="Q251" s="261">
        <v>1</v>
      </c>
      <c r="R251" s="92"/>
    </row>
    <row r="252" spans="1:18" x14ac:dyDescent="0.25">
      <c r="A252">
        <v>1978</v>
      </c>
      <c r="B252" t="s">
        <v>285</v>
      </c>
      <c r="C252" s="263">
        <v>47998</v>
      </c>
      <c r="D252" s="157" t="s">
        <v>596</v>
      </c>
      <c r="E252" s="44">
        <v>28671</v>
      </c>
      <c r="F252" s="127" t="str">
        <f t="shared" si="20"/>
        <v>Date check - OK</v>
      </c>
      <c r="G252" s="1"/>
      <c r="H252" s="161"/>
      <c r="I252" s="37"/>
      <c r="J252" s="135">
        <f t="shared" si="21"/>
        <v>0.59839396822477431</v>
      </c>
      <c r="K252" s="112"/>
      <c r="L252" s="37">
        <v>668</v>
      </c>
      <c r="M252" s="37" t="s">
        <v>288</v>
      </c>
      <c r="N252" s="37">
        <v>567.62778300349237</v>
      </c>
      <c r="O252" s="130">
        <f t="shared" si="22"/>
        <v>379175.35904633289</v>
      </c>
      <c r="P252" s="132">
        <f t="shared" si="23"/>
        <v>226896.24775278871</v>
      </c>
      <c r="Q252" s="261">
        <v>1</v>
      </c>
      <c r="R252" s="92"/>
    </row>
    <row r="253" spans="1:18" x14ac:dyDescent="0.25">
      <c r="A253">
        <v>1978</v>
      </c>
      <c r="B253" t="s">
        <v>285</v>
      </c>
      <c r="C253" s="263">
        <v>47999</v>
      </c>
      <c r="D253" s="157" t="s">
        <v>597</v>
      </c>
      <c r="E253" s="44">
        <v>28671</v>
      </c>
      <c r="F253" s="127" t="str">
        <f t="shared" si="20"/>
        <v>Date check - OK</v>
      </c>
      <c r="G253" s="1"/>
      <c r="H253" s="161"/>
      <c r="I253" s="37"/>
      <c r="J253" s="135">
        <f t="shared" si="21"/>
        <v>0.59839396822477431</v>
      </c>
      <c r="K253" s="112"/>
      <c r="L253" s="37">
        <v>325</v>
      </c>
      <c r="M253" s="37" t="s">
        <v>288</v>
      </c>
      <c r="N253" s="37">
        <v>580.67669755529687</v>
      </c>
      <c r="O253" s="130">
        <f t="shared" si="22"/>
        <v>188719.92670547147</v>
      </c>
      <c r="P253" s="132">
        <f t="shared" si="23"/>
        <v>112928.86582437564</v>
      </c>
      <c r="Q253" s="261">
        <v>1</v>
      </c>
      <c r="R253" s="92"/>
    </row>
    <row r="254" spans="1:18" x14ac:dyDescent="0.25">
      <c r="A254">
        <v>1978</v>
      </c>
      <c r="B254" t="s">
        <v>285</v>
      </c>
      <c r="C254" s="263">
        <v>47999</v>
      </c>
      <c r="D254" s="157" t="s">
        <v>597</v>
      </c>
      <c r="E254" s="44">
        <v>28671</v>
      </c>
      <c r="F254" s="127" t="str">
        <f t="shared" si="20"/>
        <v>Date check - OK</v>
      </c>
      <c r="G254" s="1"/>
      <c r="H254" s="161"/>
      <c r="I254" s="37"/>
      <c r="J254" s="135">
        <f t="shared" si="21"/>
        <v>0.59839396822477431</v>
      </c>
      <c r="K254" s="112"/>
      <c r="L254" s="37">
        <v>448</v>
      </c>
      <c r="M254" s="37" t="s">
        <v>288</v>
      </c>
      <c r="N254" s="37">
        <v>624.71678416763677</v>
      </c>
      <c r="O254" s="130">
        <f t="shared" si="22"/>
        <v>279873.1193071013</v>
      </c>
      <c r="P254" s="132">
        <f t="shared" si="23"/>
        <v>167474.38646162205</v>
      </c>
      <c r="Q254" s="261">
        <v>1</v>
      </c>
      <c r="R254" s="92"/>
    </row>
    <row r="255" spans="1:18" x14ac:dyDescent="0.25">
      <c r="A255">
        <v>1978</v>
      </c>
      <c r="B255" t="s">
        <v>285</v>
      </c>
      <c r="C255" s="263">
        <v>47997</v>
      </c>
      <c r="D255" s="157" t="s">
        <v>598</v>
      </c>
      <c r="E255" s="44">
        <v>28671</v>
      </c>
      <c r="F255" s="127" t="str">
        <f t="shared" si="20"/>
        <v>Date check - OK</v>
      </c>
      <c r="G255" s="1"/>
      <c r="H255" s="161"/>
      <c r="I255" s="37"/>
      <c r="J255" s="135">
        <f t="shared" si="21"/>
        <v>0.59839396822477431</v>
      </c>
      <c r="K255" s="112"/>
      <c r="L255" s="37">
        <v>300</v>
      </c>
      <c r="M255" s="37" t="s">
        <v>288</v>
      </c>
      <c r="N255" s="37">
        <v>580.67669755529687</v>
      </c>
      <c r="O255" s="130">
        <f t="shared" si="22"/>
        <v>174203.00926658907</v>
      </c>
      <c r="P255" s="132">
        <f t="shared" si="23"/>
        <v>104242.02999173137</v>
      </c>
      <c r="Q255" s="261">
        <v>1</v>
      </c>
      <c r="R255" s="92"/>
    </row>
    <row r="256" spans="1:18" x14ac:dyDescent="0.25">
      <c r="A256">
        <v>1978</v>
      </c>
      <c r="B256" t="s">
        <v>285</v>
      </c>
      <c r="C256" s="263">
        <v>47997</v>
      </c>
      <c r="D256" s="157" t="s">
        <v>598</v>
      </c>
      <c r="E256" s="44">
        <v>28671</v>
      </c>
      <c r="F256" s="127" t="str">
        <f t="shared" si="20"/>
        <v>Date check - OK</v>
      </c>
      <c r="G256" s="1"/>
      <c r="H256" s="161"/>
      <c r="I256" s="37"/>
      <c r="J256" s="135">
        <f t="shared" si="21"/>
        <v>0.59839396822477431</v>
      </c>
      <c r="K256" s="112"/>
      <c r="L256" s="37">
        <v>902</v>
      </c>
      <c r="M256" s="37" t="s">
        <v>288</v>
      </c>
      <c r="N256" s="37">
        <v>494.22763864959256</v>
      </c>
      <c r="O256" s="130">
        <f t="shared" si="22"/>
        <v>445793.3300619325</v>
      </c>
      <c r="P256" s="132">
        <f t="shared" si="23"/>
        <v>266760.03978389635</v>
      </c>
      <c r="Q256" s="261">
        <v>1</v>
      </c>
      <c r="R256" s="92"/>
    </row>
    <row r="257" spans="1:18" x14ac:dyDescent="0.25">
      <c r="A257">
        <v>1979</v>
      </c>
      <c r="B257" t="s">
        <v>285</v>
      </c>
      <c r="C257" s="263">
        <v>37105</v>
      </c>
      <c r="D257" s="157" t="s">
        <v>599</v>
      </c>
      <c r="E257" s="44">
        <v>29036</v>
      </c>
      <c r="F257" s="127" t="str">
        <f t="shared" si="20"/>
        <v>Date check - OK</v>
      </c>
      <c r="G257" s="1"/>
      <c r="H257" s="161"/>
      <c r="I257" s="37"/>
      <c r="J257" s="135">
        <f t="shared" si="21"/>
        <v>0.59839396822477431</v>
      </c>
      <c r="K257" s="112"/>
      <c r="L257" s="37">
        <v>303</v>
      </c>
      <c r="M257" s="37" t="s">
        <v>288</v>
      </c>
      <c r="N257" s="37">
        <v>580.67669755529687</v>
      </c>
      <c r="O257" s="130">
        <f t="shared" si="22"/>
        <v>175945.03935925494</v>
      </c>
      <c r="P257" s="132">
        <f t="shared" si="23"/>
        <v>105284.45029164867</v>
      </c>
      <c r="Q257" s="261">
        <v>1</v>
      </c>
      <c r="R257" s="92"/>
    </row>
    <row r="258" spans="1:18" x14ac:dyDescent="0.25">
      <c r="A258">
        <v>1979</v>
      </c>
      <c r="B258" t="s">
        <v>285</v>
      </c>
      <c r="C258" s="263">
        <v>37105</v>
      </c>
      <c r="D258" s="157" t="s">
        <v>599</v>
      </c>
      <c r="E258" s="44">
        <v>29036</v>
      </c>
      <c r="F258" s="127" t="str">
        <f t="shared" si="20"/>
        <v>Date check - OK</v>
      </c>
      <c r="G258" s="1"/>
      <c r="H258" s="161"/>
      <c r="I258" s="37"/>
      <c r="J258" s="135">
        <f t="shared" si="21"/>
        <v>0.59839396822477431</v>
      </c>
      <c r="K258" s="112"/>
      <c r="L258" s="37">
        <v>485</v>
      </c>
      <c r="M258" s="37" t="s">
        <v>288</v>
      </c>
      <c r="N258" s="37">
        <v>624.71678416763677</v>
      </c>
      <c r="O258" s="130">
        <f t="shared" si="22"/>
        <v>302987.64032130386</v>
      </c>
      <c r="P258" s="132">
        <f t="shared" si="23"/>
        <v>181305.97641492565</v>
      </c>
      <c r="Q258" s="261">
        <v>1</v>
      </c>
      <c r="R258" s="92"/>
    </row>
    <row r="259" spans="1:18" x14ac:dyDescent="0.25">
      <c r="A259">
        <v>1979</v>
      </c>
      <c r="B259" t="s">
        <v>285</v>
      </c>
      <c r="C259" s="263">
        <v>48196</v>
      </c>
      <c r="D259" s="157" t="s">
        <v>599</v>
      </c>
      <c r="E259" s="44">
        <v>29036</v>
      </c>
      <c r="F259" s="127" t="str">
        <f t="shared" si="20"/>
        <v>Date check - OK</v>
      </c>
      <c r="G259" s="1"/>
      <c r="H259" s="161"/>
      <c r="I259" s="37"/>
      <c r="J259" s="135">
        <f t="shared" si="21"/>
        <v>0.59839396822477431</v>
      </c>
      <c r="K259" s="112"/>
      <c r="L259" s="37">
        <v>169</v>
      </c>
      <c r="M259" s="37" t="s">
        <v>288</v>
      </c>
      <c r="N259" s="37">
        <v>567.62778300349237</v>
      </c>
      <c r="O259" s="130">
        <f t="shared" si="22"/>
        <v>95929.095327590214</v>
      </c>
      <c r="P259" s="132">
        <f t="shared" si="23"/>
        <v>57403.392021289364</v>
      </c>
      <c r="Q259" s="261">
        <v>1</v>
      </c>
      <c r="R259" s="92"/>
    </row>
    <row r="260" spans="1:18" x14ac:dyDescent="0.25">
      <c r="A260">
        <v>1980</v>
      </c>
      <c r="B260" t="s">
        <v>285</v>
      </c>
      <c r="C260" s="263">
        <v>37235</v>
      </c>
      <c r="D260" s="157" t="s">
        <v>600</v>
      </c>
      <c r="E260" s="44">
        <v>29402</v>
      </c>
      <c r="F260" s="127" t="str">
        <f t="shared" si="20"/>
        <v>Date check - OK</v>
      </c>
      <c r="G260" s="1"/>
      <c r="H260" s="161"/>
      <c r="I260" s="37"/>
      <c r="J260" s="135">
        <f t="shared" si="21"/>
        <v>0.59839396822477431</v>
      </c>
      <c r="K260" s="112"/>
      <c r="L260" s="37">
        <v>765</v>
      </c>
      <c r="M260" s="37" t="s">
        <v>288</v>
      </c>
      <c r="N260" s="37">
        <v>639.39681303841667</v>
      </c>
      <c r="O260" s="130">
        <f t="shared" si="22"/>
        <v>489138.56197438872</v>
      </c>
      <c r="P260" s="132">
        <f t="shared" si="23"/>
        <v>292697.56511161418</v>
      </c>
      <c r="Q260" s="261">
        <v>1</v>
      </c>
      <c r="R260" s="92"/>
    </row>
    <row r="261" spans="1:18" x14ac:dyDescent="0.25">
      <c r="A261">
        <v>1983</v>
      </c>
      <c r="B261" t="s">
        <v>285</v>
      </c>
      <c r="C261" s="263">
        <v>37253</v>
      </c>
      <c r="D261" s="157" t="s">
        <v>601</v>
      </c>
      <c r="E261" s="44">
        <v>30497</v>
      </c>
      <c r="F261" s="127" t="str">
        <f t="shared" si="20"/>
        <v>Date check - OK</v>
      </c>
      <c r="G261" s="1"/>
      <c r="H261" s="161"/>
      <c r="I261" s="37"/>
      <c r="J261" s="135">
        <f t="shared" si="21"/>
        <v>0.59839396822477431</v>
      </c>
      <c r="K261" s="112"/>
      <c r="L261" s="37">
        <v>371</v>
      </c>
      <c r="M261" s="37" t="s">
        <v>288</v>
      </c>
      <c r="N261" s="37">
        <v>1149.9355948777647</v>
      </c>
      <c r="O261" s="130">
        <f t="shared" si="22"/>
        <v>426626.10569965071</v>
      </c>
      <c r="P261" s="132">
        <f t="shared" si="23"/>
        <v>255290.48833789598</v>
      </c>
      <c r="Q261" s="261">
        <v>1</v>
      </c>
      <c r="R261" s="92"/>
    </row>
    <row r="262" spans="1:18" x14ac:dyDescent="0.25">
      <c r="A262">
        <v>1983</v>
      </c>
      <c r="B262" t="s">
        <v>285</v>
      </c>
      <c r="C262" s="263">
        <v>37253</v>
      </c>
      <c r="D262" s="157" t="s">
        <v>601</v>
      </c>
      <c r="E262" s="44">
        <v>30497</v>
      </c>
      <c r="F262" s="127" t="str">
        <f t="shared" si="20"/>
        <v>Date check - OK</v>
      </c>
      <c r="G262" s="1"/>
      <c r="H262" s="161"/>
      <c r="I262" s="37"/>
      <c r="J262" s="135">
        <f t="shared" si="21"/>
        <v>0.59839396822477431</v>
      </c>
      <c r="K262" s="112"/>
      <c r="L262" s="37">
        <v>237</v>
      </c>
      <c r="M262" s="37" t="s">
        <v>288</v>
      </c>
      <c r="N262" s="37">
        <v>1024.3397923166472</v>
      </c>
      <c r="O262" s="130">
        <f t="shared" si="22"/>
        <v>242768.53077904537</v>
      </c>
      <c r="P262" s="132">
        <f t="shared" si="23"/>
        <v>145271.2244929712</v>
      </c>
      <c r="Q262" s="261">
        <v>1</v>
      </c>
      <c r="R262" s="92"/>
    </row>
    <row r="263" spans="1:18" x14ac:dyDescent="0.25">
      <c r="A263">
        <v>1983</v>
      </c>
      <c r="B263" t="s">
        <v>285</v>
      </c>
      <c r="C263" s="263" t="s">
        <v>602</v>
      </c>
      <c r="D263" s="157" t="s">
        <v>601</v>
      </c>
      <c r="E263" s="44">
        <v>30497</v>
      </c>
      <c r="F263" s="127" t="str">
        <f t="shared" si="20"/>
        <v>Date check - OK</v>
      </c>
      <c r="G263" s="1"/>
      <c r="H263" s="161"/>
      <c r="I263" s="37"/>
      <c r="J263" s="135">
        <f t="shared" si="21"/>
        <v>0.59839396822477431</v>
      </c>
      <c r="K263" s="112"/>
      <c r="L263" s="37">
        <v>308</v>
      </c>
      <c r="M263" s="37" t="s">
        <v>288</v>
      </c>
      <c r="N263" s="37">
        <v>950.93964796274736</v>
      </c>
      <c r="O263" s="130">
        <f t="shared" si="22"/>
        <v>292889.41157252621</v>
      </c>
      <c r="P263" s="132">
        <f t="shared" si="23"/>
        <v>175263.25724190311</v>
      </c>
      <c r="Q263" s="261">
        <v>1</v>
      </c>
      <c r="R263" s="92"/>
    </row>
    <row r="264" spans="1:18" x14ac:dyDescent="0.25">
      <c r="A264">
        <v>1983</v>
      </c>
      <c r="B264" t="s">
        <v>285</v>
      </c>
      <c r="C264" s="263">
        <v>37252</v>
      </c>
      <c r="D264" s="157" t="s">
        <v>603</v>
      </c>
      <c r="E264" s="44">
        <v>30497</v>
      </c>
      <c r="F264" s="127" t="str">
        <f t="shared" si="20"/>
        <v>Date check - OK</v>
      </c>
      <c r="G264" s="1"/>
      <c r="H264" s="161"/>
      <c r="I264" s="37"/>
      <c r="J264" s="135">
        <f t="shared" si="21"/>
        <v>0.59839396822477431</v>
      </c>
      <c r="K264" s="112"/>
      <c r="L264" s="37">
        <v>1168</v>
      </c>
      <c r="M264" s="37" t="s">
        <v>288</v>
      </c>
      <c r="N264" s="37">
        <v>2378.164677066356</v>
      </c>
      <c r="O264" s="130">
        <f t="shared" si="22"/>
        <v>2777696.3428135039</v>
      </c>
      <c r="P264" s="132">
        <f t="shared" si="23"/>
        <v>1662156.7370996156</v>
      </c>
      <c r="Q264" s="261">
        <v>1</v>
      </c>
      <c r="R264" s="92"/>
    </row>
    <row r="265" spans="1:18" x14ac:dyDescent="0.25">
      <c r="A265">
        <v>1983</v>
      </c>
      <c r="B265" t="s">
        <v>285</v>
      </c>
      <c r="C265" s="263">
        <v>37170</v>
      </c>
      <c r="D265" s="157" t="s">
        <v>604</v>
      </c>
      <c r="E265" s="44">
        <v>30497</v>
      </c>
      <c r="F265" s="127" t="str">
        <f t="shared" si="20"/>
        <v>Date check - OK</v>
      </c>
      <c r="G265" s="1"/>
      <c r="H265" s="161"/>
      <c r="I265" s="37"/>
      <c r="J265" s="135">
        <f t="shared" si="21"/>
        <v>0.59839396822477431</v>
      </c>
      <c r="K265" s="112"/>
      <c r="L265" s="37">
        <v>1320</v>
      </c>
      <c r="M265" s="37" t="s">
        <v>288</v>
      </c>
      <c r="N265" s="37">
        <v>1386.4471711292199</v>
      </c>
      <c r="O265" s="130">
        <f t="shared" si="22"/>
        <v>1830110.2658905704</v>
      </c>
      <c r="P265" s="132">
        <f t="shared" si="23"/>
        <v>1095126.9442951551</v>
      </c>
      <c r="Q265" s="261">
        <v>1</v>
      </c>
      <c r="R265" s="92"/>
    </row>
    <row r="266" spans="1:18" x14ac:dyDescent="0.25">
      <c r="A266">
        <v>1983</v>
      </c>
      <c r="B266" t="s">
        <v>285</v>
      </c>
      <c r="C266" s="263">
        <v>37170</v>
      </c>
      <c r="D266" s="157" t="s">
        <v>604</v>
      </c>
      <c r="E266" s="44">
        <v>30497</v>
      </c>
      <c r="F266" s="127" t="str">
        <f t="shared" si="20"/>
        <v>Date check - OK</v>
      </c>
      <c r="G266" s="1"/>
      <c r="H266" s="161"/>
      <c r="I266" s="37"/>
      <c r="J266" s="135">
        <f t="shared" si="21"/>
        <v>0.59839396822477431</v>
      </c>
      <c r="K266" s="112"/>
      <c r="L266" s="37">
        <v>420</v>
      </c>
      <c r="M266" s="37" t="s">
        <v>288</v>
      </c>
      <c r="N266" s="37">
        <v>1149.9355948777647</v>
      </c>
      <c r="O266" s="130">
        <f t="shared" si="22"/>
        <v>482972.9498486612</v>
      </c>
      <c r="P266" s="132">
        <f t="shared" si="23"/>
        <v>289008.10000516527</v>
      </c>
      <c r="Q266" s="261">
        <v>1</v>
      </c>
      <c r="R266" s="92"/>
    </row>
    <row r="267" spans="1:18" x14ac:dyDescent="0.25">
      <c r="A267">
        <v>1983</v>
      </c>
      <c r="B267" t="s">
        <v>285</v>
      </c>
      <c r="C267" s="263">
        <v>59993</v>
      </c>
      <c r="D267" s="157" t="s">
        <v>605</v>
      </c>
      <c r="E267" s="44">
        <v>30497</v>
      </c>
      <c r="F267" s="127" t="str">
        <f t="shared" si="20"/>
        <v>Date check - OK</v>
      </c>
      <c r="G267" s="1"/>
      <c r="H267" s="161"/>
      <c r="I267" s="37"/>
      <c r="J267" s="135">
        <f t="shared" si="21"/>
        <v>0.59839396822477431</v>
      </c>
      <c r="K267" s="112"/>
      <c r="L267" s="37">
        <v>572</v>
      </c>
      <c r="M267" s="37" t="s">
        <v>288</v>
      </c>
      <c r="N267" s="37">
        <v>685.06801396973219</v>
      </c>
      <c r="O267" s="130">
        <f t="shared" si="22"/>
        <v>391858.90399068681</v>
      </c>
      <c r="P267" s="132">
        <f t="shared" si="23"/>
        <v>35172.900681479689</v>
      </c>
      <c r="Q267" s="261">
        <v>0.15</v>
      </c>
      <c r="R267" s="92"/>
    </row>
    <row r="268" spans="1:18" x14ac:dyDescent="0.25">
      <c r="A268">
        <v>1983</v>
      </c>
      <c r="B268" t="s">
        <v>285</v>
      </c>
      <c r="C268" s="263" t="s">
        <v>606</v>
      </c>
      <c r="D268" s="157" t="s">
        <v>607</v>
      </c>
      <c r="E268" s="44">
        <v>30497</v>
      </c>
      <c r="F268" s="127" t="str">
        <f t="shared" si="20"/>
        <v>Date check - OK</v>
      </c>
      <c r="G268" s="1"/>
      <c r="H268" s="161"/>
      <c r="I268" s="37"/>
      <c r="J268" s="135">
        <f t="shared" si="21"/>
        <v>0.59839396822477431</v>
      </c>
      <c r="K268" s="112"/>
      <c r="L268" s="37">
        <v>94</v>
      </c>
      <c r="M268" s="37" t="s">
        <v>288</v>
      </c>
      <c r="N268" s="37">
        <v>751.94370104772986</v>
      </c>
      <c r="O268" s="130">
        <f t="shared" si="22"/>
        <v>70682.707898486609</v>
      </c>
      <c r="P268" s="132">
        <f t="shared" si="23"/>
        <v>5075.5327277097595</v>
      </c>
      <c r="Q268" s="261">
        <v>0.12</v>
      </c>
      <c r="R268" s="92"/>
    </row>
    <row r="269" spans="1:18" x14ac:dyDescent="0.25">
      <c r="A269">
        <v>1984</v>
      </c>
      <c r="B269" t="s">
        <v>285</v>
      </c>
      <c r="C269" s="263" t="s">
        <v>608</v>
      </c>
      <c r="D269" s="157" t="s">
        <v>605</v>
      </c>
      <c r="E269" s="44">
        <v>30863</v>
      </c>
      <c r="F269" s="127" t="str">
        <f t="shared" si="20"/>
        <v>Date check - OK</v>
      </c>
      <c r="G269" s="1"/>
      <c r="H269" s="161"/>
      <c r="I269" s="37"/>
      <c r="J269" s="135">
        <f t="shared" si="21"/>
        <v>0.59839396822477431</v>
      </c>
      <c r="K269" s="112"/>
      <c r="L269" s="37">
        <v>121</v>
      </c>
      <c r="M269" s="37" t="s">
        <v>288</v>
      </c>
      <c r="N269" s="37">
        <v>567.62778300349237</v>
      </c>
      <c r="O269" s="130">
        <f t="shared" si="22"/>
        <v>68682.96174342258</v>
      </c>
      <c r="P269" s="132">
        <f t="shared" si="23"/>
        <v>9041.8834059569417</v>
      </c>
      <c r="Q269" s="261">
        <v>0.22</v>
      </c>
      <c r="R269" s="92"/>
    </row>
    <row r="270" spans="1:18" x14ac:dyDescent="0.25">
      <c r="A270">
        <v>1984</v>
      </c>
      <c r="B270" t="s">
        <v>285</v>
      </c>
      <c r="C270" s="263">
        <v>37566</v>
      </c>
      <c r="D270" s="157" t="s">
        <v>609</v>
      </c>
      <c r="E270" s="44">
        <v>30863</v>
      </c>
      <c r="F270" s="127" t="str">
        <f t="shared" si="20"/>
        <v>Date check - OK</v>
      </c>
      <c r="G270" s="1"/>
      <c r="H270" s="161"/>
      <c r="I270" s="37"/>
      <c r="J270" s="135">
        <f t="shared" si="21"/>
        <v>0.59839396822477431</v>
      </c>
      <c r="K270" s="112"/>
      <c r="L270" s="37">
        <v>294</v>
      </c>
      <c r="M270" s="37" t="s">
        <v>288</v>
      </c>
      <c r="N270" s="37">
        <v>1149.9355948777647</v>
      </c>
      <c r="O270" s="130">
        <f t="shared" si="22"/>
        <v>338081.06489406282</v>
      </c>
      <c r="P270" s="132">
        <f t="shared" si="23"/>
        <v>202305.6700036157</v>
      </c>
      <c r="Q270" s="261">
        <v>1</v>
      </c>
      <c r="R270" s="92"/>
    </row>
    <row r="271" spans="1:18" x14ac:dyDescent="0.25">
      <c r="A271">
        <v>1984</v>
      </c>
      <c r="B271" t="s">
        <v>285</v>
      </c>
      <c r="C271" s="263">
        <v>37566</v>
      </c>
      <c r="D271" s="157" t="s">
        <v>609</v>
      </c>
      <c r="E271" s="44">
        <v>30863</v>
      </c>
      <c r="F271" s="127" t="str">
        <f t="shared" si="20"/>
        <v>Date check - OK</v>
      </c>
      <c r="G271" s="1"/>
      <c r="H271" s="161"/>
      <c r="I271" s="37"/>
      <c r="J271" s="135">
        <f t="shared" si="21"/>
        <v>0.59839396822477431</v>
      </c>
      <c r="K271" s="112"/>
      <c r="L271" s="37">
        <v>90</v>
      </c>
      <c r="M271" s="37" t="s">
        <v>288</v>
      </c>
      <c r="N271" s="37">
        <v>468.12980954598368</v>
      </c>
      <c r="O271" s="130">
        <f t="shared" si="22"/>
        <v>42131.682859138527</v>
      </c>
      <c r="P271" s="132">
        <f t="shared" si="23"/>
        <v>25211.34489406761</v>
      </c>
      <c r="Q271" s="261">
        <v>1</v>
      </c>
      <c r="R271" s="92"/>
    </row>
    <row r="272" spans="1:18" x14ac:dyDescent="0.25">
      <c r="A272">
        <v>1984</v>
      </c>
      <c r="B272" t="s">
        <v>285</v>
      </c>
      <c r="C272" s="263">
        <v>37566</v>
      </c>
      <c r="D272" s="157" t="s">
        <v>609</v>
      </c>
      <c r="E272" s="44">
        <v>30863</v>
      </c>
      <c r="F272" s="127" t="str">
        <f t="shared" si="20"/>
        <v>Date check - OK</v>
      </c>
      <c r="G272" s="1"/>
      <c r="H272" s="161"/>
      <c r="I272" s="37"/>
      <c r="J272" s="135">
        <f t="shared" si="21"/>
        <v>0.59839396822477431</v>
      </c>
      <c r="K272" s="112"/>
      <c r="L272" s="37">
        <v>137</v>
      </c>
      <c r="M272" s="37" t="s">
        <v>288</v>
      </c>
      <c r="N272" s="37">
        <v>494.22763864959256</v>
      </c>
      <c r="O272" s="130">
        <f t="shared" si="22"/>
        <v>67709.186494994181</v>
      </c>
      <c r="P272" s="132">
        <f t="shared" si="23"/>
        <v>40516.768792010866</v>
      </c>
      <c r="Q272" s="261">
        <v>1</v>
      </c>
      <c r="R272" s="92"/>
    </row>
    <row r="273" spans="1:18" x14ac:dyDescent="0.25">
      <c r="A273">
        <v>1984</v>
      </c>
      <c r="B273" t="s">
        <v>285</v>
      </c>
      <c r="C273" s="263" t="s">
        <v>610</v>
      </c>
      <c r="D273" s="157" t="s">
        <v>611</v>
      </c>
      <c r="E273" s="44">
        <v>30863</v>
      </c>
      <c r="F273" s="127" t="str">
        <f t="shared" si="20"/>
        <v>Date check - OK</v>
      </c>
      <c r="G273" s="1"/>
      <c r="H273" s="161"/>
      <c r="I273" s="37"/>
      <c r="J273" s="135">
        <f t="shared" si="21"/>
        <v>0.59839396822477431</v>
      </c>
      <c r="K273" s="112"/>
      <c r="L273" s="37">
        <v>229</v>
      </c>
      <c r="M273" s="37" t="s">
        <v>288</v>
      </c>
      <c r="N273" s="37">
        <v>520.32546775320145</v>
      </c>
      <c r="O273" s="130">
        <f t="shared" si="22"/>
        <v>119154.53211548313</v>
      </c>
      <c r="P273" s="132">
        <f t="shared" si="23"/>
        <v>10695.202995682541</v>
      </c>
      <c r="Q273" s="261">
        <v>0.15</v>
      </c>
      <c r="R273" s="92"/>
    </row>
    <row r="274" spans="1:18" x14ac:dyDescent="0.25">
      <c r="A274">
        <v>1984</v>
      </c>
      <c r="B274" t="s">
        <v>285</v>
      </c>
      <c r="C274" s="263" t="s">
        <v>610</v>
      </c>
      <c r="D274" s="157" t="s">
        <v>611</v>
      </c>
      <c r="E274" s="44">
        <v>30863</v>
      </c>
      <c r="F274" s="127" t="str">
        <f t="shared" si="20"/>
        <v>Date check - OK</v>
      </c>
      <c r="G274" s="1"/>
      <c r="H274" s="161"/>
      <c r="I274" s="37"/>
      <c r="J274" s="135">
        <f t="shared" si="21"/>
        <v>0.59839396822477431</v>
      </c>
      <c r="K274" s="112"/>
      <c r="L274" s="37">
        <v>185</v>
      </c>
      <c r="M274" s="37" t="s">
        <v>288</v>
      </c>
      <c r="N274" s="37">
        <v>494.22763864959256</v>
      </c>
      <c r="O274" s="130">
        <f t="shared" si="22"/>
        <v>91432.113150174628</v>
      </c>
      <c r="P274" s="132">
        <f t="shared" si="23"/>
        <v>19149.348753888349</v>
      </c>
      <c r="Q274" s="261">
        <v>0.35</v>
      </c>
      <c r="R274" s="92"/>
    </row>
    <row r="275" spans="1:18" x14ac:dyDescent="0.25">
      <c r="A275">
        <v>1985</v>
      </c>
      <c r="B275" t="s">
        <v>285</v>
      </c>
      <c r="C275" s="263">
        <v>37338</v>
      </c>
      <c r="D275" s="157" t="s">
        <v>612</v>
      </c>
      <c r="E275" s="44">
        <v>31228</v>
      </c>
      <c r="F275" s="127" t="str">
        <f t="shared" si="20"/>
        <v>Date check - OK</v>
      </c>
      <c r="G275" s="1"/>
      <c r="H275" s="161"/>
      <c r="I275" s="37"/>
      <c r="J275" s="135">
        <f t="shared" si="21"/>
        <v>0.59839396822477431</v>
      </c>
      <c r="K275" s="112"/>
      <c r="L275" s="37">
        <v>1022</v>
      </c>
      <c r="M275" s="37" t="s">
        <v>288</v>
      </c>
      <c r="N275" s="37">
        <v>2210.1599022118739</v>
      </c>
      <c r="O275" s="130">
        <f t="shared" si="22"/>
        <v>2258783.420060535</v>
      </c>
      <c r="P275" s="132">
        <f t="shared" si="23"/>
        <v>1351642.3740903507</v>
      </c>
      <c r="Q275" s="261">
        <v>1</v>
      </c>
      <c r="R275" s="92"/>
    </row>
    <row r="276" spans="1:18" x14ac:dyDescent="0.25">
      <c r="A276">
        <v>1985</v>
      </c>
      <c r="B276" t="s">
        <v>285</v>
      </c>
      <c r="C276" s="263">
        <v>37564</v>
      </c>
      <c r="D276" s="157" t="s">
        <v>613</v>
      </c>
      <c r="E276" s="44">
        <v>31228</v>
      </c>
      <c r="F276" s="127" t="str">
        <f t="shared" si="20"/>
        <v>Date check - OK</v>
      </c>
      <c r="G276" s="1"/>
      <c r="H276" s="161"/>
      <c r="I276" s="37"/>
      <c r="J276" s="135">
        <f t="shared" si="21"/>
        <v>0.59839396822477431</v>
      </c>
      <c r="K276" s="112"/>
      <c r="L276" s="37">
        <v>341</v>
      </c>
      <c r="M276" s="37" t="s">
        <v>288</v>
      </c>
      <c r="N276" s="37">
        <v>709.53472875436546</v>
      </c>
      <c r="O276" s="130">
        <f t="shared" si="22"/>
        <v>241951.34250523863</v>
      </c>
      <c r="P276" s="132">
        <f t="shared" si="23"/>
        <v>144782.22395902124</v>
      </c>
      <c r="Q276" s="261">
        <v>1</v>
      </c>
      <c r="R276" s="92"/>
    </row>
    <row r="277" spans="1:18" x14ac:dyDescent="0.25">
      <c r="A277">
        <v>1985</v>
      </c>
      <c r="B277" t="s">
        <v>285</v>
      </c>
      <c r="C277" s="263">
        <v>37564</v>
      </c>
      <c r="D277" s="157" t="s">
        <v>613</v>
      </c>
      <c r="E277" s="44">
        <v>31228</v>
      </c>
      <c r="F277" s="127" t="str">
        <f t="shared" si="20"/>
        <v>Date check - OK</v>
      </c>
      <c r="G277" s="1"/>
      <c r="H277" s="161"/>
      <c r="I277" s="37"/>
      <c r="J277" s="135">
        <f t="shared" si="21"/>
        <v>0.59839396822477431</v>
      </c>
      <c r="K277" s="112"/>
      <c r="L277" s="37">
        <v>705</v>
      </c>
      <c r="M277" s="37" t="s">
        <v>288</v>
      </c>
      <c r="N277" s="37">
        <v>685.06801396973219</v>
      </c>
      <c r="O277" s="130">
        <f t="shared" si="22"/>
        <v>482972.9498486612</v>
      </c>
      <c r="P277" s="132">
        <f t="shared" si="23"/>
        <v>289008.10000516527</v>
      </c>
      <c r="Q277" s="261">
        <v>1</v>
      </c>
      <c r="R277" s="92"/>
    </row>
    <row r="278" spans="1:18" x14ac:dyDescent="0.25">
      <c r="A278">
        <v>1986</v>
      </c>
      <c r="B278" t="s">
        <v>285</v>
      </c>
      <c r="C278" s="263">
        <v>37565</v>
      </c>
      <c r="D278" s="157" t="s">
        <v>614</v>
      </c>
      <c r="E278" s="44">
        <v>31593</v>
      </c>
      <c r="F278" s="127" t="str">
        <f t="shared" si="20"/>
        <v>Date check - OK</v>
      </c>
      <c r="G278" s="1"/>
      <c r="H278" s="161"/>
      <c r="I278" s="37"/>
      <c r="J278" s="135">
        <f t="shared" si="21"/>
        <v>0.59839396822477431</v>
      </c>
      <c r="K278" s="112"/>
      <c r="L278" s="37">
        <v>721</v>
      </c>
      <c r="M278" s="37" t="s">
        <v>288</v>
      </c>
      <c r="N278" s="37">
        <v>2471.1381932479626</v>
      </c>
      <c r="O278" s="130">
        <f t="shared" si="22"/>
        <v>1781690.637331781</v>
      </c>
      <c r="P278" s="132">
        <f t="shared" si="23"/>
        <v>1066152.9306218917</v>
      </c>
      <c r="Q278" s="261">
        <v>1</v>
      </c>
      <c r="R278" s="92"/>
    </row>
    <row r="279" spans="1:18" x14ac:dyDescent="0.25">
      <c r="A279">
        <v>1986</v>
      </c>
      <c r="B279" t="s">
        <v>285</v>
      </c>
      <c r="C279" s="263">
        <v>37565</v>
      </c>
      <c r="D279" s="157" t="s">
        <v>614</v>
      </c>
      <c r="E279" s="44">
        <v>31593</v>
      </c>
      <c r="F279" s="127" t="str">
        <f t="shared" si="20"/>
        <v>Date check - OK</v>
      </c>
      <c r="G279" s="1"/>
      <c r="H279" s="161"/>
      <c r="I279" s="37"/>
      <c r="J279" s="135">
        <f t="shared" si="21"/>
        <v>0.59839396822477431</v>
      </c>
      <c r="K279" s="112"/>
      <c r="L279" s="37">
        <v>566</v>
      </c>
      <c r="M279" s="37" t="s">
        <v>288</v>
      </c>
      <c r="N279" s="37">
        <v>1764.8656931315481</v>
      </c>
      <c r="O279" s="130">
        <f t="shared" si="22"/>
        <v>998913.98231245624</v>
      </c>
      <c r="P279" s="132">
        <f t="shared" si="23"/>
        <v>597744.10179116274</v>
      </c>
      <c r="Q279" s="261">
        <v>1</v>
      </c>
      <c r="R279" s="92"/>
    </row>
    <row r="280" spans="1:18" x14ac:dyDescent="0.25">
      <c r="A280">
        <v>1986</v>
      </c>
      <c r="B280" t="s">
        <v>285</v>
      </c>
      <c r="C280" s="263">
        <v>37565</v>
      </c>
      <c r="D280" s="157" t="s">
        <v>614</v>
      </c>
      <c r="E280" s="44">
        <v>31593</v>
      </c>
      <c r="F280" s="127" t="str">
        <f t="shared" ref="F280:F343" si="24">IF(E280="","-",IF(OR(E280&lt;$E$15,E280&gt;$E$16),"ERROR - date outside of range","Date check - OK"))</f>
        <v>Date check - OK</v>
      </c>
      <c r="G280" s="1"/>
      <c r="H280" s="161"/>
      <c r="I280" s="37"/>
      <c r="J280" s="135">
        <f t="shared" ref="J280:J343" si="25">J279</f>
        <v>0.59839396822477431</v>
      </c>
      <c r="K280" s="112"/>
      <c r="L280" s="37">
        <v>121</v>
      </c>
      <c r="M280" s="37" t="s">
        <v>288</v>
      </c>
      <c r="N280" s="37">
        <v>1386.4471711292199</v>
      </c>
      <c r="O280" s="130">
        <f t="shared" si="22"/>
        <v>167760.10770663561</v>
      </c>
      <c r="P280" s="132">
        <f t="shared" si="23"/>
        <v>100386.63656038922</v>
      </c>
      <c r="Q280" s="261">
        <v>1</v>
      </c>
      <c r="R280" s="92"/>
    </row>
    <row r="281" spans="1:18" x14ac:dyDescent="0.25">
      <c r="A281">
        <v>1986</v>
      </c>
      <c r="B281" t="s">
        <v>285</v>
      </c>
      <c r="C281" s="263" t="s">
        <v>615</v>
      </c>
      <c r="D281" s="157" t="s">
        <v>616</v>
      </c>
      <c r="E281" s="44">
        <v>31593</v>
      </c>
      <c r="F281" s="127" t="str">
        <f t="shared" si="24"/>
        <v>Date check - OK</v>
      </c>
      <c r="G281" s="1"/>
      <c r="H281" s="161"/>
      <c r="I281" s="37"/>
      <c r="J281" s="135">
        <f t="shared" si="25"/>
        <v>0.59839396822477431</v>
      </c>
      <c r="K281" s="112"/>
      <c r="L281" s="37">
        <v>682</v>
      </c>
      <c r="M281" s="37" t="s">
        <v>288</v>
      </c>
      <c r="N281" s="37">
        <v>709.53472875436546</v>
      </c>
      <c r="O281" s="130">
        <f t="shared" si="22"/>
        <v>483902.68501047726</v>
      </c>
      <c r="P281" s="132">
        <f t="shared" si="23"/>
        <v>20269.511354262977</v>
      </c>
      <c r="Q281" s="261">
        <v>7.0000000000000007E-2</v>
      </c>
      <c r="R281" s="92"/>
    </row>
    <row r="282" spans="1:18" x14ac:dyDescent="0.25">
      <c r="A282">
        <v>1986</v>
      </c>
      <c r="B282" t="s">
        <v>285</v>
      </c>
      <c r="C282" s="263" t="s">
        <v>615</v>
      </c>
      <c r="D282" s="157" t="s">
        <v>616</v>
      </c>
      <c r="E282" s="44">
        <v>31593</v>
      </c>
      <c r="F282" s="127" t="str">
        <f t="shared" si="24"/>
        <v>Date check - OK</v>
      </c>
      <c r="G282" s="1"/>
      <c r="H282" s="161"/>
      <c r="I282" s="37"/>
      <c r="J282" s="135">
        <f t="shared" si="25"/>
        <v>0.59839396822477431</v>
      </c>
      <c r="K282" s="112"/>
      <c r="L282" s="37">
        <v>230</v>
      </c>
      <c r="M282" s="37" t="s">
        <v>288</v>
      </c>
      <c r="N282" s="37">
        <v>685.06801396973219</v>
      </c>
      <c r="O282" s="130">
        <f t="shared" si="22"/>
        <v>157565.64321303839</v>
      </c>
      <c r="P282" s="132">
        <f t="shared" si="23"/>
        <v>14142.949574720853</v>
      </c>
      <c r="Q282" s="261">
        <v>0.15</v>
      </c>
      <c r="R282" s="92"/>
    </row>
    <row r="283" spans="1:18" x14ac:dyDescent="0.25">
      <c r="A283">
        <v>1986</v>
      </c>
      <c r="B283" t="s">
        <v>285</v>
      </c>
      <c r="C283" s="263">
        <v>37293</v>
      </c>
      <c r="D283" s="157" t="s">
        <v>617</v>
      </c>
      <c r="E283" s="44">
        <v>31593</v>
      </c>
      <c r="F283" s="127" t="str">
        <f t="shared" si="24"/>
        <v>Date check - OK</v>
      </c>
      <c r="G283" s="1"/>
      <c r="H283" s="161"/>
      <c r="I283" s="37"/>
      <c r="J283" s="135">
        <f t="shared" si="25"/>
        <v>0.59839396822477431</v>
      </c>
      <c r="K283" s="112"/>
      <c r="L283" s="37">
        <v>195</v>
      </c>
      <c r="M283" s="37" t="s">
        <v>288</v>
      </c>
      <c r="N283" s="37">
        <v>1074.9043362048894</v>
      </c>
      <c r="O283" s="130">
        <f t="shared" si="22"/>
        <v>209606.34555995345</v>
      </c>
      <c r="P283" s="132">
        <f t="shared" si="23"/>
        <v>125427.17288471384</v>
      </c>
      <c r="Q283" s="261">
        <v>1</v>
      </c>
      <c r="R283" s="92"/>
    </row>
    <row r="284" spans="1:18" x14ac:dyDescent="0.25">
      <c r="A284">
        <v>1986</v>
      </c>
      <c r="B284" t="s">
        <v>285</v>
      </c>
      <c r="C284" s="263">
        <v>37293</v>
      </c>
      <c r="D284" s="157" t="s">
        <v>617</v>
      </c>
      <c r="E284" s="44">
        <v>31593</v>
      </c>
      <c r="F284" s="127" t="str">
        <f t="shared" si="24"/>
        <v>Date check - OK</v>
      </c>
      <c r="G284" s="1"/>
      <c r="H284" s="161"/>
      <c r="I284" s="37"/>
      <c r="J284" s="135">
        <f t="shared" si="25"/>
        <v>0.59839396822477431</v>
      </c>
      <c r="K284" s="112"/>
      <c r="L284" s="37">
        <v>1050</v>
      </c>
      <c r="M284" s="37" t="s">
        <v>288</v>
      </c>
      <c r="N284" s="37">
        <v>1024.3397923166472</v>
      </c>
      <c r="O284" s="130">
        <f t="shared" si="22"/>
        <v>1075556.7819324795</v>
      </c>
      <c r="P284" s="132">
        <f t="shared" si="23"/>
        <v>643606.69079164462</v>
      </c>
      <c r="Q284" s="261">
        <v>1</v>
      </c>
      <c r="R284" s="92"/>
    </row>
    <row r="285" spans="1:18" x14ac:dyDescent="0.25">
      <c r="A285">
        <v>1986</v>
      </c>
      <c r="B285" t="s">
        <v>285</v>
      </c>
      <c r="C285" s="263">
        <v>37293</v>
      </c>
      <c r="D285" s="157" t="s">
        <v>617</v>
      </c>
      <c r="E285" s="44">
        <v>31593</v>
      </c>
      <c r="F285" s="127" t="str">
        <f t="shared" si="24"/>
        <v>Date check - OK</v>
      </c>
      <c r="G285" s="1"/>
      <c r="H285" s="161"/>
      <c r="I285" s="37"/>
      <c r="J285" s="135">
        <f t="shared" si="25"/>
        <v>0.59839396822477431</v>
      </c>
      <c r="K285" s="112"/>
      <c r="L285" s="37">
        <v>21</v>
      </c>
      <c r="M285" s="37" t="s">
        <v>288</v>
      </c>
      <c r="N285" s="37">
        <v>1096.1088223515715</v>
      </c>
      <c r="O285" s="130">
        <f t="shared" si="22"/>
        <v>23018.285269382999</v>
      </c>
      <c r="P285" s="132">
        <f t="shared" si="23"/>
        <v>13774.003064075961</v>
      </c>
      <c r="Q285" s="261">
        <v>1</v>
      </c>
      <c r="R285" s="92"/>
    </row>
    <row r="286" spans="1:18" x14ac:dyDescent="0.25">
      <c r="A286">
        <v>1986</v>
      </c>
      <c r="B286" t="s">
        <v>285</v>
      </c>
      <c r="C286" s="263">
        <v>37293</v>
      </c>
      <c r="D286" s="157" t="s">
        <v>617</v>
      </c>
      <c r="E286" s="44">
        <v>31593</v>
      </c>
      <c r="F286" s="127" t="str">
        <f t="shared" si="24"/>
        <v>Date check - OK</v>
      </c>
      <c r="G286" s="1"/>
      <c r="H286" s="161"/>
      <c r="I286" s="37"/>
      <c r="J286" s="135">
        <f t="shared" si="25"/>
        <v>0.59839396822477431</v>
      </c>
      <c r="K286" s="112"/>
      <c r="L286" s="37">
        <v>531</v>
      </c>
      <c r="M286" s="37" t="s">
        <v>288</v>
      </c>
      <c r="N286" s="37">
        <v>685.06801396973219</v>
      </c>
      <c r="O286" s="130">
        <f t="shared" si="22"/>
        <v>363771.11541792779</v>
      </c>
      <c r="P286" s="132">
        <f t="shared" si="23"/>
        <v>217678.44128048618</v>
      </c>
      <c r="Q286" s="261">
        <v>1</v>
      </c>
      <c r="R286" s="92"/>
    </row>
    <row r="287" spans="1:18" x14ac:dyDescent="0.25">
      <c r="A287">
        <v>1986</v>
      </c>
      <c r="B287" t="s">
        <v>285</v>
      </c>
      <c r="C287" s="263">
        <v>37292</v>
      </c>
      <c r="D287" s="157" t="s">
        <v>618</v>
      </c>
      <c r="E287" s="44">
        <v>31593</v>
      </c>
      <c r="F287" s="127" t="str">
        <f t="shared" si="24"/>
        <v>Date check - OK</v>
      </c>
      <c r="G287" s="1"/>
      <c r="H287" s="161"/>
      <c r="I287" s="37"/>
      <c r="J287" s="135">
        <f t="shared" si="25"/>
        <v>0.59839396822477431</v>
      </c>
      <c r="K287" s="112"/>
      <c r="L287" s="37">
        <v>561</v>
      </c>
      <c r="M287" s="37" t="s">
        <v>288</v>
      </c>
      <c r="N287" s="37">
        <v>1386.4471711292199</v>
      </c>
      <c r="O287" s="130">
        <f t="shared" si="22"/>
        <v>777796.86300349236</v>
      </c>
      <c r="P287" s="132">
        <f t="shared" si="23"/>
        <v>465428.95132544095</v>
      </c>
      <c r="Q287" s="261">
        <v>1</v>
      </c>
      <c r="R287" s="92"/>
    </row>
    <row r="288" spans="1:18" x14ac:dyDescent="0.25">
      <c r="A288">
        <v>1986</v>
      </c>
      <c r="B288" t="s">
        <v>285</v>
      </c>
      <c r="C288" s="263">
        <v>37292</v>
      </c>
      <c r="D288" s="157" t="s">
        <v>618</v>
      </c>
      <c r="E288" s="44">
        <v>31593</v>
      </c>
      <c r="F288" s="127" t="str">
        <f t="shared" si="24"/>
        <v>Date check - OK</v>
      </c>
      <c r="G288" s="1"/>
      <c r="H288" s="161"/>
      <c r="I288" s="37"/>
      <c r="J288" s="135">
        <f t="shared" si="25"/>
        <v>0.59839396822477431</v>
      </c>
      <c r="K288" s="112"/>
      <c r="L288" s="37">
        <v>50</v>
      </c>
      <c r="M288" s="37" t="s">
        <v>288</v>
      </c>
      <c r="N288" s="37">
        <v>1074.9043362048894</v>
      </c>
      <c r="O288" s="130">
        <f t="shared" si="22"/>
        <v>53745.21681024447</v>
      </c>
      <c r="P288" s="132">
        <f t="shared" si="23"/>
        <v>32160.813560183036</v>
      </c>
      <c r="Q288" s="261">
        <v>1</v>
      </c>
      <c r="R288" s="92"/>
    </row>
    <row r="289" spans="1:18" x14ac:dyDescent="0.25">
      <c r="A289">
        <v>1986</v>
      </c>
      <c r="B289" t="s">
        <v>285</v>
      </c>
      <c r="C289" s="263">
        <v>37292</v>
      </c>
      <c r="D289" s="157" t="s">
        <v>618</v>
      </c>
      <c r="E289" s="44">
        <v>31593</v>
      </c>
      <c r="F289" s="127" t="str">
        <f t="shared" si="24"/>
        <v>Date check - OK</v>
      </c>
      <c r="G289" s="1"/>
      <c r="H289" s="161"/>
      <c r="I289" s="37"/>
      <c r="J289" s="135">
        <f t="shared" si="25"/>
        <v>0.59839396822477431</v>
      </c>
      <c r="K289" s="112"/>
      <c r="L289" s="37">
        <v>809</v>
      </c>
      <c r="M289" s="37" t="s">
        <v>288</v>
      </c>
      <c r="N289" s="37">
        <v>1024.3397923166472</v>
      </c>
      <c r="O289" s="130">
        <f t="shared" si="22"/>
        <v>828690.89198416751</v>
      </c>
      <c r="P289" s="132">
        <f t="shared" si="23"/>
        <v>495883.63128613384</v>
      </c>
      <c r="Q289" s="261">
        <v>1</v>
      </c>
      <c r="R289" s="92"/>
    </row>
    <row r="290" spans="1:18" x14ac:dyDescent="0.25">
      <c r="A290">
        <v>1986</v>
      </c>
      <c r="B290" t="s">
        <v>285</v>
      </c>
      <c r="C290" s="263">
        <v>37292</v>
      </c>
      <c r="D290" s="157" t="s">
        <v>618</v>
      </c>
      <c r="E290" s="44">
        <v>31593</v>
      </c>
      <c r="F290" s="127" t="str">
        <f t="shared" si="24"/>
        <v>Date check - OK</v>
      </c>
      <c r="G290" s="1"/>
      <c r="H290" s="161"/>
      <c r="I290" s="37"/>
      <c r="J290" s="135">
        <f t="shared" si="25"/>
        <v>0.59839396822477431</v>
      </c>
      <c r="K290" s="112"/>
      <c r="L290" s="37">
        <v>306</v>
      </c>
      <c r="M290" s="37" t="s">
        <v>288</v>
      </c>
      <c r="N290" s="37">
        <v>685.06801396973219</v>
      </c>
      <c r="O290" s="130">
        <f t="shared" si="22"/>
        <v>209630.81227473804</v>
      </c>
      <c r="P290" s="132">
        <f t="shared" si="23"/>
        <v>125441.81361926322</v>
      </c>
      <c r="Q290" s="261">
        <v>1</v>
      </c>
      <c r="R290" s="92"/>
    </row>
    <row r="291" spans="1:18" x14ac:dyDescent="0.25">
      <c r="A291">
        <v>1987</v>
      </c>
      <c r="B291" t="s">
        <v>285</v>
      </c>
      <c r="C291" s="263">
        <v>300168</v>
      </c>
      <c r="D291" s="157" t="s">
        <v>619</v>
      </c>
      <c r="E291" s="44">
        <v>31958</v>
      </c>
      <c r="F291" s="127" t="str">
        <f t="shared" si="24"/>
        <v>Date check - OK</v>
      </c>
      <c r="G291" s="1"/>
      <c r="H291" s="161"/>
      <c r="I291" s="37"/>
      <c r="J291" s="135">
        <f t="shared" si="25"/>
        <v>0.59839396822477431</v>
      </c>
      <c r="K291" s="112"/>
      <c r="L291" s="37">
        <v>285</v>
      </c>
      <c r="M291" s="37" t="s">
        <v>288</v>
      </c>
      <c r="N291" s="37">
        <v>1456.5850868451687</v>
      </c>
      <c r="O291" s="130">
        <f t="shared" si="22"/>
        <v>415126.74975087307</v>
      </c>
      <c r="P291" s="132">
        <f t="shared" si="23"/>
        <v>248409.34309967779</v>
      </c>
      <c r="Q291" s="261">
        <v>1</v>
      </c>
      <c r="R291" s="92"/>
    </row>
    <row r="292" spans="1:18" x14ac:dyDescent="0.25">
      <c r="A292">
        <v>1987</v>
      </c>
      <c r="B292" t="s">
        <v>285</v>
      </c>
      <c r="C292" s="263">
        <v>300168</v>
      </c>
      <c r="D292" s="157" t="s">
        <v>619</v>
      </c>
      <c r="E292" s="44">
        <v>31958</v>
      </c>
      <c r="F292" s="127" t="str">
        <f t="shared" si="24"/>
        <v>Date check - OK</v>
      </c>
      <c r="G292" s="1"/>
      <c r="H292" s="161"/>
      <c r="I292" s="37"/>
      <c r="J292" s="135">
        <f t="shared" si="25"/>
        <v>0.59839396822477431</v>
      </c>
      <c r="K292" s="112"/>
      <c r="L292" s="37">
        <v>383</v>
      </c>
      <c r="M292" s="37" t="s">
        <v>288</v>
      </c>
      <c r="N292" s="37">
        <v>1149.9355948777647</v>
      </c>
      <c r="O292" s="130">
        <f t="shared" ref="O292:O346" si="26">IF(N292="","-",L292*N292)</f>
        <v>440425.33283818391</v>
      </c>
      <c r="P292" s="132">
        <f t="shared" ref="P292:P346" si="27">IF(O292="-","-",IF(OR(E292&lt;$E$15,E292&gt;$E$16),0,O292*J292))*Q292</f>
        <v>263547.86262375786</v>
      </c>
      <c r="Q292" s="261">
        <v>1</v>
      </c>
      <c r="R292" s="92"/>
    </row>
    <row r="293" spans="1:18" x14ac:dyDescent="0.25">
      <c r="A293">
        <v>1987</v>
      </c>
      <c r="B293" t="s">
        <v>285</v>
      </c>
      <c r="C293" s="263">
        <v>300168</v>
      </c>
      <c r="D293" s="157" t="s">
        <v>619</v>
      </c>
      <c r="E293" s="44">
        <v>31958</v>
      </c>
      <c r="F293" s="127" t="str">
        <f t="shared" si="24"/>
        <v>Date check - OK</v>
      </c>
      <c r="G293" s="1"/>
      <c r="H293" s="161"/>
      <c r="I293" s="37"/>
      <c r="J293" s="135">
        <f t="shared" si="25"/>
        <v>0.59839396822477431</v>
      </c>
      <c r="K293" s="112"/>
      <c r="L293" s="37">
        <v>465</v>
      </c>
      <c r="M293" s="37" t="s">
        <v>288</v>
      </c>
      <c r="N293" s="37">
        <v>1024.3397923166472</v>
      </c>
      <c r="O293" s="130">
        <f t="shared" si="26"/>
        <v>476318.00342724094</v>
      </c>
      <c r="P293" s="132">
        <f t="shared" si="27"/>
        <v>285025.82020772836</v>
      </c>
      <c r="Q293" s="261">
        <v>1</v>
      </c>
      <c r="R293" s="92"/>
    </row>
    <row r="294" spans="1:18" x14ac:dyDescent="0.25">
      <c r="A294">
        <v>1987</v>
      </c>
      <c r="B294" t="s">
        <v>285</v>
      </c>
      <c r="C294" s="263">
        <v>300168</v>
      </c>
      <c r="D294" s="157" t="s">
        <v>619</v>
      </c>
      <c r="E294" s="44">
        <v>31958</v>
      </c>
      <c r="F294" s="127" t="str">
        <f t="shared" si="24"/>
        <v>Date check - OK</v>
      </c>
      <c r="G294" s="1"/>
      <c r="H294" s="161"/>
      <c r="I294" s="37"/>
      <c r="J294" s="135">
        <f t="shared" si="25"/>
        <v>0.59839396822477431</v>
      </c>
      <c r="K294" s="112"/>
      <c r="L294" s="37">
        <v>72</v>
      </c>
      <c r="M294" s="37" t="s">
        <v>288</v>
      </c>
      <c r="N294" s="37">
        <v>1096.1088223515715</v>
      </c>
      <c r="O294" s="130">
        <f t="shared" si="26"/>
        <v>78919.83520931314</v>
      </c>
      <c r="P294" s="132">
        <f t="shared" si="27"/>
        <v>47225.153362546152</v>
      </c>
      <c r="Q294" s="261">
        <v>1</v>
      </c>
      <c r="R294" s="92"/>
    </row>
    <row r="295" spans="1:18" x14ac:dyDescent="0.25">
      <c r="A295">
        <v>1987</v>
      </c>
      <c r="B295" t="s">
        <v>285</v>
      </c>
      <c r="C295" s="263" t="s">
        <v>620</v>
      </c>
      <c r="D295" s="157" t="s">
        <v>621</v>
      </c>
      <c r="E295" s="44">
        <v>31958</v>
      </c>
      <c r="F295" s="127" t="str">
        <f t="shared" si="24"/>
        <v>Date check - OK</v>
      </c>
      <c r="G295" s="1"/>
      <c r="H295" s="161"/>
      <c r="I295" s="37"/>
      <c r="J295" s="135">
        <f t="shared" si="25"/>
        <v>0.59839396822477431</v>
      </c>
      <c r="K295" s="112"/>
      <c r="L295" s="37">
        <v>262</v>
      </c>
      <c r="M295" s="37" t="s">
        <v>288</v>
      </c>
      <c r="N295" s="37">
        <v>1024.3397923166472</v>
      </c>
      <c r="O295" s="130">
        <f t="shared" si="26"/>
        <v>268377.02558696154</v>
      </c>
      <c r="P295" s="132">
        <f t="shared" si="27"/>
        <v>160595.19332134372</v>
      </c>
      <c r="Q295" s="261">
        <v>1</v>
      </c>
      <c r="R295" s="92"/>
    </row>
    <row r="296" spans="1:18" x14ac:dyDescent="0.25">
      <c r="A296">
        <v>1987</v>
      </c>
      <c r="B296" t="s">
        <v>285</v>
      </c>
      <c r="C296" s="263" t="s">
        <v>620</v>
      </c>
      <c r="D296" s="157" t="s">
        <v>621</v>
      </c>
      <c r="E296" s="44">
        <v>31958</v>
      </c>
      <c r="F296" s="127" t="str">
        <f t="shared" si="24"/>
        <v>Date check - OK</v>
      </c>
      <c r="G296" s="1"/>
      <c r="H296" s="161"/>
      <c r="I296" s="37"/>
      <c r="J296" s="135">
        <f t="shared" si="25"/>
        <v>0.59839396822477431</v>
      </c>
      <c r="K296" s="112"/>
      <c r="L296" s="37">
        <v>314</v>
      </c>
      <c r="M296" s="37" t="s">
        <v>288</v>
      </c>
      <c r="N296" s="37">
        <v>709.53472875436546</v>
      </c>
      <c r="O296" s="130">
        <f t="shared" si="26"/>
        <v>222793.90482887076</v>
      </c>
      <c r="P296" s="132">
        <f t="shared" si="27"/>
        <v>133318.52880684068</v>
      </c>
      <c r="Q296" s="261">
        <v>1</v>
      </c>
      <c r="R296" s="92"/>
    </row>
    <row r="297" spans="1:18" x14ac:dyDescent="0.25">
      <c r="A297">
        <v>1987</v>
      </c>
      <c r="B297" t="s">
        <v>285</v>
      </c>
      <c r="C297" s="263" t="s">
        <v>620</v>
      </c>
      <c r="D297" s="157" t="s">
        <v>621</v>
      </c>
      <c r="E297" s="44">
        <v>31958</v>
      </c>
      <c r="F297" s="127" t="str">
        <f t="shared" si="24"/>
        <v>Date check - OK</v>
      </c>
      <c r="G297" s="1"/>
      <c r="H297" s="161"/>
      <c r="I297" s="37"/>
      <c r="J297" s="135">
        <f t="shared" si="25"/>
        <v>0.59839396822477431</v>
      </c>
      <c r="K297" s="112"/>
      <c r="L297" s="37">
        <v>201</v>
      </c>
      <c r="M297" s="37" t="s">
        <v>288</v>
      </c>
      <c r="N297" s="37">
        <v>751.94370104772986</v>
      </c>
      <c r="O297" s="130">
        <f t="shared" si="26"/>
        <v>151140.68391059371</v>
      </c>
      <c r="P297" s="132">
        <f t="shared" si="27"/>
        <v>10853.000832655975</v>
      </c>
      <c r="Q297" s="261">
        <v>0.12</v>
      </c>
      <c r="R297" s="92"/>
    </row>
    <row r="298" spans="1:18" x14ac:dyDescent="0.25">
      <c r="A298">
        <v>1987</v>
      </c>
      <c r="B298" t="s">
        <v>285</v>
      </c>
      <c r="C298" s="263" t="s">
        <v>622</v>
      </c>
      <c r="D298" s="157" t="s">
        <v>621</v>
      </c>
      <c r="E298" s="44">
        <v>31958</v>
      </c>
      <c r="F298" s="127" t="str">
        <f t="shared" si="24"/>
        <v>Date check - OK</v>
      </c>
      <c r="G298" s="1"/>
      <c r="H298" s="161"/>
      <c r="I298" s="37"/>
      <c r="J298" s="135">
        <f t="shared" si="25"/>
        <v>0.59839396822477431</v>
      </c>
      <c r="K298" s="112"/>
      <c r="L298" s="37">
        <v>108</v>
      </c>
      <c r="M298" s="37" t="s">
        <v>288</v>
      </c>
      <c r="N298" s="37">
        <v>751.94370104772986</v>
      </c>
      <c r="O298" s="130">
        <f t="shared" si="26"/>
        <v>81209.919713154828</v>
      </c>
      <c r="P298" s="132">
        <f t="shared" si="27"/>
        <v>5831.4631339644047</v>
      </c>
      <c r="Q298" s="261">
        <v>0.12</v>
      </c>
      <c r="R298" s="92"/>
    </row>
    <row r="299" spans="1:18" x14ac:dyDescent="0.25">
      <c r="A299">
        <v>1987</v>
      </c>
      <c r="B299" t="s">
        <v>285</v>
      </c>
      <c r="C299" s="263">
        <v>300307</v>
      </c>
      <c r="D299" s="157" t="s">
        <v>623</v>
      </c>
      <c r="E299" s="44">
        <v>31958</v>
      </c>
      <c r="F299" s="127" t="str">
        <f t="shared" si="24"/>
        <v>Date check - OK</v>
      </c>
      <c r="G299" s="1"/>
      <c r="H299" s="161"/>
      <c r="I299" s="37"/>
      <c r="J299" s="135">
        <f t="shared" si="25"/>
        <v>0.59839396822477431</v>
      </c>
      <c r="K299" s="112"/>
      <c r="L299" s="37">
        <v>605</v>
      </c>
      <c r="M299" s="37" t="s">
        <v>288</v>
      </c>
      <c r="N299" s="37">
        <v>1024.3397923166472</v>
      </c>
      <c r="O299" s="130">
        <f t="shared" si="26"/>
        <v>619725.5743515715</v>
      </c>
      <c r="P299" s="132">
        <f t="shared" si="27"/>
        <v>370840.04564661428</v>
      </c>
      <c r="Q299" s="261">
        <v>1</v>
      </c>
      <c r="R299" s="92"/>
    </row>
    <row r="300" spans="1:18" x14ac:dyDescent="0.25">
      <c r="A300">
        <v>1987</v>
      </c>
      <c r="B300" t="s">
        <v>285</v>
      </c>
      <c r="C300" s="263">
        <v>300307</v>
      </c>
      <c r="D300" s="157" t="s">
        <v>623</v>
      </c>
      <c r="E300" s="44">
        <v>31958</v>
      </c>
      <c r="F300" s="127" t="str">
        <f t="shared" si="24"/>
        <v>Date check - OK</v>
      </c>
      <c r="G300" s="1"/>
      <c r="H300" s="161"/>
      <c r="I300" s="37"/>
      <c r="J300" s="135">
        <f t="shared" si="25"/>
        <v>0.59839396822477431</v>
      </c>
      <c r="K300" s="112"/>
      <c r="L300" s="37">
        <v>308</v>
      </c>
      <c r="M300" s="37" t="s">
        <v>288</v>
      </c>
      <c r="N300" s="37">
        <v>709.53472875436546</v>
      </c>
      <c r="O300" s="130">
        <f t="shared" si="26"/>
        <v>218536.69645634457</v>
      </c>
      <c r="P300" s="132">
        <f t="shared" si="27"/>
        <v>130771.040995245</v>
      </c>
      <c r="Q300" s="261">
        <v>1</v>
      </c>
      <c r="R300" s="92"/>
    </row>
    <row r="301" spans="1:18" x14ac:dyDescent="0.25">
      <c r="A301">
        <v>1987</v>
      </c>
      <c r="B301" t="s">
        <v>285</v>
      </c>
      <c r="C301" s="263">
        <v>300307</v>
      </c>
      <c r="D301" s="157" t="s">
        <v>623</v>
      </c>
      <c r="E301" s="44">
        <v>31958</v>
      </c>
      <c r="F301" s="127" t="str">
        <f t="shared" si="24"/>
        <v>Date check - OK</v>
      </c>
      <c r="G301" s="1"/>
      <c r="H301" s="161"/>
      <c r="I301" s="37"/>
      <c r="J301" s="135">
        <f t="shared" si="25"/>
        <v>0.59839396822477431</v>
      </c>
      <c r="K301" s="112"/>
      <c r="L301" s="37">
        <v>196</v>
      </c>
      <c r="M301" s="37" t="s">
        <v>288</v>
      </c>
      <c r="N301" s="37">
        <v>751.94370104772986</v>
      </c>
      <c r="O301" s="130">
        <f t="shared" si="26"/>
        <v>147380.96540535506</v>
      </c>
      <c r="P301" s="132">
        <f t="shared" si="27"/>
        <v>88191.880729708602</v>
      </c>
      <c r="Q301" s="261">
        <v>1</v>
      </c>
      <c r="R301" s="92"/>
    </row>
    <row r="302" spans="1:18" x14ac:dyDescent="0.25">
      <c r="A302">
        <v>1987</v>
      </c>
      <c r="B302" t="s">
        <v>285</v>
      </c>
      <c r="C302" s="263" t="s">
        <v>624</v>
      </c>
      <c r="D302" s="157" t="s">
        <v>625</v>
      </c>
      <c r="E302" s="44">
        <v>31958</v>
      </c>
      <c r="F302" s="127" t="str">
        <f t="shared" si="24"/>
        <v>Date check - OK</v>
      </c>
      <c r="G302" s="1"/>
      <c r="H302" s="161"/>
      <c r="I302" s="37"/>
      <c r="J302" s="135">
        <f t="shared" si="25"/>
        <v>0.59839396822477431</v>
      </c>
      <c r="K302" s="112"/>
      <c r="L302" s="37">
        <v>222</v>
      </c>
      <c r="M302" s="37" t="s">
        <v>288</v>
      </c>
      <c r="N302" s="37">
        <v>1149.9355948777647</v>
      </c>
      <c r="O302" s="130">
        <f t="shared" si="26"/>
        <v>255285.70206286377</v>
      </c>
      <c r="P302" s="132">
        <f t="shared" si="27"/>
        <v>152761.42428844451</v>
      </c>
      <c r="Q302" s="261">
        <v>1</v>
      </c>
      <c r="R302" s="92"/>
    </row>
    <row r="303" spans="1:18" x14ac:dyDescent="0.25">
      <c r="A303">
        <v>1987</v>
      </c>
      <c r="B303" t="s">
        <v>285</v>
      </c>
      <c r="C303" s="263" t="s">
        <v>624</v>
      </c>
      <c r="D303" s="157" t="s">
        <v>625</v>
      </c>
      <c r="E303" s="44">
        <v>31958</v>
      </c>
      <c r="F303" s="127" t="str">
        <f t="shared" si="24"/>
        <v>Date check - OK</v>
      </c>
      <c r="G303" s="1"/>
      <c r="H303" s="161"/>
      <c r="I303" s="37"/>
      <c r="J303" s="135">
        <f t="shared" si="25"/>
        <v>0.59839396822477431</v>
      </c>
      <c r="K303" s="112"/>
      <c r="L303" s="37">
        <v>24</v>
      </c>
      <c r="M303" s="37" t="s">
        <v>288</v>
      </c>
      <c r="N303" s="37">
        <v>1024.3397923166472</v>
      </c>
      <c r="O303" s="130">
        <f t="shared" si="26"/>
        <v>24584.155015599532</v>
      </c>
      <c r="P303" s="132">
        <f t="shared" si="27"/>
        <v>14711.010075237593</v>
      </c>
      <c r="Q303" s="261">
        <v>1</v>
      </c>
      <c r="R303" s="92"/>
    </row>
    <row r="304" spans="1:18" x14ac:dyDescent="0.25">
      <c r="A304">
        <v>1987</v>
      </c>
      <c r="B304" t="s">
        <v>285</v>
      </c>
      <c r="C304" s="263" t="s">
        <v>624</v>
      </c>
      <c r="D304" s="157" t="s">
        <v>625</v>
      </c>
      <c r="E304" s="44">
        <v>31958</v>
      </c>
      <c r="F304" s="127" t="str">
        <f t="shared" si="24"/>
        <v>Date check - OK</v>
      </c>
      <c r="G304" s="1"/>
      <c r="H304" s="161"/>
      <c r="I304" s="37"/>
      <c r="J304" s="135">
        <f t="shared" si="25"/>
        <v>0.59839396822477431</v>
      </c>
      <c r="K304" s="112"/>
      <c r="L304" s="37">
        <v>209</v>
      </c>
      <c r="M304" s="37" t="s">
        <v>288</v>
      </c>
      <c r="N304" s="37">
        <v>709.53472875436546</v>
      </c>
      <c r="O304" s="130">
        <f t="shared" si="26"/>
        <v>148292.75830966237</v>
      </c>
      <c r="P304" s="132">
        <f t="shared" si="27"/>
        <v>88737.492103916244</v>
      </c>
      <c r="Q304" s="261">
        <v>1</v>
      </c>
      <c r="R304" s="92"/>
    </row>
    <row r="305" spans="1:18" x14ac:dyDescent="0.25">
      <c r="A305">
        <v>1987</v>
      </c>
      <c r="B305" t="s">
        <v>285</v>
      </c>
      <c r="C305" s="263" t="s">
        <v>624</v>
      </c>
      <c r="D305" s="157" t="s">
        <v>625</v>
      </c>
      <c r="E305" s="44">
        <v>31958</v>
      </c>
      <c r="F305" s="127" t="str">
        <f t="shared" si="24"/>
        <v>Date check - OK</v>
      </c>
      <c r="G305" s="1"/>
      <c r="H305" s="161"/>
      <c r="I305" s="37"/>
      <c r="J305" s="135">
        <f t="shared" si="25"/>
        <v>0.59839396822477431</v>
      </c>
      <c r="K305" s="112"/>
      <c r="L305" s="37">
        <v>244</v>
      </c>
      <c r="M305" s="37" t="s">
        <v>288</v>
      </c>
      <c r="N305" s="37">
        <v>567.62778300349237</v>
      </c>
      <c r="O305" s="130">
        <f t="shared" si="26"/>
        <v>138501.17905285215</v>
      </c>
      <c r="P305" s="132">
        <f t="shared" si="27"/>
        <v>18233.21943019416</v>
      </c>
      <c r="Q305" s="261">
        <v>0.22</v>
      </c>
      <c r="R305" s="92"/>
    </row>
    <row r="306" spans="1:18" x14ac:dyDescent="0.25">
      <c r="A306">
        <v>1988</v>
      </c>
      <c r="B306" t="s">
        <v>285</v>
      </c>
      <c r="C306" s="263" t="s">
        <v>626</v>
      </c>
      <c r="D306" s="157" t="s">
        <v>627</v>
      </c>
      <c r="E306" s="44">
        <v>32324</v>
      </c>
      <c r="F306" s="127" t="str">
        <f t="shared" si="24"/>
        <v>Date check - OK</v>
      </c>
      <c r="G306" s="1"/>
      <c r="H306" s="161"/>
      <c r="I306" s="37"/>
      <c r="J306" s="135">
        <f t="shared" si="25"/>
        <v>0.59839396822477431</v>
      </c>
      <c r="K306" s="112"/>
      <c r="L306" s="37">
        <v>382</v>
      </c>
      <c r="M306" s="37" t="s">
        <v>288</v>
      </c>
      <c r="N306" s="37">
        <v>709.53472875436546</v>
      </c>
      <c r="O306" s="130">
        <f t="shared" si="26"/>
        <v>271042.2663841676</v>
      </c>
      <c r="P306" s="132">
        <f t="shared" si="27"/>
        <v>162190.0573382584</v>
      </c>
      <c r="Q306" s="261">
        <v>1</v>
      </c>
      <c r="R306" s="92"/>
    </row>
    <row r="307" spans="1:18" x14ac:dyDescent="0.25">
      <c r="A307">
        <v>1988</v>
      </c>
      <c r="B307" t="s">
        <v>285</v>
      </c>
      <c r="C307" s="263" t="s">
        <v>628</v>
      </c>
      <c r="D307" s="157" t="s">
        <v>627</v>
      </c>
      <c r="E307" s="44">
        <v>32324</v>
      </c>
      <c r="F307" s="127" t="str">
        <f t="shared" si="24"/>
        <v>Date check - OK</v>
      </c>
      <c r="G307" s="1"/>
      <c r="H307" s="161"/>
      <c r="I307" s="37"/>
      <c r="J307" s="135">
        <f t="shared" si="25"/>
        <v>0.59839396822477431</v>
      </c>
      <c r="K307" s="112"/>
      <c r="L307" s="37">
        <v>19</v>
      </c>
      <c r="M307" s="37" t="s">
        <v>288</v>
      </c>
      <c r="N307" s="37">
        <v>639.39681303841667</v>
      </c>
      <c r="O307" s="130">
        <f t="shared" si="26"/>
        <v>12148.539447729916</v>
      </c>
      <c r="P307" s="132">
        <f t="shared" si="27"/>
        <v>7269.6127282623129</v>
      </c>
      <c r="Q307" s="261">
        <v>1</v>
      </c>
      <c r="R307" s="92"/>
    </row>
    <row r="308" spans="1:18" x14ac:dyDescent="0.25">
      <c r="A308">
        <v>1988</v>
      </c>
      <c r="B308" t="s">
        <v>285</v>
      </c>
      <c r="C308" s="263">
        <v>302400</v>
      </c>
      <c r="D308" s="157" t="s">
        <v>627</v>
      </c>
      <c r="E308" s="44">
        <v>32324</v>
      </c>
      <c r="F308" s="127" t="str">
        <f t="shared" si="24"/>
        <v>Date check - OK</v>
      </c>
      <c r="G308" s="1"/>
      <c r="H308" s="161"/>
      <c r="I308" s="37"/>
      <c r="J308" s="135">
        <f t="shared" si="25"/>
        <v>0.59839396822477431</v>
      </c>
      <c r="K308" s="112"/>
      <c r="L308" s="37">
        <v>76</v>
      </c>
      <c r="M308" s="37" t="s">
        <v>288</v>
      </c>
      <c r="N308" s="37">
        <v>624.71678416763677</v>
      </c>
      <c r="O308" s="130">
        <f t="shared" si="26"/>
        <v>47478.475596740398</v>
      </c>
      <c r="P308" s="132">
        <f t="shared" si="27"/>
        <v>5113.9500151673874</v>
      </c>
      <c r="Q308" s="261">
        <v>0.18</v>
      </c>
      <c r="R308" s="92"/>
    </row>
    <row r="309" spans="1:18" x14ac:dyDescent="0.25">
      <c r="A309">
        <v>1988</v>
      </c>
      <c r="B309" t="s">
        <v>285</v>
      </c>
      <c r="C309" s="263" t="s">
        <v>629</v>
      </c>
      <c r="D309" s="157" t="s">
        <v>630</v>
      </c>
      <c r="E309" s="44">
        <v>32324</v>
      </c>
      <c r="F309" s="127" t="str">
        <f t="shared" si="24"/>
        <v>Date check - OK</v>
      </c>
      <c r="G309" s="1"/>
      <c r="H309" s="161"/>
      <c r="I309" s="37"/>
      <c r="J309" s="135">
        <f t="shared" si="25"/>
        <v>0.59839396822477431</v>
      </c>
      <c r="K309" s="112"/>
      <c r="L309" s="37">
        <v>104</v>
      </c>
      <c r="M309" s="37" t="s">
        <v>288</v>
      </c>
      <c r="N309" s="37">
        <v>639.39681303841667</v>
      </c>
      <c r="O309" s="130">
        <f t="shared" si="26"/>
        <v>66497.268555995339</v>
      </c>
      <c r="P309" s="132">
        <f t="shared" si="27"/>
        <v>39791.564407330559</v>
      </c>
      <c r="Q309" s="261">
        <v>1</v>
      </c>
      <c r="R309" s="92"/>
    </row>
    <row r="310" spans="1:18" x14ac:dyDescent="0.25">
      <c r="A310">
        <v>1988</v>
      </c>
      <c r="B310" t="s">
        <v>285</v>
      </c>
      <c r="C310" s="263" t="s">
        <v>629</v>
      </c>
      <c r="D310" s="157" t="s">
        <v>630</v>
      </c>
      <c r="E310" s="44">
        <v>32324</v>
      </c>
      <c r="F310" s="127" t="str">
        <f t="shared" si="24"/>
        <v>Date check - OK</v>
      </c>
      <c r="G310" s="1"/>
      <c r="H310" s="161"/>
      <c r="I310" s="37"/>
      <c r="J310" s="135">
        <f t="shared" si="25"/>
        <v>0.59839396822477431</v>
      </c>
      <c r="K310" s="112"/>
      <c r="L310" s="37">
        <v>476</v>
      </c>
      <c r="M310" s="37" t="s">
        <v>288</v>
      </c>
      <c r="N310" s="37">
        <v>494.22763864959256</v>
      </c>
      <c r="O310" s="130">
        <f t="shared" si="26"/>
        <v>235252.35599720606</v>
      </c>
      <c r="P310" s="132">
        <f t="shared" si="27"/>
        <v>49270.756793788394</v>
      </c>
      <c r="Q310" s="261">
        <v>0.35</v>
      </c>
      <c r="R310" s="92"/>
    </row>
    <row r="311" spans="1:18" x14ac:dyDescent="0.25">
      <c r="A311">
        <v>1989</v>
      </c>
      <c r="B311" t="s">
        <v>285</v>
      </c>
      <c r="C311" s="263" t="s">
        <v>631</v>
      </c>
      <c r="D311" s="157" t="s">
        <v>632</v>
      </c>
      <c r="E311" s="44">
        <v>32689</v>
      </c>
      <c r="F311" s="127" t="str">
        <f t="shared" si="24"/>
        <v>Date check - OK</v>
      </c>
      <c r="G311" s="1"/>
      <c r="H311" s="161"/>
      <c r="I311" s="37"/>
      <c r="J311" s="135">
        <f t="shared" si="25"/>
        <v>0.59839396822477431</v>
      </c>
      <c r="K311" s="112"/>
      <c r="L311" s="37">
        <v>380</v>
      </c>
      <c r="M311" s="37" t="s">
        <v>288</v>
      </c>
      <c r="N311" s="37">
        <v>567.62778300349237</v>
      </c>
      <c r="O311" s="130">
        <f t="shared" si="26"/>
        <v>215698.55754132709</v>
      </c>
      <c r="P311" s="132">
        <f t="shared" si="27"/>
        <v>28395.997473253199</v>
      </c>
      <c r="Q311" s="261">
        <v>0.22</v>
      </c>
      <c r="R311" s="92"/>
    </row>
    <row r="312" spans="1:18" x14ac:dyDescent="0.25">
      <c r="A312">
        <v>1989</v>
      </c>
      <c r="B312" t="s">
        <v>285</v>
      </c>
      <c r="C312" s="263" t="s">
        <v>633</v>
      </c>
      <c r="D312" s="157" t="s">
        <v>632</v>
      </c>
      <c r="E312" s="44">
        <v>32689</v>
      </c>
      <c r="F312" s="127" t="str">
        <f t="shared" si="24"/>
        <v>Date check - OK</v>
      </c>
      <c r="G312" s="1"/>
      <c r="H312" s="161"/>
      <c r="I312" s="37"/>
      <c r="J312" s="135">
        <f t="shared" si="25"/>
        <v>0.59839396822477431</v>
      </c>
      <c r="K312" s="112"/>
      <c r="L312" s="37">
        <v>201</v>
      </c>
      <c r="M312" s="37" t="s">
        <v>288</v>
      </c>
      <c r="N312" s="37">
        <v>1024.3397923166472</v>
      </c>
      <c r="O312" s="130">
        <f t="shared" si="26"/>
        <v>205892.29825564608</v>
      </c>
      <c r="P312" s="132">
        <f t="shared" si="27"/>
        <v>123204.70938011483</v>
      </c>
      <c r="Q312" s="261">
        <v>1</v>
      </c>
      <c r="R312" s="92"/>
    </row>
    <row r="313" spans="1:18" x14ac:dyDescent="0.25">
      <c r="A313">
        <v>1989</v>
      </c>
      <c r="B313" t="s">
        <v>285</v>
      </c>
      <c r="C313" s="263" t="s">
        <v>633</v>
      </c>
      <c r="D313" s="157" t="s">
        <v>632</v>
      </c>
      <c r="E313" s="44">
        <v>32689</v>
      </c>
      <c r="F313" s="127" t="str">
        <f t="shared" si="24"/>
        <v>Date check - OK</v>
      </c>
      <c r="G313" s="1"/>
      <c r="H313" s="161"/>
      <c r="I313" s="37"/>
      <c r="J313" s="135">
        <f t="shared" si="25"/>
        <v>0.59839396822477431</v>
      </c>
      <c r="K313" s="112"/>
      <c r="L313" s="37">
        <v>95</v>
      </c>
      <c r="M313" s="37" t="s">
        <v>288</v>
      </c>
      <c r="N313" s="37">
        <v>639.39681303841667</v>
      </c>
      <c r="O313" s="130">
        <f t="shared" si="26"/>
        <v>60742.697238649584</v>
      </c>
      <c r="P313" s="132">
        <f t="shared" si="27"/>
        <v>3271.3257277180405</v>
      </c>
      <c r="Q313" s="261">
        <v>0.09</v>
      </c>
      <c r="R313" s="92"/>
    </row>
    <row r="314" spans="1:18" x14ac:dyDescent="0.25">
      <c r="A314">
        <v>1989</v>
      </c>
      <c r="B314" t="s">
        <v>285</v>
      </c>
      <c r="C314" s="263">
        <v>302230</v>
      </c>
      <c r="D314" s="157" t="s">
        <v>634</v>
      </c>
      <c r="E314" s="44">
        <v>32689</v>
      </c>
      <c r="F314" s="127" t="str">
        <f t="shared" si="24"/>
        <v>Date check - OK</v>
      </c>
      <c r="G314" s="1"/>
      <c r="H314" s="161"/>
      <c r="I314" s="37"/>
      <c r="J314" s="135">
        <f t="shared" si="25"/>
        <v>0.59839396822477431</v>
      </c>
      <c r="K314" s="112"/>
      <c r="L314" s="37">
        <v>364</v>
      </c>
      <c r="M314" s="37" t="s">
        <v>288</v>
      </c>
      <c r="N314" s="37">
        <v>887.32618952270082</v>
      </c>
      <c r="O314" s="130">
        <f t="shared" si="26"/>
        <v>322986.73298626312</v>
      </c>
      <c r="P314" s="132">
        <f t="shared" si="27"/>
        <v>193273.31283560558</v>
      </c>
      <c r="Q314" s="261">
        <v>1</v>
      </c>
      <c r="R314" s="92"/>
    </row>
    <row r="315" spans="1:18" x14ac:dyDescent="0.25">
      <c r="A315">
        <v>1989</v>
      </c>
      <c r="B315" t="s">
        <v>285</v>
      </c>
      <c r="C315" s="263">
        <v>302230</v>
      </c>
      <c r="D315" s="157" t="s">
        <v>634</v>
      </c>
      <c r="E315" s="44">
        <v>32689</v>
      </c>
      <c r="F315" s="127" t="str">
        <f t="shared" si="24"/>
        <v>Date check - OK</v>
      </c>
      <c r="G315" s="1"/>
      <c r="H315" s="161"/>
      <c r="I315" s="37"/>
      <c r="J315" s="135">
        <f t="shared" si="25"/>
        <v>0.59839396822477431</v>
      </c>
      <c r="K315" s="112"/>
      <c r="L315" s="37">
        <v>312</v>
      </c>
      <c r="M315" s="37" t="s">
        <v>288</v>
      </c>
      <c r="N315" s="37">
        <v>468.12980954598368</v>
      </c>
      <c r="O315" s="130">
        <f t="shared" si="26"/>
        <v>146056.5005783469</v>
      </c>
      <c r="P315" s="132">
        <f t="shared" si="27"/>
        <v>87399.328966101049</v>
      </c>
      <c r="Q315" s="261">
        <v>1</v>
      </c>
      <c r="R315" s="92"/>
    </row>
    <row r="316" spans="1:18" x14ac:dyDescent="0.25">
      <c r="A316">
        <v>1989</v>
      </c>
      <c r="B316" t="s">
        <v>285</v>
      </c>
      <c r="C316" s="263">
        <v>302230</v>
      </c>
      <c r="D316" s="157" t="s">
        <v>634</v>
      </c>
      <c r="E316" s="44">
        <v>32689</v>
      </c>
      <c r="F316" s="127" t="str">
        <f t="shared" si="24"/>
        <v>Date check - OK</v>
      </c>
      <c r="G316" s="1"/>
      <c r="H316" s="161"/>
      <c r="I316" s="37"/>
      <c r="J316" s="135">
        <f t="shared" si="25"/>
        <v>0.59839396822477431</v>
      </c>
      <c r="K316" s="112"/>
      <c r="L316" s="37">
        <v>137</v>
      </c>
      <c r="M316" s="37" t="s">
        <v>288</v>
      </c>
      <c r="N316" s="37">
        <v>567.62778300349237</v>
      </c>
      <c r="O316" s="130">
        <f t="shared" si="26"/>
        <v>77765.006271478458</v>
      </c>
      <c r="P316" s="132">
        <f t="shared" si="27"/>
        <v>10237.504352199181</v>
      </c>
      <c r="Q316" s="261">
        <v>0.22</v>
      </c>
      <c r="R316" s="92"/>
    </row>
    <row r="317" spans="1:18" x14ac:dyDescent="0.25">
      <c r="A317">
        <v>1990</v>
      </c>
      <c r="B317" t="s">
        <v>285</v>
      </c>
      <c r="C317" s="263">
        <v>302665</v>
      </c>
      <c r="D317" s="157" t="s">
        <v>635</v>
      </c>
      <c r="E317" s="44">
        <v>33054</v>
      </c>
      <c r="F317" s="127" t="str">
        <f t="shared" si="24"/>
        <v>Date check - OK</v>
      </c>
      <c r="G317" s="1"/>
      <c r="H317" s="161"/>
      <c r="I317" s="37"/>
      <c r="J317" s="135">
        <f t="shared" si="25"/>
        <v>0.59839396822477431</v>
      </c>
      <c r="K317" s="112"/>
      <c r="L317" s="37">
        <v>264</v>
      </c>
      <c r="M317" s="37" t="s">
        <v>288</v>
      </c>
      <c r="N317" s="37">
        <v>1149.9355948777647</v>
      </c>
      <c r="O317" s="130">
        <f t="shared" si="26"/>
        <v>303582.99704772991</v>
      </c>
      <c r="P317" s="132">
        <f t="shared" si="27"/>
        <v>181662.23428896104</v>
      </c>
      <c r="Q317" s="261">
        <v>1</v>
      </c>
      <c r="R317" s="92"/>
    </row>
    <row r="318" spans="1:18" x14ac:dyDescent="0.25">
      <c r="A318">
        <v>1990</v>
      </c>
      <c r="B318" t="s">
        <v>285</v>
      </c>
      <c r="C318" s="263">
        <v>302665</v>
      </c>
      <c r="D318" s="157" t="s">
        <v>635</v>
      </c>
      <c r="E318" s="44">
        <v>33054</v>
      </c>
      <c r="F318" s="127" t="str">
        <f t="shared" si="24"/>
        <v>Date check - OK</v>
      </c>
      <c r="G318" s="1"/>
      <c r="H318" s="161"/>
      <c r="I318" s="37"/>
      <c r="J318" s="135">
        <f t="shared" si="25"/>
        <v>0.59839396822477431</v>
      </c>
      <c r="K318" s="112"/>
      <c r="L318" s="37">
        <v>963</v>
      </c>
      <c r="M318" s="37" t="s">
        <v>288</v>
      </c>
      <c r="N318" s="37">
        <v>887.32618952270082</v>
      </c>
      <c r="O318" s="130">
        <f t="shared" si="26"/>
        <v>854495.12051036092</v>
      </c>
      <c r="P318" s="132">
        <f t="shared" si="27"/>
        <v>511324.72599090158</v>
      </c>
      <c r="Q318" s="261">
        <v>1</v>
      </c>
      <c r="R318" s="92"/>
    </row>
    <row r="319" spans="1:18" x14ac:dyDescent="0.25">
      <c r="A319">
        <v>1990</v>
      </c>
      <c r="B319" t="s">
        <v>285</v>
      </c>
      <c r="C319" s="263">
        <v>302665</v>
      </c>
      <c r="D319" s="157" t="s">
        <v>635</v>
      </c>
      <c r="E319" s="44">
        <v>33054</v>
      </c>
      <c r="F319" s="127" t="str">
        <f t="shared" si="24"/>
        <v>Date check - OK</v>
      </c>
      <c r="G319" s="1"/>
      <c r="H319" s="161"/>
      <c r="I319" s="37"/>
      <c r="J319" s="135">
        <f t="shared" si="25"/>
        <v>0.59839396822477431</v>
      </c>
      <c r="K319" s="112"/>
      <c r="L319" s="37">
        <v>392</v>
      </c>
      <c r="M319" s="37" t="s">
        <v>288</v>
      </c>
      <c r="N319" s="37">
        <v>520.32546775320145</v>
      </c>
      <c r="O319" s="130">
        <f t="shared" si="26"/>
        <v>203967.58335925496</v>
      </c>
      <c r="P319" s="132">
        <f t="shared" si="27"/>
        <v>18307.945739334304</v>
      </c>
      <c r="Q319" s="261">
        <v>0.15</v>
      </c>
      <c r="R319" s="92"/>
    </row>
    <row r="320" spans="1:18" x14ac:dyDescent="0.25">
      <c r="A320">
        <v>1990</v>
      </c>
      <c r="B320" t="s">
        <v>285</v>
      </c>
      <c r="C320" s="263">
        <v>302665</v>
      </c>
      <c r="D320" s="157" t="s">
        <v>635</v>
      </c>
      <c r="E320" s="44">
        <v>33054</v>
      </c>
      <c r="F320" s="127" t="str">
        <f t="shared" si="24"/>
        <v>Date check - OK</v>
      </c>
      <c r="G320" s="1"/>
      <c r="H320" s="161"/>
      <c r="I320" s="37"/>
      <c r="J320" s="135">
        <f t="shared" si="25"/>
        <v>0.59839396822477431</v>
      </c>
      <c r="K320" s="112"/>
      <c r="L320" s="37">
        <v>70</v>
      </c>
      <c r="M320" s="37" t="s">
        <v>288</v>
      </c>
      <c r="N320" s="37">
        <v>685.06801396973219</v>
      </c>
      <c r="O320" s="130">
        <f t="shared" si="26"/>
        <v>47954.760977881255</v>
      </c>
      <c r="P320" s="132">
        <f t="shared" si="27"/>
        <v>4304.3759575237382</v>
      </c>
      <c r="Q320" s="261">
        <v>0.15</v>
      </c>
      <c r="R320" s="92"/>
    </row>
    <row r="321" spans="1:18" x14ac:dyDescent="0.25">
      <c r="A321">
        <v>1990</v>
      </c>
      <c r="B321" t="s">
        <v>285</v>
      </c>
      <c r="C321" s="263">
        <v>302627</v>
      </c>
      <c r="D321" s="157" t="s">
        <v>621</v>
      </c>
      <c r="E321" s="44">
        <v>33054</v>
      </c>
      <c r="F321" s="127" t="str">
        <f t="shared" si="24"/>
        <v>Date check - OK</v>
      </c>
      <c r="G321" s="1"/>
      <c r="H321" s="161"/>
      <c r="I321" s="37"/>
      <c r="J321" s="135">
        <f t="shared" si="25"/>
        <v>0.59839396822477431</v>
      </c>
      <c r="K321" s="112"/>
      <c r="L321" s="37">
        <v>69</v>
      </c>
      <c r="M321" s="37" t="s">
        <v>288</v>
      </c>
      <c r="N321" s="37">
        <v>685.06801396973219</v>
      </c>
      <c r="O321" s="130">
        <f t="shared" si="26"/>
        <v>47269.692963911519</v>
      </c>
      <c r="P321" s="132">
        <f t="shared" si="27"/>
        <v>4242.8848724162553</v>
      </c>
      <c r="Q321" s="261">
        <v>0.15</v>
      </c>
      <c r="R321" s="92"/>
    </row>
    <row r="322" spans="1:18" x14ac:dyDescent="0.25">
      <c r="A322">
        <v>1990</v>
      </c>
      <c r="B322" t="s">
        <v>285</v>
      </c>
      <c r="C322" s="263">
        <v>307058</v>
      </c>
      <c r="D322" s="157" t="s">
        <v>636</v>
      </c>
      <c r="E322" s="44">
        <v>33054</v>
      </c>
      <c r="F322" s="127" t="str">
        <f t="shared" si="24"/>
        <v>Date check - OK</v>
      </c>
      <c r="G322" s="1"/>
      <c r="H322" s="161"/>
      <c r="I322" s="37"/>
      <c r="J322" s="135">
        <f t="shared" si="25"/>
        <v>0.59839396822477431</v>
      </c>
      <c r="K322" s="112"/>
      <c r="L322" s="37">
        <v>882</v>
      </c>
      <c r="M322" s="37" t="s">
        <v>288</v>
      </c>
      <c r="N322" s="37">
        <v>580.67669755529687</v>
      </c>
      <c r="O322" s="130">
        <f t="shared" si="26"/>
        <v>512156.84724377183</v>
      </c>
      <c r="P322" s="132">
        <f t="shared" si="27"/>
        <v>306471.56817569019</v>
      </c>
      <c r="Q322" s="261">
        <v>1</v>
      </c>
      <c r="R322" s="92"/>
    </row>
    <row r="323" spans="1:18" x14ac:dyDescent="0.25">
      <c r="A323">
        <v>1990</v>
      </c>
      <c r="B323" t="s">
        <v>285</v>
      </c>
      <c r="C323" s="263">
        <v>307058</v>
      </c>
      <c r="D323" s="157" t="s">
        <v>636</v>
      </c>
      <c r="E323" s="44">
        <v>33054</v>
      </c>
      <c r="F323" s="127" t="str">
        <f t="shared" si="24"/>
        <v>Date check - OK</v>
      </c>
      <c r="G323" s="1"/>
      <c r="H323" s="161"/>
      <c r="I323" s="37"/>
      <c r="J323" s="135">
        <f t="shared" si="25"/>
        <v>0.59839396822477431</v>
      </c>
      <c r="K323" s="112"/>
      <c r="L323" s="37">
        <v>449</v>
      </c>
      <c r="M323" s="37" t="s">
        <v>288</v>
      </c>
      <c r="N323" s="37">
        <v>567.62778300349237</v>
      </c>
      <c r="O323" s="130">
        <f t="shared" si="26"/>
        <v>254864.87456856808</v>
      </c>
      <c r="P323" s="132">
        <f t="shared" si="27"/>
        <v>33552.112803922864</v>
      </c>
      <c r="Q323" s="261">
        <v>0.22</v>
      </c>
      <c r="R323" s="92"/>
    </row>
    <row r="324" spans="1:18" x14ac:dyDescent="0.25">
      <c r="A324">
        <v>1991</v>
      </c>
      <c r="B324" t="s">
        <v>285</v>
      </c>
      <c r="C324" s="263">
        <v>306940</v>
      </c>
      <c r="D324" s="157" t="s">
        <v>637</v>
      </c>
      <c r="E324" s="44">
        <v>33419</v>
      </c>
      <c r="F324" s="127" t="str">
        <f t="shared" si="24"/>
        <v>Date check - OK</v>
      </c>
      <c r="G324" s="1"/>
      <c r="H324" s="161"/>
      <c r="I324" s="37"/>
      <c r="J324" s="135">
        <f t="shared" si="25"/>
        <v>0.59839396822477431</v>
      </c>
      <c r="K324" s="112"/>
      <c r="L324" s="37">
        <v>620</v>
      </c>
      <c r="M324" s="37" t="s">
        <v>288</v>
      </c>
      <c r="N324" s="37">
        <v>1024.3397923166472</v>
      </c>
      <c r="O324" s="130">
        <f t="shared" si="26"/>
        <v>635090.67123632121</v>
      </c>
      <c r="P324" s="132">
        <f t="shared" si="27"/>
        <v>380034.42694363778</v>
      </c>
      <c r="Q324" s="261">
        <v>1</v>
      </c>
      <c r="R324" s="92"/>
    </row>
    <row r="325" spans="1:18" x14ac:dyDescent="0.25">
      <c r="A325">
        <v>1991</v>
      </c>
      <c r="B325" t="s">
        <v>285</v>
      </c>
      <c r="C325" s="263">
        <v>306940</v>
      </c>
      <c r="D325" s="157" t="s">
        <v>637</v>
      </c>
      <c r="E325" s="44">
        <v>33419</v>
      </c>
      <c r="F325" s="127" t="str">
        <f t="shared" si="24"/>
        <v>Date check - OK</v>
      </c>
      <c r="G325" s="1"/>
      <c r="H325" s="161"/>
      <c r="I325" s="37"/>
      <c r="J325" s="135">
        <f t="shared" si="25"/>
        <v>0.59839396822477431</v>
      </c>
      <c r="K325" s="112"/>
      <c r="L325" s="37">
        <v>224</v>
      </c>
      <c r="M325" s="37" t="s">
        <v>288</v>
      </c>
      <c r="N325" s="37">
        <v>520.32546775320145</v>
      </c>
      <c r="O325" s="130">
        <f t="shared" si="26"/>
        <v>116552.90477671713</v>
      </c>
      <c r="P325" s="132">
        <f t="shared" si="27"/>
        <v>69744.555197464011</v>
      </c>
      <c r="Q325" s="261">
        <v>1</v>
      </c>
      <c r="R325" s="92"/>
    </row>
    <row r="326" spans="1:18" x14ac:dyDescent="0.25">
      <c r="A326">
        <v>1991</v>
      </c>
      <c r="B326" t="s">
        <v>285</v>
      </c>
      <c r="C326" s="263">
        <v>306940</v>
      </c>
      <c r="D326" s="157" t="s">
        <v>637</v>
      </c>
      <c r="E326" s="44">
        <v>33419</v>
      </c>
      <c r="F326" s="127" t="str">
        <f t="shared" si="24"/>
        <v>Date check - OK</v>
      </c>
      <c r="G326" s="1"/>
      <c r="H326" s="161"/>
      <c r="I326" s="37"/>
      <c r="J326" s="135">
        <f t="shared" si="25"/>
        <v>0.59839396822477431</v>
      </c>
      <c r="K326" s="112"/>
      <c r="L326" s="37">
        <v>446</v>
      </c>
      <c r="M326" s="37" t="s">
        <v>288</v>
      </c>
      <c r="N326" s="37">
        <v>567.62778300349237</v>
      </c>
      <c r="O326" s="130">
        <f t="shared" si="26"/>
        <v>253161.99121955759</v>
      </c>
      <c r="P326" s="132">
        <f t="shared" si="27"/>
        <v>33327.933876502437</v>
      </c>
      <c r="Q326" s="261">
        <v>0.22</v>
      </c>
      <c r="R326" s="92"/>
    </row>
    <row r="327" spans="1:18" x14ac:dyDescent="0.25">
      <c r="A327">
        <v>1992</v>
      </c>
      <c r="B327" t="s">
        <v>285</v>
      </c>
      <c r="C327" s="263">
        <v>309648</v>
      </c>
      <c r="D327" s="157" t="s">
        <v>638</v>
      </c>
      <c r="E327" s="44">
        <v>33785</v>
      </c>
      <c r="F327" s="127" t="str">
        <f t="shared" si="24"/>
        <v>Date check - OK</v>
      </c>
      <c r="G327" s="1"/>
      <c r="H327" s="161"/>
      <c r="I327" s="37"/>
      <c r="J327" s="135">
        <f t="shared" si="25"/>
        <v>0.59839396822477431</v>
      </c>
      <c r="K327" s="112"/>
      <c r="L327" s="37">
        <v>627</v>
      </c>
      <c r="M327" s="37" t="s">
        <v>288</v>
      </c>
      <c r="N327" s="37">
        <v>1386.4471711292199</v>
      </c>
      <c r="O327" s="130">
        <f t="shared" si="26"/>
        <v>869302.37629802083</v>
      </c>
      <c r="P327" s="132">
        <f t="shared" si="27"/>
        <v>350604.89121609391</v>
      </c>
      <c r="Q327" s="261">
        <v>0.67400000000000004</v>
      </c>
      <c r="R327" s="92"/>
    </row>
    <row r="328" spans="1:18" x14ac:dyDescent="0.25">
      <c r="A328">
        <v>1992</v>
      </c>
      <c r="B328" t="s">
        <v>285</v>
      </c>
      <c r="C328" s="263">
        <v>309569</v>
      </c>
      <c r="D328" s="157" t="s">
        <v>639</v>
      </c>
      <c r="E328" s="44">
        <v>33785</v>
      </c>
      <c r="F328" s="127" t="str">
        <f t="shared" si="24"/>
        <v>Date check - OK</v>
      </c>
      <c r="G328" s="1"/>
      <c r="H328" s="161"/>
      <c r="I328" s="37"/>
      <c r="J328" s="135">
        <f t="shared" si="25"/>
        <v>0.59839396822477431</v>
      </c>
      <c r="K328" s="112"/>
      <c r="L328" s="37">
        <v>756</v>
      </c>
      <c r="M328" s="37" t="s">
        <v>288</v>
      </c>
      <c r="N328" s="37">
        <v>1456.5850868451687</v>
      </c>
      <c r="O328" s="130">
        <f t="shared" si="26"/>
        <v>1101178.3256549474</v>
      </c>
      <c r="P328" s="132">
        <f t="shared" si="27"/>
        <v>444124.52743993758</v>
      </c>
      <c r="Q328" s="261">
        <v>0.67400000000000004</v>
      </c>
      <c r="R328" s="92"/>
    </row>
    <row r="329" spans="1:18" x14ac:dyDescent="0.25">
      <c r="A329">
        <v>1994</v>
      </c>
      <c r="B329" t="s">
        <v>285</v>
      </c>
      <c r="C329" s="263">
        <v>360027</v>
      </c>
      <c r="D329" s="157" t="s">
        <v>640</v>
      </c>
      <c r="E329" s="44">
        <v>34515</v>
      </c>
      <c r="F329" s="127" t="str">
        <f t="shared" si="24"/>
        <v>Date check - OK</v>
      </c>
      <c r="G329" s="1"/>
      <c r="H329" s="161"/>
      <c r="I329" s="37"/>
      <c r="J329" s="135">
        <f t="shared" si="25"/>
        <v>0.59839396822477431</v>
      </c>
      <c r="K329" s="112"/>
      <c r="L329" s="37">
        <v>292</v>
      </c>
      <c r="M329" s="37" t="s">
        <v>288</v>
      </c>
      <c r="N329" s="37">
        <v>1456.5850868451687</v>
      </c>
      <c r="O329" s="130">
        <f t="shared" si="26"/>
        <v>425322.84535878926</v>
      </c>
      <c r="P329" s="132">
        <f t="shared" si="27"/>
        <v>183247.65015184652</v>
      </c>
      <c r="Q329" s="261">
        <v>0.72</v>
      </c>
      <c r="R329" s="92"/>
    </row>
    <row r="330" spans="1:18" x14ac:dyDescent="0.25">
      <c r="A330">
        <v>1994</v>
      </c>
      <c r="B330" t="s">
        <v>285</v>
      </c>
      <c r="C330" s="263">
        <v>360025</v>
      </c>
      <c r="D330" s="157" t="s">
        <v>641</v>
      </c>
      <c r="E330" s="44">
        <v>34515</v>
      </c>
      <c r="F330" s="127" t="str">
        <f t="shared" si="24"/>
        <v>Date check - OK</v>
      </c>
      <c r="G330" s="1"/>
      <c r="H330" s="161"/>
      <c r="I330" s="37"/>
      <c r="J330" s="135">
        <f t="shared" si="25"/>
        <v>0.59839396822477431</v>
      </c>
      <c r="K330" s="112"/>
      <c r="L330" s="37">
        <v>202.5</v>
      </c>
      <c r="M330" s="37" t="s">
        <v>288</v>
      </c>
      <c r="N330" s="37">
        <v>1224.9668535506403</v>
      </c>
      <c r="O330" s="130">
        <f t="shared" si="26"/>
        <v>248055.78784400466</v>
      </c>
      <c r="P330" s="132">
        <f t="shared" si="27"/>
        <v>106873.26280494961</v>
      </c>
      <c r="Q330" s="261">
        <v>0.72</v>
      </c>
      <c r="R330" s="92"/>
    </row>
    <row r="331" spans="1:18" x14ac:dyDescent="0.25">
      <c r="A331">
        <v>1995</v>
      </c>
      <c r="B331" t="s">
        <v>285</v>
      </c>
      <c r="C331" s="263">
        <v>360240</v>
      </c>
      <c r="D331" s="157" t="s">
        <v>642</v>
      </c>
      <c r="E331" s="44">
        <v>34880</v>
      </c>
      <c r="F331" s="127" t="str">
        <f t="shared" si="24"/>
        <v>Date check - OK</v>
      </c>
      <c r="G331" s="1"/>
      <c r="H331" s="161"/>
      <c r="I331" s="37"/>
      <c r="J331" s="135">
        <f t="shared" si="25"/>
        <v>0.59839396822477431</v>
      </c>
      <c r="K331" s="112"/>
      <c r="L331" s="37">
        <v>328.94</v>
      </c>
      <c r="M331" s="37" t="s">
        <v>288</v>
      </c>
      <c r="N331" s="37">
        <v>624.71678416763677</v>
      </c>
      <c r="O331" s="130">
        <f t="shared" si="26"/>
        <v>205494.33898410245</v>
      </c>
      <c r="P331" s="132">
        <f t="shared" si="27"/>
        <v>122966.572952424</v>
      </c>
      <c r="Q331" s="261">
        <v>1</v>
      </c>
      <c r="R331" s="92"/>
    </row>
    <row r="332" spans="1:18" x14ac:dyDescent="0.25">
      <c r="A332">
        <v>1995</v>
      </c>
      <c r="B332" t="s">
        <v>285</v>
      </c>
      <c r="C332" s="263">
        <v>360239</v>
      </c>
      <c r="D332" s="157" t="s">
        <v>643</v>
      </c>
      <c r="E332" s="44">
        <v>34880</v>
      </c>
      <c r="F332" s="127" t="str">
        <f t="shared" si="24"/>
        <v>Date check - OK</v>
      </c>
      <c r="G332" s="1"/>
      <c r="H332" s="161"/>
      <c r="I332" s="37"/>
      <c r="J332" s="135">
        <f t="shared" si="25"/>
        <v>0.59839396822477431</v>
      </c>
      <c r="K332" s="112"/>
      <c r="L332" s="37">
        <v>182.2</v>
      </c>
      <c r="M332" s="37" t="s">
        <v>288</v>
      </c>
      <c r="N332" s="37">
        <v>685.06801396973219</v>
      </c>
      <c r="O332" s="130">
        <f t="shared" si="26"/>
        <v>124819.39214528519</v>
      </c>
      <c r="P332" s="132">
        <f t="shared" si="27"/>
        <v>74691.171377221428</v>
      </c>
      <c r="Q332" s="261">
        <v>1</v>
      </c>
      <c r="R332" s="92"/>
    </row>
    <row r="333" spans="1:18" x14ac:dyDescent="0.25">
      <c r="A333">
        <v>1995</v>
      </c>
      <c r="B333" t="s">
        <v>285</v>
      </c>
      <c r="C333" s="263">
        <v>360255</v>
      </c>
      <c r="D333" s="157" t="s">
        <v>644</v>
      </c>
      <c r="E333" s="44">
        <v>34880</v>
      </c>
      <c r="F333" s="127" t="str">
        <f t="shared" si="24"/>
        <v>Date check - OK</v>
      </c>
      <c r="G333" s="1"/>
      <c r="H333" s="161"/>
      <c r="I333" s="37"/>
      <c r="J333" s="135">
        <f t="shared" si="25"/>
        <v>0.59839396822477431</v>
      </c>
      <c r="K333" s="112"/>
      <c r="L333" s="37">
        <v>45.1</v>
      </c>
      <c r="M333" s="37" t="s">
        <v>288</v>
      </c>
      <c r="N333" s="37">
        <v>567.62778300349237</v>
      </c>
      <c r="O333" s="130">
        <f t="shared" si="26"/>
        <v>25600.013013457508</v>
      </c>
      <c r="P333" s="132">
        <f t="shared" si="27"/>
        <v>1685.0782711101572</v>
      </c>
      <c r="Q333" s="261">
        <v>0.11</v>
      </c>
      <c r="R333" s="92"/>
    </row>
    <row r="334" spans="1:18" x14ac:dyDescent="0.25">
      <c r="A334">
        <v>1995</v>
      </c>
      <c r="B334" t="s">
        <v>285</v>
      </c>
      <c r="C334" s="263">
        <v>360322</v>
      </c>
      <c r="D334" s="157" t="s">
        <v>645</v>
      </c>
      <c r="E334" s="44">
        <v>34880</v>
      </c>
      <c r="F334" s="127" t="str">
        <f t="shared" si="24"/>
        <v>Date check - OK</v>
      </c>
      <c r="G334" s="1"/>
      <c r="H334" s="161"/>
      <c r="I334" s="37"/>
      <c r="J334" s="135">
        <f t="shared" si="25"/>
        <v>0.59839396822477431</v>
      </c>
      <c r="K334" s="112"/>
      <c r="L334" s="37">
        <v>48.54</v>
      </c>
      <c r="M334" s="37" t="s">
        <v>288</v>
      </c>
      <c r="N334" s="37">
        <v>567.62778300349237</v>
      </c>
      <c r="O334" s="130">
        <f t="shared" si="26"/>
        <v>27552.652586989519</v>
      </c>
      <c r="P334" s="132">
        <f t="shared" si="27"/>
        <v>16487.341116647251</v>
      </c>
      <c r="Q334" s="261">
        <v>1</v>
      </c>
      <c r="R334" s="92"/>
    </row>
    <row r="335" spans="1:18" x14ac:dyDescent="0.25">
      <c r="C335" s="263"/>
      <c r="D335" s="157"/>
      <c r="E335" s="44"/>
      <c r="F335" s="127" t="str">
        <f t="shared" si="24"/>
        <v>-</v>
      </c>
      <c r="G335" s="1"/>
      <c r="H335" s="161"/>
      <c r="I335" s="37"/>
      <c r="J335" s="135">
        <f t="shared" si="25"/>
        <v>0.59839396822477431</v>
      </c>
      <c r="K335" s="112"/>
      <c r="L335" s="37"/>
      <c r="M335" s="37"/>
      <c r="N335" s="37"/>
      <c r="O335" s="130"/>
      <c r="P335" s="132"/>
      <c r="Q335" s="261"/>
      <c r="R335" s="92"/>
    </row>
    <row r="336" spans="1:18" x14ac:dyDescent="0.25">
      <c r="A336">
        <v>1973</v>
      </c>
      <c r="B336" t="s">
        <v>287</v>
      </c>
      <c r="C336" s="263">
        <v>47172</v>
      </c>
      <c r="D336" s="157" t="s">
        <v>646</v>
      </c>
      <c r="E336" s="44">
        <v>26845</v>
      </c>
      <c r="F336" s="127" t="str">
        <f t="shared" si="24"/>
        <v>Date check - OK</v>
      </c>
      <c r="G336" s="1"/>
      <c r="H336" s="161"/>
      <c r="I336" s="37"/>
      <c r="J336" s="135">
        <f t="shared" si="25"/>
        <v>0.59839396822477431</v>
      </c>
      <c r="K336" s="112"/>
      <c r="L336" s="37">
        <v>290</v>
      </c>
      <c r="M336" s="37" t="s">
        <v>288</v>
      </c>
      <c r="N336" s="37">
        <v>285.44500582072175</v>
      </c>
      <c r="O336" s="130">
        <f t="shared" si="26"/>
        <v>82779.051688009306</v>
      </c>
      <c r="P336" s="132">
        <f t="shared" si="27"/>
        <v>49534.485225471588</v>
      </c>
      <c r="Q336" s="261">
        <v>1</v>
      </c>
      <c r="R336" s="92"/>
    </row>
    <row r="337" spans="1:18" x14ac:dyDescent="0.25">
      <c r="A337">
        <v>1976</v>
      </c>
      <c r="B337" t="s">
        <v>287</v>
      </c>
      <c r="C337" s="263">
        <v>36964</v>
      </c>
      <c r="D337" s="157" t="s">
        <v>647</v>
      </c>
      <c r="E337" s="44">
        <v>27941</v>
      </c>
      <c r="F337" s="127" t="str">
        <f t="shared" si="24"/>
        <v>Date check - OK</v>
      </c>
      <c r="G337" s="1"/>
      <c r="H337" s="161"/>
      <c r="I337" s="37"/>
      <c r="J337" s="135">
        <f t="shared" si="25"/>
        <v>0.59839396822477431</v>
      </c>
      <c r="K337" s="112"/>
      <c r="L337" s="37">
        <v>342</v>
      </c>
      <c r="M337" s="37" t="s">
        <v>288</v>
      </c>
      <c r="N337" s="37">
        <v>546.42329685681023</v>
      </c>
      <c r="O337" s="130">
        <f t="shared" si="26"/>
        <v>186876.76752502911</v>
      </c>
      <c r="P337" s="132">
        <f t="shared" si="27"/>
        <v>111825.93048832081</v>
      </c>
      <c r="Q337" s="261">
        <v>1</v>
      </c>
      <c r="R337" s="92"/>
    </row>
    <row r="338" spans="1:18" x14ac:dyDescent="0.25">
      <c r="A338">
        <v>1977</v>
      </c>
      <c r="B338" t="s">
        <v>287</v>
      </c>
      <c r="C338" s="263">
        <v>37018</v>
      </c>
      <c r="D338" s="157" t="s">
        <v>648</v>
      </c>
      <c r="E338" s="44">
        <v>28306</v>
      </c>
      <c r="F338" s="127" t="str">
        <f t="shared" si="24"/>
        <v>Date check - OK</v>
      </c>
      <c r="G338" s="1"/>
      <c r="H338" s="161"/>
      <c r="I338" s="37"/>
      <c r="J338" s="135">
        <f t="shared" si="25"/>
        <v>0.59839396822477431</v>
      </c>
      <c r="K338" s="112"/>
      <c r="L338" s="37">
        <v>1010</v>
      </c>
      <c r="M338" s="37" t="s">
        <v>288</v>
      </c>
      <c r="N338" s="37">
        <v>546.42329685681023</v>
      </c>
      <c r="O338" s="130">
        <f t="shared" si="26"/>
        <v>551887.52982537833</v>
      </c>
      <c r="P338" s="132">
        <f t="shared" si="27"/>
        <v>330246.1689859766</v>
      </c>
      <c r="Q338" s="261">
        <v>1</v>
      </c>
      <c r="R338" s="92"/>
    </row>
    <row r="339" spans="1:18" x14ac:dyDescent="0.25">
      <c r="A339">
        <v>1979</v>
      </c>
      <c r="B339" t="s">
        <v>287</v>
      </c>
      <c r="C339" s="263">
        <v>47998</v>
      </c>
      <c r="D339" s="157" t="s">
        <v>649</v>
      </c>
      <c r="E339" s="44">
        <v>29036</v>
      </c>
      <c r="F339" s="127" t="str">
        <f t="shared" si="24"/>
        <v>Date check - OK</v>
      </c>
      <c r="G339" s="1"/>
      <c r="H339" s="161"/>
      <c r="I339" s="37"/>
      <c r="J339" s="135">
        <f t="shared" si="25"/>
        <v>0.59839396822477431</v>
      </c>
      <c r="K339" s="112"/>
      <c r="L339" s="37">
        <v>700</v>
      </c>
      <c r="M339" s="37" t="s">
        <v>288</v>
      </c>
      <c r="N339" s="37">
        <v>349.05846426076835</v>
      </c>
      <c r="O339" s="130">
        <f t="shared" si="26"/>
        <v>244340.92498253784</v>
      </c>
      <c r="P339" s="132">
        <f t="shared" si="27"/>
        <v>146212.1357000127</v>
      </c>
      <c r="Q339" s="261">
        <v>1</v>
      </c>
      <c r="R339" s="92"/>
    </row>
    <row r="340" spans="1:18" x14ac:dyDescent="0.25">
      <c r="A340">
        <v>1987</v>
      </c>
      <c r="B340" t="s">
        <v>287</v>
      </c>
      <c r="C340" s="263">
        <v>300517</v>
      </c>
      <c r="D340" s="157" t="s">
        <v>650</v>
      </c>
      <c r="E340" s="44">
        <v>31958</v>
      </c>
      <c r="F340" s="127" t="str">
        <f t="shared" si="24"/>
        <v>Date check - OK</v>
      </c>
      <c r="G340" s="1"/>
      <c r="H340" s="161"/>
      <c r="I340" s="37"/>
      <c r="J340" s="135">
        <f t="shared" si="25"/>
        <v>0.59839396822477431</v>
      </c>
      <c r="K340" s="112"/>
      <c r="L340" s="37">
        <v>520</v>
      </c>
      <c r="M340" s="37" t="s">
        <v>288</v>
      </c>
      <c r="N340" s="37">
        <v>399.62300814901045</v>
      </c>
      <c r="O340" s="130">
        <f t="shared" si="26"/>
        <v>207803.96423748543</v>
      </c>
      <c r="P340" s="132">
        <f t="shared" si="27"/>
        <v>124348.63877290799</v>
      </c>
      <c r="Q340" s="261">
        <v>1</v>
      </c>
      <c r="R340" s="92"/>
    </row>
    <row r="341" spans="1:18" x14ac:dyDescent="0.25">
      <c r="C341" s="263"/>
      <c r="D341" s="157"/>
      <c r="E341" s="44"/>
      <c r="F341" s="127" t="str">
        <f t="shared" si="24"/>
        <v>-</v>
      </c>
      <c r="G341" s="1"/>
      <c r="H341" s="161"/>
      <c r="I341" s="37"/>
      <c r="J341" s="135">
        <f t="shared" si="25"/>
        <v>0.59839396822477431</v>
      </c>
      <c r="K341" s="112"/>
      <c r="L341" s="37"/>
      <c r="M341" s="37"/>
      <c r="N341" s="37"/>
      <c r="O341" s="130"/>
      <c r="P341" s="132"/>
      <c r="Q341" s="261"/>
      <c r="R341" s="92"/>
    </row>
    <row r="342" spans="1:18" x14ac:dyDescent="0.25">
      <c r="A342">
        <v>1974</v>
      </c>
      <c r="B342" t="s">
        <v>284</v>
      </c>
      <c r="C342" s="263">
        <v>36628</v>
      </c>
      <c r="D342" s="157" t="s">
        <v>651</v>
      </c>
      <c r="E342" s="44">
        <v>27210</v>
      </c>
      <c r="F342" s="127" t="str">
        <f t="shared" si="24"/>
        <v>Date check - OK</v>
      </c>
      <c r="G342" s="1"/>
      <c r="H342" s="161"/>
      <c r="I342" s="37"/>
      <c r="J342" s="135">
        <f t="shared" si="25"/>
        <v>0.59839396822477431</v>
      </c>
      <c r="K342" s="112"/>
      <c r="L342" s="37">
        <v>1</v>
      </c>
      <c r="M342" s="37" t="s">
        <v>473</v>
      </c>
      <c r="N342" s="37">
        <v>203711.49841117577</v>
      </c>
      <c r="O342" s="130">
        <f t="shared" si="26"/>
        <v>203711.49841117577</v>
      </c>
      <c r="P342" s="132">
        <f t="shared" si="27"/>
        <v>121899.73190727827</v>
      </c>
      <c r="Q342" s="261">
        <v>1</v>
      </c>
      <c r="R342" s="92"/>
    </row>
    <row r="343" spans="1:18" x14ac:dyDescent="0.25">
      <c r="A343">
        <v>1976</v>
      </c>
      <c r="B343" t="s">
        <v>284</v>
      </c>
      <c r="C343" s="263">
        <v>47410</v>
      </c>
      <c r="D343" s="157" t="s">
        <v>652</v>
      </c>
      <c r="E343" s="44">
        <v>27941</v>
      </c>
      <c r="F343" s="127" t="str">
        <f t="shared" si="24"/>
        <v>Date check - OK</v>
      </c>
      <c r="G343" s="1"/>
      <c r="H343" s="161"/>
      <c r="I343" s="37"/>
      <c r="J343" s="135">
        <f t="shared" si="25"/>
        <v>0.59839396822477431</v>
      </c>
      <c r="K343" s="112"/>
      <c r="L343" s="37">
        <v>1</v>
      </c>
      <c r="M343" s="37" t="s">
        <v>473</v>
      </c>
      <c r="N343" s="37">
        <v>596469.14639161818</v>
      </c>
      <c r="O343" s="130">
        <f t="shared" si="26"/>
        <v>596469.14639161818</v>
      </c>
      <c r="P343" s="132">
        <f t="shared" si="27"/>
        <v>356923.53943292424</v>
      </c>
      <c r="Q343" s="261">
        <v>1</v>
      </c>
      <c r="R343" s="92"/>
    </row>
    <row r="344" spans="1:18" x14ac:dyDescent="0.25">
      <c r="A344">
        <v>1977</v>
      </c>
      <c r="B344" t="s">
        <v>284</v>
      </c>
      <c r="C344" s="263">
        <v>35876</v>
      </c>
      <c r="D344" s="157" t="s">
        <v>653</v>
      </c>
      <c r="E344" s="44">
        <v>28306</v>
      </c>
      <c r="F344" s="127" t="str">
        <f t="shared" ref="F344:F346" si="28">IF(E344="","-",IF(OR(E344&lt;$E$15,E344&gt;$E$16),"ERROR - date outside of range","Date check - OK"))</f>
        <v>Date check - OK</v>
      </c>
      <c r="G344" s="1"/>
      <c r="H344" s="161"/>
      <c r="I344" s="37"/>
      <c r="J344" s="135">
        <f t="shared" ref="J344:J407" si="29">J343</f>
        <v>0.59839396822477431</v>
      </c>
      <c r="K344" s="112"/>
      <c r="L344" s="37">
        <v>1</v>
      </c>
      <c r="M344" s="37" t="s">
        <v>473</v>
      </c>
      <c r="N344" s="37">
        <v>1182159.8893634458</v>
      </c>
      <c r="O344" s="130">
        <f t="shared" si="26"/>
        <v>1182159.8893634458</v>
      </c>
      <c r="P344" s="132">
        <f t="shared" si="27"/>
        <v>707397.34727235255</v>
      </c>
      <c r="Q344" s="261">
        <v>1</v>
      </c>
      <c r="R344" s="92"/>
    </row>
    <row r="345" spans="1:18" x14ac:dyDescent="0.25">
      <c r="A345">
        <v>1979</v>
      </c>
      <c r="B345" t="s">
        <v>284</v>
      </c>
      <c r="C345" s="263"/>
      <c r="D345" s="157" t="s">
        <v>654</v>
      </c>
      <c r="E345" s="44">
        <v>29036</v>
      </c>
      <c r="F345" s="127" t="str">
        <f t="shared" si="28"/>
        <v>Date check - OK</v>
      </c>
      <c r="G345" s="1"/>
      <c r="H345" s="161"/>
      <c r="I345" s="37"/>
      <c r="J345" s="135">
        <f t="shared" si="29"/>
        <v>0.59839396822477431</v>
      </c>
      <c r="K345" s="112"/>
      <c r="L345" s="37">
        <v>1</v>
      </c>
      <c r="M345" s="37" t="s">
        <v>473</v>
      </c>
      <c r="N345" s="37">
        <v>389754.76651920838</v>
      </c>
      <c r="O345" s="130">
        <f t="shared" si="26"/>
        <v>389754.76651920838</v>
      </c>
      <c r="P345" s="132">
        <f t="shared" si="27"/>
        <v>233226.9013719495</v>
      </c>
      <c r="Q345" s="261">
        <v>1</v>
      </c>
      <c r="R345" s="92"/>
    </row>
    <row r="346" spans="1:18" x14ac:dyDescent="0.25">
      <c r="A346">
        <v>1991</v>
      </c>
      <c r="B346" t="s">
        <v>284</v>
      </c>
      <c r="C346" s="263">
        <v>37294</v>
      </c>
      <c r="D346" s="157" t="s">
        <v>655</v>
      </c>
      <c r="E346" s="44">
        <v>33419</v>
      </c>
      <c r="F346" s="127" t="str">
        <f t="shared" si="28"/>
        <v>Date check - OK</v>
      </c>
      <c r="G346" s="1"/>
      <c r="H346" s="161"/>
      <c r="I346" s="37"/>
      <c r="J346" s="135">
        <f t="shared" si="29"/>
        <v>0.59839396822477431</v>
      </c>
      <c r="K346" s="112"/>
      <c r="L346" s="37">
        <v>1</v>
      </c>
      <c r="M346" s="37" t="s">
        <v>473</v>
      </c>
      <c r="N346" s="37">
        <v>334631.25810942956</v>
      </c>
      <c r="O346" s="130">
        <f t="shared" si="26"/>
        <v>334631.25810942956</v>
      </c>
      <c r="P346" s="132">
        <f t="shared" si="27"/>
        <v>200241.32643215024</v>
      </c>
      <c r="Q346" s="261">
        <v>1</v>
      </c>
      <c r="R346" s="92"/>
    </row>
    <row r="347" spans="1:18" x14ac:dyDescent="0.25">
      <c r="C347" s="263"/>
      <c r="D347" s="157"/>
      <c r="E347" s="44"/>
      <c r="F347" s="127"/>
      <c r="G347" s="1"/>
      <c r="H347" s="161"/>
      <c r="I347" s="37"/>
      <c r="J347" s="135">
        <f t="shared" si="29"/>
        <v>0.59839396822477431</v>
      </c>
      <c r="K347" s="112"/>
      <c r="L347" s="37"/>
      <c r="M347" s="37"/>
      <c r="N347" s="37"/>
      <c r="O347" s="130"/>
      <c r="P347" s="132"/>
      <c r="Q347" s="261"/>
      <c r="R347" s="92"/>
    </row>
    <row r="348" spans="1:18" x14ac:dyDescent="0.25">
      <c r="C348" s="263"/>
      <c r="D348" s="157"/>
      <c r="E348" s="44"/>
      <c r="F348" s="127"/>
      <c r="G348" s="1"/>
      <c r="H348" s="161"/>
      <c r="I348" s="37"/>
      <c r="J348" s="135">
        <f t="shared" si="29"/>
        <v>0.59839396822477431</v>
      </c>
      <c r="K348" s="112"/>
      <c r="L348" s="37"/>
      <c r="M348" s="37"/>
      <c r="N348" s="37"/>
      <c r="O348" s="130"/>
      <c r="P348" s="132"/>
      <c r="Q348" s="261"/>
      <c r="R348" s="92"/>
    </row>
    <row r="349" spans="1:18" x14ac:dyDescent="0.25">
      <c r="C349" s="263"/>
      <c r="D349" s="157"/>
      <c r="E349" s="44"/>
      <c r="F349" s="127"/>
      <c r="G349" s="1"/>
      <c r="H349" s="161"/>
      <c r="I349" s="37"/>
      <c r="J349" s="135">
        <f t="shared" si="29"/>
        <v>0.59839396822477431</v>
      </c>
      <c r="K349" s="112"/>
      <c r="L349" s="37"/>
      <c r="M349" s="37"/>
      <c r="N349" s="37"/>
      <c r="O349" s="130"/>
      <c r="P349" s="132"/>
      <c r="Q349" s="261"/>
      <c r="R349" s="92"/>
    </row>
    <row r="350" spans="1:18" x14ac:dyDescent="0.25">
      <c r="C350" s="263"/>
      <c r="D350" s="157"/>
      <c r="E350" s="44"/>
      <c r="F350" s="127"/>
      <c r="G350" s="1"/>
      <c r="H350" s="161"/>
      <c r="I350" s="37"/>
      <c r="J350" s="135">
        <f t="shared" si="29"/>
        <v>0.59839396822477431</v>
      </c>
      <c r="K350" s="112"/>
      <c r="L350" s="37"/>
      <c r="M350" s="37"/>
      <c r="N350" s="37"/>
      <c r="O350" s="130"/>
      <c r="P350" s="132"/>
      <c r="Q350" s="261"/>
      <c r="R350" s="92"/>
    </row>
    <row r="351" spans="1:18" x14ac:dyDescent="0.25">
      <c r="C351" s="263"/>
      <c r="D351" s="157"/>
      <c r="E351" s="44"/>
      <c r="F351" s="127"/>
      <c r="G351" s="1"/>
      <c r="H351" s="161"/>
      <c r="I351" s="37"/>
      <c r="J351" s="135">
        <f t="shared" si="29"/>
        <v>0.59839396822477431</v>
      </c>
      <c r="K351" s="112"/>
      <c r="L351" s="37"/>
      <c r="M351" s="37"/>
      <c r="N351" s="37"/>
      <c r="O351" s="130"/>
      <c r="P351" s="132"/>
      <c r="Q351" s="261"/>
      <c r="R351" s="92"/>
    </row>
    <row r="352" spans="1:18" x14ac:dyDescent="0.25">
      <c r="C352" s="263"/>
      <c r="D352" s="157"/>
      <c r="E352" s="44"/>
      <c r="F352" s="127"/>
      <c r="G352" s="1"/>
      <c r="H352" s="161"/>
      <c r="I352" s="37"/>
      <c r="J352" s="135">
        <f t="shared" si="29"/>
        <v>0.59839396822477431</v>
      </c>
      <c r="K352" s="112"/>
      <c r="L352" s="37"/>
      <c r="M352" s="37"/>
      <c r="N352" s="37"/>
      <c r="O352" s="130"/>
      <c r="P352" s="132"/>
      <c r="Q352" s="261"/>
      <c r="R352" s="92"/>
    </row>
    <row r="353" spans="3:18" x14ac:dyDescent="0.25">
      <c r="C353" s="263"/>
      <c r="D353" s="157"/>
      <c r="E353" s="44"/>
      <c r="F353" s="127"/>
      <c r="G353" s="1"/>
      <c r="H353" s="161"/>
      <c r="I353" s="37"/>
      <c r="J353" s="135">
        <f t="shared" si="29"/>
        <v>0.59839396822477431</v>
      </c>
      <c r="K353" s="112"/>
      <c r="L353" s="37"/>
      <c r="M353" s="37"/>
      <c r="N353" s="37"/>
      <c r="O353" s="130"/>
      <c r="P353" s="132"/>
      <c r="Q353" s="261"/>
      <c r="R353" s="92"/>
    </row>
    <row r="354" spans="3:18" x14ac:dyDescent="0.25">
      <c r="C354" s="263"/>
      <c r="D354" s="157"/>
      <c r="E354" s="44"/>
      <c r="F354" s="127"/>
      <c r="G354" s="1"/>
      <c r="H354" s="161"/>
      <c r="I354" s="37"/>
      <c r="J354" s="135">
        <f t="shared" si="29"/>
        <v>0.59839396822477431</v>
      </c>
      <c r="K354" s="112"/>
      <c r="L354" s="37"/>
      <c r="M354" s="37"/>
      <c r="N354" s="37"/>
      <c r="O354" s="130"/>
      <c r="P354" s="132"/>
      <c r="Q354" s="261"/>
      <c r="R354" s="92"/>
    </row>
    <row r="355" spans="3:18" x14ac:dyDescent="0.25">
      <c r="C355" s="263"/>
      <c r="D355" s="157"/>
      <c r="E355" s="44"/>
      <c r="F355" s="127"/>
      <c r="G355" s="1"/>
      <c r="H355" s="161"/>
      <c r="I355" s="37"/>
      <c r="J355" s="135">
        <f t="shared" si="29"/>
        <v>0.59839396822477431</v>
      </c>
      <c r="K355" s="112"/>
      <c r="L355" s="37"/>
      <c r="M355" s="37"/>
      <c r="N355" s="37"/>
      <c r="O355" s="130"/>
      <c r="P355" s="132"/>
      <c r="Q355" s="261"/>
      <c r="R355" s="92"/>
    </row>
    <row r="356" spans="3:18" x14ac:dyDescent="0.25">
      <c r="C356" s="263"/>
      <c r="D356" s="157"/>
      <c r="E356" s="44"/>
      <c r="F356" s="127"/>
      <c r="G356" s="1"/>
      <c r="H356" s="161"/>
      <c r="I356" s="37"/>
      <c r="J356" s="135">
        <f t="shared" si="29"/>
        <v>0.59839396822477431</v>
      </c>
      <c r="K356" s="112"/>
      <c r="L356" s="37"/>
      <c r="M356" s="37"/>
      <c r="N356" s="37"/>
      <c r="O356" s="130"/>
      <c r="P356" s="132"/>
      <c r="Q356" s="261"/>
      <c r="R356" s="92"/>
    </row>
    <row r="357" spans="3:18" x14ac:dyDescent="0.25">
      <c r="C357" s="263"/>
      <c r="D357" s="157"/>
      <c r="E357" s="44"/>
      <c r="F357" s="127"/>
      <c r="G357" s="1"/>
      <c r="H357" s="161"/>
      <c r="I357" s="37"/>
      <c r="J357" s="135">
        <f t="shared" si="29"/>
        <v>0.59839396822477431</v>
      </c>
      <c r="K357" s="112"/>
      <c r="L357" s="37"/>
      <c r="M357" s="37"/>
      <c r="N357" s="37"/>
      <c r="O357" s="130"/>
      <c r="P357" s="132"/>
      <c r="Q357" s="261"/>
      <c r="R357" s="92"/>
    </row>
    <row r="358" spans="3:18" x14ac:dyDescent="0.25">
      <c r="C358" s="263"/>
      <c r="D358" s="157"/>
      <c r="E358" s="44"/>
      <c r="F358" s="127"/>
      <c r="G358" s="1"/>
      <c r="H358" s="161"/>
      <c r="I358" s="37"/>
      <c r="J358" s="135">
        <f t="shared" si="29"/>
        <v>0.59839396822477431</v>
      </c>
      <c r="K358" s="112"/>
      <c r="L358" s="37"/>
      <c r="M358" s="37"/>
      <c r="N358" s="37"/>
      <c r="O358" s="130"/>
      <c r="P358" s="132"/>
      <c r="Q358" s="261"/>
      <c r="R358" s="92"/>
    </row>
    <row r="359" spans="3:18" x14ac:dyDescent="0.25">
      <c r="C359" s="263"/>
      <c r="D359" s="157"/>
      <c r="E359" s="44"/>
      <c r="F359" s="127"/>
      <c r="G359" s="1"/>
      <c r="H359" s="161"/>
      <c r="I359" s="37"/>
      <c r="J359" s="135">
        <f t="shared" si="29"/>
        <v>0.59839396822477431</v>
      </c>
      <c r="K359" s="112"/>
      <c r="L359" s="37"/>
      <c r="M359" s="37"/>
      <c r="N359" s="37"/>
      <c r="O359" s="130"/>
      <c r="P359" s="132"/>
      <c r="Q359" s="261"/>
      <c r="R359" s="92"/>
    </row>
    <row r="360" spans="3:18" x14ac:dyDescent="0.25">
      <c r="C360" s="263"/>
      <c r="D360" s="157"/>
      <c r="E360" s="44"/>
      <c r="F360" s="127"/>
      <c r="G360" s="1"/>
      <c r="H360" s="161"/>
      <c r="I360" s="37"/>
      <c r="J360" s="135">
        <f t="shared" si="29"/>
        <v>0.59839396822477431</v>
      </c>
      <c r="K360" s="112"/>
      <c r="L360" s="37"/>
      <c r="M360" s="37"/>
      <c r="N360" s="37"/>
      <c r="O360" s="130"/>
      <c r="P360" s="132"/>
      <c r="Q360" s="261"/>
      <c r="R360" s="92"/>
    </row>
    <row r="361" spans="3:18" x14ac:dyDescent="0.25">
      <c r="C361" s="263"/>
      <c r="D361" s="157"/>
      <c r="E361" s="44"/>
      <c r="F361" s="127"/>
      <c r="G361" s="1"/>
      <c r="H361" s="161"/>
      <c r="I361" s="37"/>
      <c r="J361" s="135">
        <f t="shared" si="29"/>
        <v>0.59839396822477431</v>
      </c>
      <c r="K361" s="112"/>
      <c r="L361" s="37"/>
      <c r="M361" s="37"/>
      <c r="N361" s="37"/>
      <c r="O361" s="130"/>
      <c r="P361" s="132"/>
      <c r="Q361" s="261"/>
      <c r="R361" s="92"/>
    </row>
    <row r="362" spans="3:18" x14ac:dyDescent="0.25">
      <c r="C362" s="263"/>
      <c r="D362" s="157"/>
      <c r="E362" s="44"/>
      <c r="F362" s="127"/>
      <c r="G362" s="1"/>
      <c r="H362" s="161"/>
      <c r="I362" s="37"/>
      <c r="J362" s="135">
        <f t="shared" si="29"/>
        <v>0.59839396822477431</v>
      </c>
      <c r="K362" s="112"/>
      <c r="L362" s="37"/>
      <c r="M362" s="37"/>
      <c r="N362" s="37"/>
      <c r="O362" s="130"/>
      <c r="P362" s="132"/>
      <c r="Q362" s="261"/>
      <c r="R362" s="92"/>
    </row>
    <row r="363" spans="3:18" x14ac:dyDescent="0.25">
      <c r="C363" s="263"/>
      <c r="D363" s="157"/>
      <c r="E363" s="44"/>
      <c r="F363" s="127"/>
      <c r="G363" s="1"/>
      <c r="H363" s="161"/>
      <c r="I363" s="37"/>
      <c r="J363" s="135">
        <f t="shared" si="29"/>
        <v>0.59839396822477431</v>
      </c>
      <c r="K363" s="112"/>
      <c r="L363" s="37"/>
      <c r="M363" s="37"/>
      <c r="N363" s="37"/>
      <c r="O363" s="130"/>
      <c r="P363" s="132"/>
      <c r="Q363" s="261"/>
      <c r="R363" s="92"/>
    </row>
    <row r="364" spans="3:18" x14ac:dyDescent="0.25">
      <c r="C364" s="263"/>
      <c r="D364" s="157"/>
      <c r="E364" s="44"/>
      <c r="F364" s="127"/>
      <c r="G364" s="1"/>
      <c r="H364" s="161"/>
      <c r="I364" s="37"/>
      <c r="J364" s="135">
        <f t="shared" si="29"/>
        <v>0.59839396822477431</v>
      </c>
      <c r="K364" s="112"/>
      <c r="L364" s="37"/>
      <c r="M364" s="37"/>
      <c r="N364" s="37"/>
      <c r="O364" s="130"/>
      <c r="P364" s="132"/>
      <c r="Q364" s="261"/>
      <c r="R364" s="92"/>
    </row>
    <row r="365" spans="3:18" x14ac:dyDescent="0.25">
      <c r="C365" s="263"/>
      <c r="D365" s="157"/>
      <c r="E365" s="44"/>
      <c r="F365" s="127"/>
      <c r="G365" s="1"/>
      <c r="H365" s="161"/>
      <c r="I365" s="37"/>
      <c r="J365" s="135">
        <f t="shared" si="29"/>
        <v>0.59839396822477431</v>
      </c>
      <c r="K365" s="112"/>
      <c r="L365" s="37"/>
      <c r="M365" s="37"/>
      <c r="N365" s="37"/>
      <c r="O365" s="130"/>
      <c r="P365" s="132"/>
      <c r="Q365" s="261"/>
      <c r="R365" s="92"/>
    </row>
    <row r="366" spans="3:18" x14ac:dyDescent="0.25">
      <c r="C366" s="263"/>
      <c r="D366" s="157"/>
      <c r="E366" s="44"/>
      <c r="F366" s="127"/>
      <c r="G366" s="1"/>
      <c r="H366" s="161"/>
      <c r="I366" s="37"/>
      <c r="J366" s="135">
        <f t="shared" si="29"/>
        <v>0.59839396822477431</v>
      </c>
      <c r="K366" s="112"/>
      <c r="L366" s="37"/>
      <c r="M366" s="37"/>
      <c r="N366" s="37"/>
      <c r="O366" s="130"/>
      <c r="P366" s="132"/>
      <c r="Q366" s="261"/>
      <c r="R366" s="92"/>
    </row>
    <row r="367" spans="3:18" x14ac:dyDescent="0.25">
      <c r="C367" s="263"/>
      <c r="D367" s="157"/>
      <c r="E367" s="44"/>
      <c r="F367" s="127"/>
      <c r="G367" s="1"/>
      <c r="H367" s="161"/>
      <c r="I367" s="37"/>
      <c r="J367" s="135">
        <f t="shared" si="29"/>
        <v>0.59839396822477431</v>
      </c>
      <c r="K367" s="112"/>
      <c r="L367" s="37"/>
      <c r="M367" s="37"/>
      <c r="N367" s="37"/>
      <c r="O367" s="130"/>
      <c r="P367" s="132"/>
      <c r="Q367" s="261"/>
      <c r="R367" s="92"/>
    </row>
    <row r="368" spans="3:18" x14ac:dyDescent="0.25">
      <c r="C368" s="263"/>
      <c r="D368" s="157"/>
      <c r="E368" s="44"/>
      <c r="F368" s="127"/>
      <c r="G368" s="1"/>
      <c r="H368" s="161"/>
      <c r="I368" s="37"/>
      <c r="J368" s="135">
        <f t="shared" si="29"/>
        <v>0.59839396822477431</v>
      </c>
      <c r="K368" s="112"/>
      <c r="L368" s="37"/>
      <c r="M368" s="37"/>
      <c r="N368" s="37"/>
      <c r="O368" s="130"/>
      <c r="P368" s="132"/>
      <c r="Q368" s="261"/>
      <c r="R368" s="92"/>
    </row>
    <row r="369" spans="3:18" x14ac:dyDescent="0.25">
      <c r="C369" s="263"/>
      <c r="D369" s="157"/>
      <c r="E369" s="44"/>
      <c r="F369" s="127"/>
      <c r="G369" s="1"/>
      <c r="H369" s="161"/>
      <c r="I369" s="37"/>
      <c r="J369" s="135">
        <f t="shared" si="29"/>
        <v>0.59839396822477431</v>
      </c>
      <c r="K369" s="112"/>
      <c r="L369" s="37"/>
      <c r="M369" s="37"/>
      <c r="N369" s="37"/>
      <c r="O369" s="130"/>
      <c r="P369" s="132"/>
      <c r="Q369" s="261"/>
      <c r="R369" s="92"/>
    </row>
    <row r="370" spans="3:18" x14ac:dyDescent="0.25">
      <c r="C370" s="263"/>
      <c r="D370" s="157"/>
      <c r="E370" s="44"/>
      <c r="F370" s="127"/>
      <c r="G370" s="1"/>
      <c r="H370" s="161"/>
      <c r="I370" s="37"/>
      <c r="J370" s="135">
        <f t="shared" si="29"/>
        <v>0.59839396822477431</v>
      </c>
      <c r="K370" s="112"/>
      <c r="L370" s="37"/>
      <c r="M370" s="37"/>
      <c r="N370" s="37"/>
      <c r="O370" s="130"/>
      <c r="P370" s="132"/>
      <c r="Q370" s="261"/>
      <c r="R370" s="92"/>
    </row>
    <row r="371" spans="3:18" x14ac:dyDescent="0.25">
      <c r="C371" s="263"/>
      <c r="D371" s="157"/>
      <c r="E371" s="44"/>
      <c r="F371" s="127"/>
      <c r="G371" s="1"/>
      <c r="H371" s="161"/>
      <c r="I371" s="37"/>
      <c r="J371" s="135">
        <f t="shared" si="29"/>
        <v>0.59839396822477431</v>
      </c>
      <c r="K371" s="112"/>
      <c r="L371" s="37"/>
      <c r="M371" s="37"/>
      <c r="N371" s="37"/>
      <c r="O371" s="130"/>
      <c r="P371" s="132"/>
      <c r="Q371" s="261"/>
      <c r="R371" s="92"/>
    </row>
    <row r="372" spans="3:18" x14ac:dyDescent="0.25">
      <c r="C372" s="263"/>
      <c r="D372" s="157"/>
      <c r="E372" s="44"/>
      <c r="F372" s="127"/>
      <c r="G372" s="1"/>
      <c r="H372" s="161"/>
      <c r="I372" s="37"/>
      <c r="J372" s="135">
        <f t="shared" si="29"/>
        <v>0.59839396822477431</v>
      </c>
      <c r="K372" s="112"/>
      <c r="L372" s="37"/>
      <c r="M372" s="37"/>
      <c r="N372" s="37"/>
      <c r="O372" s="130"/>
      <c r="P372" s="132"/>
      <c r="Q372" s="261"/>
      <c r="R372" s="92"/>
    </row>
    <row r="373" spans="3:18" x14ac:dyDescent="0.25">
      <c r="C373" s="263"/>
      <c r="D373" s="157"/>
      <c r="E373" s="44"/>
      <c r="F373" s="127"/>
      <c r="G373" s="1"/>
      <c r="H373" s="161"/>
      <c r="I373" s="37"/>
      <c r="J373" s="135">
        <f t="shared" si="29"/>
        <v>0.59839396822477431</v>
      </c>
      <c r="K373" s="112"/>
      <c r="L373" s="37"/>
      <c r="M373" s="37"/>
      <c r="N373" s="37"/>
      <c r="O373" s="130"/>
      <c r="P373" s="132"/>
      <c r="Q373" s="261"/>
      <c r="R373" s="92"/>
    </row>
    <row r="374" spans="3:18" x14ac:dyDescent="0.25">
      <c r="C374" s="263"/>
      <c r="D374" s="157"/>
      <c r="E374" s="44"/>
      <c r="F374" s="127"/>
      <c r="G374" s="1"/>
      <c r="H374" s="161"/>
      <c r="I374" s="37"/>
      <c r="J374" s="135">
        <f t="shared" si="29"/>
        <v>0.59839396822477431</v>
      </c>
      <c r="K374" s="112"/>
      <c r="L374" s="37"/>
      <c r="M374" s="37"/>
      <c r="N374" s="37"/>
      <c r="O374" s="130"/>
      <c r="P374" s="132"/>
      <c r="Q374" s="261"/>
      <c r="R374" s="92"/>
    </row>
    <row r="375" spans="3:18" x14ac:dyDescent="0.25">
      <c r="C375" s="263"/>
      <c r="D375" s="157"/>
      <c r="E375" s="44"/>
      <c r="F375" s="127"/>
      <c r="G375" s="1"/>
      <c r="H375" s="161"/>
      <c r="I375" s="37"/>
      <c r="J375" s="135">
        <f t="shared" si="29"/>
        <v>0.59839396822477431</v>
      </c>
      <c r="K375" s="112"/>
      <c r="L375" s="37"/>
      <c r="M375" s="37"/>
      <c r="N375" s="37"/>
      <c r="O375" s="130"/>
      <c r="P375" s="132"/>
      <c r="Q375" s="261"/>
      <c r="R375" s="92"/>
    </row>
    <row r="376" spans="3:18" x14ac:dyDescent="0.25">
      <c r="C376" s="263"/>
      <c r="D376" s="157"/>
      <c r="E376" s="44"/>
      <c r="F376" s="127"/>
      <c r="G376" s="1"/>
      <c r="H376" s="161"/>
      <c r="I376" s="37"/>
      <c r="J376" s="135">
        <f t="shared" si="29"/>
        <v>0.59839396822477431</v>
      </c>
      <c r="K376" s="112"/>
      <c r="L376" s="37"/>
      <c r="M376" s="37"/>
      <c r="N376" s="37"/>
      <c r="O376" s="130"/>
      <c r="P376" s="132"/>
      <c r="Q376" s="261"/>
      <c r="R376" s="92"/>
    </row>
    <row r="377" spans="3:18" x14ac:dyDescent="0.25">
      <c r="C377" s="263"/>
      <c r="D377" s="157"/>
      <c r="E377" s="44"/>
      <c r="F377" s="127"/>
      <c r="G377" s="1"/>
      <c r="H377" s="161"/>
      <c r="I377" s="37"/>
      <c r="J377" s="135">
        <f t="shared" si="29"/>
        <v>0.59839396822477431</v>
      </c>
      <c r="K377" s="112"/>
      <c r="L377" s="37"/>
      <c r="M377" s="37"/>
      <c r="N377" s="37"/>
      <c r="O377" s="130"/>
      <c r="P377" s="132"/>
      <c r="Q377" s="261"/>
      <c r="R377" s="92"/>
    </row>
    <row r="378" spans="3:18" x14ac:dyDescent="0.25">
      <c r="C378" s="263"/>
      <c r="D378" s="157"/>
      <c r="E378" s="44"/>
      <c r="F378" s="127"/>
      <c r="G378" s="1"/>
      <c r="H378" s="161"/>
      <c r="I378" s="37"/>
      <c r="J378" s="135">
        <f t="shared" si="29"/>
        <v>0.59839396822477431</v>
      </c>
      <c r="K378" s="112"/>
      <c r="L378" s="37"/>
      <c r="M378" s="37"/>
      <c r="N378" s="37"/>
      <c r="O378" s="130"/>
      <c r="P378" s="132"/>
      <c r="Q378" s="261"/>
      <c r="R378" s="92"/>
    </row>
    <row r="379" spans="3:18" x14ac:dyDescent="0.25">
      <c r="C379" s="263"/>
      <c r="D379" s="157"/>
      <c r="E379" s="44"/>
      <c r="F379" s="127"/>
      <c r="G379" s="1"/>
      <c r="H379" s="161"/>
      <c r="I379" s="37"/>
      <c r="J379" s="135">
        <f t="shared" si="29"/>
        <v>0.59839396822477431</v>
      </c>
      <c r="K379" s="112"/>
      <c r="L379" s="37"/>
      <c r="M379" s="37"/>
      <c r="N379" s="37"/>
      <c r="O379" s="130"/>
      <c r="P379" s="132"/>
      <c r="Q379" s="261"/>
      <c r="R379" s="92"/>
    </row>
    <row r="380" spans="3:18" x14ac:dyDescent="0.25">
      <c r="C380" s="263"/>
      <c r="D380" s="157"/>
      <c r="E380" s="44"/>
      <c r="F380" s="127"/>
      <c r="G380" s="1"/>
      <c r="H380" s="161"/>
      <c r="I380" s="37"/>
      <c r="J380" s="135">
        <f t="shared" si="29"/>
        <v>0.59839396822477431</v>
      </c>
      <c r="K380" s="112"/>
      <c r="L380" s="37"/>
      <c r="M380" s="37"/>
      <c r="N380" s="37"/>
      <c r="O380" s="130"/>
      <c r="P380" s="132"/>
      <c r="Q380" s="261"/>
      <c r="R380" s="92"/>
    </row>
    <row r="381" spans="3:18" x14ac:dyDescent="0.25">
      <c r="C381" s="263"/>
      <c r="D381" s="157"/>
      <c r="E381" s="44"/>
      <c r="F381" s="127"/>
      <c r="G381" s="1"/>
      <c r="H381" s="161"/>
      <c r="I381" s="37"/>
      <c r="J381" s="135">
        <f t="shared" si="29"/>
        <v>0.59839396822477431</v>
      </c>
      <c r="K381" s="112"/>
      <c r="L381" s="37"/>
      <c r="M381" s="37"/>
      <c r="N381" s="37"/>
      <c r="O381" s="130"/>
      <c r="P381" s="132"/>
      <c r="Q381" s="261"/>
      <c r="R381" s="92"/>
    </row>
    <row r="382" spans="3:18" x14ac:dyDescent="0.25">
      <c r="C382" s="263"/>
      <c r="D382" s="157"/>
      <c r="E382" s="44"/>
      <c r="F382" s="127"/>
      <c r="G382" s="1"/>
      <c r="H382" s="161"/>
      <c r="I382" s="37"/>
      <c r="J382" s="135">
        <f t="shared" si="29"/>
        <v>0.59839396822477431</v>
      </c>
      <c r="K382" s="112"/>
      <c r="L382" s="37"/>
      <c r="M382" s="37"/>
      <c r="N382" s="37"/>
      <c r="O382" s="130"/>
      <c r="P382" s="132"/>
      <c r="Q382" s="261"/>
      <c r="R382" s="92"/>
    </row>
    <row r="383" spans="3:18" x14ac:dyDescent="0.25">
      <c r="C383" s="263"/>
      <c r="D383" s="157"/>
      <c r="E383" s="44"/>
      <c r="F383" s="127"/>
      <c r="G383" s="1"/>
      <c r="H383" s="161"/>
      <c r="I383" s="37"/>
      <c r="J383" s="135">
        <f t="shared" si="29"/>
        <v>0.59839396822477431</v>
      </c>
      <c r="K383" s="112"/>
      <c r="L383" s="37"/>
      <c r="M383" s="37"/>
      <c r="N383" s="37"/>
      <c r="O383" s="130"/>
      <c r="P383" s="132"/>
      <c r="Q383" s="261"/>
      <c r="R383" s="92"/>
    </row>
    <row r="384" spans="3:18" x14ac:dyDescent="0.25">
      <c r="C384" s="263"/>
      <c r="D384" s="157"/>
      <c r="E384" s="44"/>
      <c r="F384" s="127"/>
      <c r="G384" s="1"/>
      <c r="H384" s="161"/>
      <c r="I384" s="37"/>
      <c r="J384" s="135">
        <f t="shared" si="29"/>
        <v>0.59839396822477431</v>
      </c>
      <c r="K384" s="112"/>
      <c r="L384" s="37"/>
      <c r="M384" s="37"/>
      <c r="N384" s="37"/>
      <c r="O384" s="130"/>
      <c r="P384" s="132"/>
      <c r="Q384" s="261"/>
      <c r="R384" s="92"/>
    </row>
    <row r="385" spans="3:18" x14ac:dyDescent="0.25">
      <c r="C385" s="263"/>
      <c r="D385" s="157"/>
      <c r="E385" s="44"/>
      <c r="F385" s="127"/>
      <c r="G385" s="1"/>
      <c r="H385" s="161"/>
      <c r="I385" s="37"/>
      <c r="J385" s="135">
        <f t="shared" si="29"/>
        <v>0.59839396822477431</v>
      </c>
      <c r="K385" s="112"/>
      <c r="L385" s="37"/>
      <c r="M385" s="37"/>
      <c r="N385" s="37"/>
      <c r="O385" s="130"/>
      <c r="P385" s="132"/>
      <c r="Q385" s="261"/>
      <c r="R385" s="92"/>
    </row>
    <row r="386" spans="3:18" x14ac:dyDescent="0.25">
      <c r="C386" s="263"/>
      <c r="D386" s="157"/>
      <c r="E386" s="44"/>
      <c r="F386" s="127"/>
      <c r="G386" s="1"/>
      <c r="H386" s="161"/>
      <c r="I386" s="37"/>
      <c r="J386" s="135">
        <f t="shared" si="29"/>
        <v>0.59839396822477431</v>
      </c>
      <c r="K386" s="112"/>
      <c r="L386" s="37"/>
      <c r="M386" s="37"/>
      <c r="N386" s="37"/>
      <c r="O386" s="130"/>
      <c r="P386" s="132"/>
      <c r="Q386" s="261"/>
      <c r="R386" s="92"/>
    </row>
    <row r="387" spans="3:18" x14ac:dyDescent="0.25">
      <c r="C387" s="263"/>
      <c r="D387" s="157"/>
      <c r="E387" s="44"/>
      <c r="F387" s="127"/>
      <c r="G387" s="1"/>
      <c r="H387" s="161"/>
      <c r="I387" s="37"/>
      <c r="J387" s="135">
        <f t="shared" si="29"/>
        <v>0.59839396822477431</v>
      </c>
      <c r="K387" s="112"/>
      <c r="L387" s="37"/>
      <c r="M387" s="37"/>
      <c r="N387" s="37"/>
      <c r="O387" s="130"/>
      <c r="P387" s="132"/>
      <c r="Q387" s="261"/>
      <c r="R387" s="92"/>
    </row>
    <row r="388" spans="3:18" x14ac:dyDescent="0.25">
      <c r="C388" s="263"/>
      <c r="D388" s="157"/>
      <c r="E388" s="44"/>
      <c r="F388" s="127"/>
      <c r="G388" s="1"/>
      <c r="H388" s="161"/>
      <c r="I388" s="37"/>
      <c r="J388" s="135">
        <f t="shared" si="29"/>
        <v>0.59839396822477431</v>
      </c>
      <c r="K388" s="112"/>
      <c r="L388" s="37"/>
      <c r="M388" s="37"/>
      <c r="N388" s="37"/>
      <c r="O388" s="130"/>
      <c r="P388" s="132"/>
      <c r="Q388" s="261"/>
      <c r="R388" s="92"/>
    </row>
    <row r="389" spans="3:18" x14ac:dyDescent="0.25">
      <c r="C389" s="263"/>
      <c r="D389" s="157"/>
      <c r="E389" s="44"/>
      <c r="F389" s="127"/>
      <c r="G389" s="1"/>
      <c r="H389" s="161"/>
      <c r="I389" s="37"/>
      <c r="J389" s="135">
        <f t="shared" si="29"/>
        <v>0.59839396822477431</v>
      </c>
      <c r="K389" s="112"/>
      <c r="L389" s="37"/>
      <c r="M389" s="37"/>
      <c r="N389" s="37"/>
      <c r="O389" s="130"/>
      <c r="P389" s="132"/>
      <c r="Q389" s="261"/>
      <c r="R389" s="92"/>
    </row>
    <row r="390" spans="3:18" x14ac:dyDescent="0.25">
      <c r="C390" s="263"/>
      <c r="D390" s="157"/>
      <c r="E390" s="44"/>
      <c r="F390" s="127"/>
      <c r="G390" s="1"/>
      <c r="H390" s="161"/>
      <c r="I390" s="37"/>
      <c r="J390" s="135">
        <f t="shared" si="29"/>
        <v>0.59839396822477431</v>
      </c>
      <c r="K390" s="112"/>
      <c r="L390" s="37"/>
      <c r="M390" s="37"/>
      <c r="N390" s="37"/>
      <c r="O390" s="130"/>
      <c r="P390" s="132"/>
      <c r="Q390" s="261"/>
      <c r="R390" s="92"/>
    </row>
    <row r="391" spans="3:18" x14ac:dyDescent="0.25">
      <c r="C391" s="263"/>
      <c r="D391" s="157"/>
      <c r="E391" s="44"/>
      <c r="F391" s="127"/>
      <c r="G391" s="1"/>
      <c r="H391" s="161"/>
      <c r="I391" s="37"/>
      <c r="J391" s="135">
        <f t="shared" si="29"/>
        <v>0.59839396822477431</v>
      </c>
      <c r="K391" s="112"/>
      <c r="L391" s="37"/>
      <c r="M391" s="37"/>
      <c r="N391" s="37"/>
      <c r="O391" s="130"/>
      <c r="P391" s="132"/>
      <c r="Q391" s="261"/>
      <c r="R391" s="92"/>
    </row>
    <row r="392" spans="3:18" x14ac:dyDescent="0.25">
      <c r="C392" s="263"/>
      <c r="D392" s="157"/>
      <c r="E392" s="44"/>
      <c r="F392" s="127"/>
      <c r="G392" s="1"/>
      <c r="H392" s="161"/>
      <c r="I392" s="37"/>
      <c r="J392" s="135">
        <f t="shared" si="29"/>
        <v>0.59839396822477431</v>
      </c>
      <c r="K392" s="112"/>
      <c r="L392" s="37"/>
      <c r="M392" s="37"/>
      <c r="N392" s="37"/>
      <c r="O392" s="130"/>
      <c r="P392" s="132"/>
      <c r="Q392" s="261"/>
      <c r="R392" s="92"/>
    </row>
    <row r="393" spans="3:18" x14ac:dyDescent="0.25">
      <c r="C393" s="263"/>
      <c r="D393" s="157"/>
      <c r="E393" s="44"/>
      <c r="F393" s="127"/>
      <c r="G393" s="1"/>
      <c r="H393" s="161"/>
      <c r="I393" s="37"/>
      <c r="J393" s="135">
        <f t="shared" si="29"/>
        <v>0.59839396822477431</v>
      </c>
      <c r="K393" s="112"/>
      <c r="L393" s="37"/>
      <c r="M393" s="37"/>
      <c r="N393" s="37"/>
      <c r="O393" s="130"/>
      <c r="P393" s="132"/>
      <c r="Q393" s="261"/>
      <c r="R393" s="92"/>
    </row>
    <row r="394" spans="3:18" x14ac:dyDescent="0.25">
      <c r="C394" s="263"/>
      <c r="D394" s="157"/>
      <c r="E394" s="44"/>
      <c r="F394" s="127"/>
      <c r="G394" s="1"/>
      <c r="H394" s="161"/>
      <c r="I394" s="37"/>
      <c r="J394" s="135">
        <f t="shared" si="29"/>
        <v>0.59839396822477431</v>
      </c>
      <c r="K394" s="112"/>
      <c r="L394" s="37"/>
      <c r="M394" s="37"/>
      <c r="N394" s="37"/>
      <c r="O394" s="130"/>
      <c r="P394" s="132"/>
      <c r="Q394" s="261"/>
      <c r="R394" s="92"/>
    </row>
    <row r="395" spans="3:18" x14ac:dyDescent="0.25">
      <c r="C395" s="263"/>
      <c r="D395" s="157"/>
      <c r="E395" s="44"/>
      <c r="F395" s="127"/>
      <c r="G395" s="1"/>
      <c r="H395" s="161"/>
      <c r="I395" s="37"/>
      <c r="J395" s="135">
        <f t="shared" si="29"/>
        <v>0.59839396822477431</v>
      </c>
      <c r="K395" s="112"/>
      <c r="L395" s="37"/>
      <c r="M395" s="37"/>
      <c r="N395" s="37"/>
      <c r="O395" s="130"/>
      <c r="P395" s="132"/>
      <c r="Q395" s="261"/>
      <c r="R395" s="92"/>
    </row>
    <row r="396" spans="3:18" x14ac:dyDescent="0.25">
      <c r="C396" s="263"/>
      <c r="D396" s="157"/>
      <c r="E396" s="44"/>
      <c r="F396" s="127"/>
      <c r="G396" s="1"/>
      <c r="H396" s="161"/>
      <c r="I396" s="37"/>
      <c r="J396" s="135">
        <f t="shared" si="29"/>
        <v>0.59839396822477431</v>
      </c>
      <c r="K396" s="112"/>
      <c r="L396" s="37"/>
      <c r="M396" s="37"/>
      <c r="N396" s="37"/>
      <c r="O396" s="130"/>
      <c r="P396" s="132"/>
      <c r="Q396" s="261"/>
      <c r="R396" s="92"/>
    </row>
    <row r="397" spans="3:18" x14ac:dyDescent="0.25">
      <c r="C397" s="263"/>
      <c r="D397" s="157"/>
      <c r="E397" s="44"/>
      <c r="F397" s="127"/>
      <c r="G397" s="1"/>
      <c r="H397" s="161"/>
      <c r="I397" s="37"/>
      <c r="J397" s="135">
        <f t="shared" si="29"/>
        <v>0.59839396822477431</v>
      </c>
      <c r="K397" s="112"/>
      <c r="L397" s="37"/>
      <c r="M397" s="37"/>
      <c r="N397" s="37"/>
      <c r="O397" s="130"/>
      <c r="P397" s="132"/>
      <c r="Q397" s="261"/>
      <c r="R397" s="92"/>
    </row>
    <row r="398" spans="3:18" x14ac:dyDescent="0.25">
      <c r="C398" s="263"/>
      <c r="D398" s="157"/>
      <c r="E398" s="44"/>
      <c r="F398" s="127"/>
      <c r="G398" s="1"/>
      <c r="H398" s="161"/>
      <c r="I398" s="37"/>
      <c r="J398" s="135">
        <f t="shared" si="29"/>
        <v>0.59839396822477431</v>
      </c>
      <c r="K398" s="112"/>
      <c r="L398" s="37"/>
      <c r="M398" s="37"/>
      <c r="N398" s="37"/>
      <c r="O398" s="130"/>
      <c r="P398" s="132"/>
      <c r="Q398" s="261"/>
      <c r="R398" s="92"/>
    </row>
    <row r="399" spans="3:18" x14ac:dyDescent="0.25">
      <c r="C399" s="263"/>
      <c r="D399" s="157"/>
      <c r="E399" s="44"/>
      <c r="F399" s="127"/>
      <c r="G399" s="1"/>
      <c r="H399" s="161"/>
      <c r="I399" s="37"/>
      <c r="J399" s="135">
        <f t="shared" si="29"/>
        <v>0.59839396822477431</v>
      </c>
      <c r="K399" s="112"/>
      <c r="L399" s="37"/>
      <c r="M399" s="37"/>
      <c r="N399" s="37"/>
      <c r="O399" s="130"/>
      <c r="P399" s="132"/>
      <c r="Q399" s="261"/>
      <c r="R399" s="92"/>
    </row>
    <row r="400" spans="3:18" x14ac:dyDescent="0.25">
      <c r="C400" s="263"/>
      <c r="D400" s="157"/>
      <c r="E400" s="44"/>
      <c r="F400" s="127"/>
      <c r="G400" s="1"/>
      <c r="H400" s="161"/>
      <c r="I400" s="37"/>
      <c r="J400" s="135">
        <f t="shared" si="29"/>
        <v>0.59839396822477431</v>
      </c>
      <c r="K400" s="112"/>
      <c r="L400" s="37"/>
      <c r="M400" s="37"/>
      <c r="N400" s="37"/>
      <c r="O400" s="130"/>
      <c r="P400" s="132"/>
      <c r="Q400" s="261"/>
      <c r="R400" s="92"/>
    </row>
    <row r="401" spans="3:18" x14ac:dyDescent="0.25">
      <c r="C401" s="263"/>
      <c r="D401" s="157"/>
      <c r="E401" s="44"/>
      <c r="F401" s="127"/>
      <c r="G401" s="1"/>
      <c r="H401" s="161"/>
      <c r="I401" s="37"/>
      <c r="J401" s="135">
        <f t="shared" si="29"/>
        <v>0.59839396822477431</v>
      </c>
      <c r="K401" s="112"/>
      <c r="L401" s="37"/>
      <c r="M401" s="280"/>
      <c r="N401" s="37"/>
      <c r="O401" s="130"/>
      <c r="P401" s="132"/>
      <c r="Q401" s="261"/>
      <c r="R401" s="92"/>
    </row>
    <row r="402" spans="3:18" x14ac:dyDescent="0.25">
      <c r="C402" s="263"/>
      <c r="D402" s="157"/>
      <c r="E402" s="44"/>
      <c r="F402" s="127"/>
      <c r="G402" s="1"/>
      <c r="H402" s="161"/>
      <c r="I402" s="37"/>
      <c r="J402" s="135">
        <f t="shared" si="29"/>
        <v>0.59839396822477431</v>
      </c>
      <c r="K402" s="112"/>
      <c r="L402" s="37"/>
      <c r="M402" s="280"/>
      <c r="N402" s="37"/>
      <c r="O402" s="130"/>
      <c r="P402" s="132"/>
      <c r="Q402" s="261"/>
      <c r="R402" s="92"/>
    </row>
    <row r="403" spans="3:18" x14ac:dyDescent="0.25">
      <c r="C403" s="263"/>
      <c r="D403" s="157"/>
      <c r="E403" s="44"/>
      <c r="F403" s="127"/>
      <c r="G403" s="1"/>
      <c r="H403" s="161"/>
      <c r="I403" s="37"/>
      <c r="J403" s="135">
        <f t="shared" si="29"/>
        <v>0.59839396822477431</v>
      </c>
      <c r="K403" s="112"/>
      <c r="L403" s="37"/>
      <c r="M403" s="280"/>
      <c r="N403" s="37"/>
      <c r="O403" s="130"/>
      <c r="P403" s="132"/>
      <c r="Q403" s="261"/>
      <c r="R403" s="92"/>
    </row>
    <row r="404" spans="3:18" x14ac:dyDescent="0.25">
      <c r="C404" s="263"/>
      <c r="D404" s="157"/>
      <c r="E404" s="44"/>
      <c r="F404" s="127"/>
      <c r="G404" s="1"/>
      <c r="H404" s="161"/>
      <c r="I404" s="37"/>
      <c r="J404" s="135">
        <f t="shared" si="29"/>
        <v>0.59839396822477431</v>
      </c>
      <c r="K404" s="112"/>
      <c r="L404" s="37"/>
      <c r="M404" s="280"/>
      <c r="N404" s="37"/>
      <c r="O404" s="130"/>
      <c r="P404" s="132"/>
      <c r="Q404" s="261"/>
      <c r="R404" s="92"/>
    </row>
    <row r="405" spans="3:18" x14ac:dyDescent="0.25">
      <c r="C405" s="263"/>
      <c r="D405" s="157"/>
      <c r="E405" s="44"/>
      <c r="F405" s="127"/>
      <c r="G405" s="1"/>
      <c r="H405" s="161"/>
      <c r="I405" s="37"/>
      <c r="J405" s="135">
        <f t="shared" si="29"/>
        <v>0.59839396822477431</v>
      </c>
      <c r="K405" s="112"/>
      <c r="L405" s="37"/>
      <c r="M405" s="280"/>
      <c r="N405" s="37"/>
      <c r="O405" s="130"/>
      <c r="P405" s="132"/>
      <c r="Q405" s="261"/>
      <c r="R405" s="92"/>
    </row>
    <row r="406" spans="3:18" x14ac:dyDescent="0.25">
      <c r="C406" s="263"/>
      <c r="D406" s="157"/>
      <c r="E406" s="44"/>
      <c r="F406" s="127"/>
      <c r="G406" s="1"/>
      <c r="H406" s="161"/>
      <c r="I406" s="37"/>
      <c r="J406" s="135">
        <f t="shared" si="29"/>
        <v>0.59839396822477431</v>
      </c>
      <c r="K406" s="112"/>
      <c r="L406" s="37"/>
      <c r="M406" s="280"/>
      <c r="N406" s="37"/>
      <c r="O406" s="130"/>
      <c r="P406" s="132"/>
      <c r="Q406" s="261"/>
      <c r="R406" s="92"/>
    </row>
    <row r="407" spans="3:18" x14ac:dyDescent="0.25">
      <c r="C407" s="263"/>
      <c r="D407" s="157"/>
      <c r="E407" s="44"/>
      <c r="F407" s="127"/>
      <c r="G407" s="1"/>
      <c r="H407" s="161"/>
      <c r="I407" s="37"/>
      <c r="J407" s="135">
        <f t="shared" si="29"/>
        <v>0.59839396822477431</v>
      </c>
      <c r="K407" s="112"/>
      <c r="L407" s="37"/>
      <c r="M407" s="280"/>
      <c r="N407" s="37"/>
      <c r="O407" s="130"/>
      <c r="P407" s="132"/>
      <c r="Q407" s="261"/>
      <c r="R407" s="92"/>
    </row>
    <row r="408" spans="3:18" x14ac:dyDescent="0.25">
      <c r="C408" s="263"/>
      <c r="D408" s="157"/>
      <c r="E408" s="44"/>
      <c r="F408" s="127"/>
      <c r="G408" s="1"/>
      <c r="H408" s="161"/>
      <c r="I408" s="37"/>
      <c r="J408" s="135">
        <f t="shared" ref="J408:J471" si="30">J407</f>
        <v>0.59839396822477431</v>
      </c>
      <c r="K408" s="112"/>
      <c r="L408" s="37"/>
      <c r="M408" s="280"/>
      <c r="N408" s="37"/>
      <c r="O408" s="130"/>
      <c r="P408" s="132"/>
      <c r="Q408" s="261"/>
      <c r="R408" s="92"/>
    </row>
    <row r="409" spans="3:18" x14ac:dyDescent="0.25">
      <c r="C409" s="263"/>
      <c r="D409" s="157"/>
      <c r="E409" s="44"/>
      <c r="F409" s="127"/>
      <c r="G409" s="1"/>
      <c r="H409" s="161"/>
      <c r="I409" s="37"/>
      <c r="J409" s="135">
        <f t="shared" si="30"/>
        <v>0.59839396822477431</v>
      </c>
      <c r="K409" s="112"/>
      <c r="L409" s="37"/>
      <c r="M409" s="280"/>
      <c r="N409" s="37"/>
      <c r="O409" s="130"/>
      <c r="P409" s="132"/>
      <c r="Q409" s="261"/>
      <c r="R409" s="92"/>
    </row>
    <row r="410" spans="3:18" x14ac:dyDescent="0.25">
      <c r="C410" s="263"/>
      <c r="D410" s="157"/>
      <c r="E410" s="44"/>
      <c r="F410" s="127"/>
      <c r="G410" s="1"/>
      <c r="H410" s="161"/>
      <c r="I410" s="37"/>
      <c r="J410" s="135">
        <f t="shared" si="30"/>
        <v>0.59839396822477431</v>
      </c>
      <c r="K410" s="112"/>
      <c r="L410" s="37"/>
      <c r="M410" s="280"/>
      <c r="N410" s="37"/>
      <c r="O410" s="130"/>
      <c r="P410" s="132"/>
      <c r="Q410" s="261"/>
      <c r="R410" s="92"/>
    </row>
    <row r="411" spans="3:18" x14ac:dyDescent="0.25">
      <c r="C411" s="263"/>
      <c r="D411" s="157"/>
      <c r="E411" s="44"/>
      <c r="F411" s="127"/>
      <c r="G411" s="1"/>
      <c r="H411" s="161"/>
      <c r="I411" s="37"/>
      <c r="J411" s="135">
        <f t="shared" si="30"/>
        <v>0.59839396822477431</v>
      </c>
      <c r="K411" s="112"/>
      <c r="L411" s="37"/>
      <c r="M411" s="280"/>
      <c r="N411" s="37"/>
      <c r="O411" s="130"/>
      <c r="P411" s="132"/>
      <c r="Q411" s="261"/>
      <c r="R411" s="92"/>
    </row>
    <row r="412" spans="3:18" x14ac:dyDescent="0.25">
      <c r="C412" s="263"/>
      <c r="D412" s="157"/>
      <c r="E412" s="44"/>
      <c r="F412" s="127"/>
      <c r="G412" s="1"/>
      <c r="H412" s="161"/>
      <c r="I412" s="37"/>
      <c r="J412" s="135">
        <f t="shared" si="30"/>
        <v>0.59839396822477431</v>
      </c>
      <c r="K412" s="112"/>
      <c r="L412" s="37"/>
      <c r="M412" s="280"/>
      <c r="N412" s="37"/>
      <c r="O412" s="130"/>
      <c r="P412" s="132"/>
      <c r="Q412" s="261"/>
      <c r="R412" s="92"/>
    </row>
    <row r="413" spans="3:18" x14ac:dyDescent="0.25">
      <c r="C413" s="263"/>
      <c r="D413" s="157"/>
      <c r="E413" s="44"/>
      <c r="F413" s="127"/>
      <c r="G413" s="1"/>
      <c r="H413" s="161"/>
      <c r="I413" s="37"/>
      <c r="J413" s="135">
        <f t="shared" si="30"/>
        <v>0.59839396822477431</v>
      </c>
      <c r="K413" s="112"/>
      <c r="L413" s="37"/>
      <c r="M413" s="280"/>
      <c r="N413" s="37"/>
      <c r="O413" s="130"/>
      <c r="P413" s="132"/>
      <c r="Q413" s="261"/>
      <c r="R413" s="92"/>
    </row>
    <row r="414" spans="3:18" x14ac:dyDescent="0.25">
      <c r="C414" s="263"/>
      <c r="D414" s="157"/>
      <c r="E414" s="44"/>
      <c r="F414" s="127"/>
      <c r="G414" s="1"/>
      <c r="H414" s="161"/>
      <c r="I414" s="37"/>
      <c r="J414" s="135">
        <f t="shared" si="30"/>
        <v>0.59839396822477431</v>
      </c>
      <c r="K414" s="112"/>
      <c r="L414" s="37"/>
      <c r="M414" s="280"/>
      <c r="N414" s="37"/>
      <c r="O414" s="130"/>
      <c r="P414" s="132"/>
      <c r="Q414" s="261"/>
      <c r="R414" s="92"/>
    </row>
    <row r="415" spans="3:18" x14ac:dyDescent="0.25">
      <c r="C415" s="263"/>
      <c r="D415" s="157"/>
      <c r="E415" s="44"/>
      <c r="F415" s="127"/>
      <c r="G415" s="1"/>
      <c r="H415" s="161"/>
      <c r="I415" s="37"/>
      <c r="J415" s="135">
        <f t="shared" si="30"/>
        <v>0.59839396822477431</v>
      </c>
      <c r="K415" s="112"/>
      <c r="L415" s="37"/>
      <c r="M415" s="280"/>
      <c r="N415" s="37"/>
      <c r="O415" s="130"/>
      <c r="P415" s="132"/>
      <c r="Q415" s="261"/>
      <c r="R415" s="92"/>
    </row>
    <row r="416" spans="3:18" x14ac:dyDescent="0.25">
      <c r="C416" s="263"/>
      <c r="D416" s="157"/>
      <c r="E416" s="44"/>
      <c r="F416" s="127"/>
      <c r="G416" s="1"/>
      <c r="H416" s="161"/>
      <c r="I416" s="37"/>
      <c r="J416" s="135">
        <f t="shared" si="30"/>
        <v>0.59839396822477431</v>
      </c>
      <c r="K416" s="112"/>
      <c r="L416" s="37"/>
      <c r="M416" s="280"/>
      <c r="N416" s="37"/>
      <c r="O416" s="130"/>
      <c r="P416" s="132"/>
      <c r="Q416" s="261"/>
      <c r="R416" s="92"/>
    </row>
    <row r="417" spans="3:18" x14ac:dyDescent="0.25">
      <c r="C417" s="263"/>
      <c r="D417" s="157"/>
      <c r="E417" s="44"/>
      <c r="F417" s="127"/>
      <c r="G417" s="1"/>
      <c r="H417" s="161"/>
      <c r="I417" s="37"/>
      <c r="J417" s="135">
        <f t="shared" si="30"/>
        <v>0.59839396822477431</v>
      </c>
      <c r="K417" s="112"/>
      <c r="L417" s="37"/>
      <c r="M417" s="280"/>
      <c r="N417" s="37"/>
      <c r="O417" s="130"/>
      <c r="P417" s="132"/>
      <c r="Q417" s="261"/>
      <c r="R417" s="92"/>
    </row>
    <row r="418" spans="3:18" x14ac:dyDescent="0.25">
      <c r="C418" s="263"/>
      <c r="D418" s="157"/>
      <c r="E418" s="44"/>
      <c r="F418" s="127"/>
      <c r="G418" s="1"/>
      <c r="H418" s="161"/>
      <c r="I418" s="37"/>
      <c r="J418" s="135">
        <f t="shared" si="30"/>
        <v>0.59839396822477431</v>
      </c>
      <c r="K418" s="112"/>
      <c r="L418" s="37"/>
      <c r="M418" s="280"/>
      <c r="N418" s="37"/>
      <c r="O418" s="130"/>
      <c r="P418" s="132"/>
      <c r="Q418" s="261"/>
      <c r="R418" s="92"/>
    </row>
    <row r="419" spans="3:18" x14ac:dyDescent="0.25">
      <c r="C419" s="263"/>
      <c r="D419" s="157"/>
      <c r="E419" s="44"/>
      <c r="F419" s="127"/>
      <c r="G419" s="1"/>
      <c r="H419" s="161"/>
      <c r="I419" s="37"/>
      <c r="J419" s="135">
        <f t="shared" si="30"/>
        <v>0.59839396822477431</v>
      </c>
      <c r="K419" s="112"/>
      <c r="L419" s="37"/>
      <c r="M419" s="280"/>
      <c r="N419" s="37"/>
      <c r="O419" s="130"/>
      <c r="P419" s="132"/>
      <c r="Q419" s="261"/>
      <c r="R419" s="92"/>
    </row>
    <row r="420" spans="3:18" x14ac:dyDescent="0.25">
      <c r="C420" s="263"/>
      <c r="D420" s="157"/>
      <c r="E420" s="44"/>
      <c r="F420" s="127"/>
      <c r="G420" s="1"/>
      <c r="H420" s="161"/>
      <c r="I420" s="37"/>
      <c r="J420" s="135">
        <f t="shared" si="30"/>
        <v>0.59839396822477431</v>
      </c>
      <c r="K420" s="112"/>
      <c r="L420" s="37"/>
      <c r="M420" s="280"/>
      <c r="N420" s="37"/>
      <c r="O420" s="130"/>
      <c r="P420" s="132"/>
      <c r="Q420" s="261"/>
      <c r="R420" s="92"/>
    </row>
    <row r="421" spans="3:18" x14ac:dyDescent="0.25">
      <c r="C421" s="263"/>
      <c r="D421" s="157"/>
      <c r="E421" s="44"/>
      <c r="F421" s="127"/>
      <c r="G421" s="1"/>
      <c r="H421" s="161"/>
      <c r="I421" s="37"/>
      <c r="J421" s="135">
        <f t="shared" si="30"/>
        <v>0.59839396822477431</v>
      </c>
      <c r="K421" s="112"/>
      <c r="L421" s="37"/>
      <c r="M421" s="280"/>
      <c r="N421" s="37"/>
      <c r="O421" s="130"/>
      <c r="P421" s="132"/>
      <c r="Q421" s="261"/>
      <c r="R421" s="92"/>
    </row>
    <row r="422" spans="3:18" x14ac:dyDescent="0.25">
      <c r="C422" s="263"/>
      <c r="D422" s="157"/>
      <c r="E422" s="44"/>
      <c r="F422" s="127"/>
      <c r="G422" s="1"/>
      <c r="H422" s="161"/>
      <c r="I422" s="37"/>
      <c r="J422" s="135">
        <f t="shared" si="30"/>
        <v>0.59839396822477431</v>
      </c>
      <c r="K422" s="112"/>
      <c r="L422" s="37"/>
      <c r="M422" s="37"/>
      <c r="N422" s="37"/>
      <c r="O422" s="130"/>
      <c r="P422" s="132"/>
      <c r="Q422" s="261"/>
      <c r="R422" s="92"/>
    </row>
    <row r="423" spans="3:18" x14ac:dyDescent="0.25">
      <c r="C423" s="263"/>
      <c r="D423" s="157"/>
      <c r="E423" s="44"/>
      <c r="F423" s="127"/>
      <c r="G423" s="1"/>
      <c r="H423" s="161"/>
      <c r="I423" s="37"/>
      <c r="J423" s="135">
        <f t="shared" si="30"/>
        <v>0.59839396822477431</v>
      </c>
      <c r="K423" s="112"/>
      <c r="L423" s="37"/>
      <c r="M423" s="37"/>
      <c r="N423" s="37"/>
      <c r="O423" s="130"/>
      <c r="P423" s="132"/>
      <c r="Q423" s="261"/>
      <c r="R423" s="92"/>
    </row>
    <row r="424" spans="3:18" x14ac:dyDescent="0.25">
      <c r="C424" s="263"/>
      <c r="D424" s="157"/>
      <c r="E424" s="44"/>
      <c r="F424" s="127"/>
      <c r="G424" s="1"/>
      <c r="H424" s="161"/>
      <c r="I424" s="37"/>
      <c r="J424" s="135">
        <f t="shared" si="30"/>
        <v>0.59839396822477431</v>
      </c>
      <c r="K424" s="112"/>
      <c r="L424" s="37"/>
      <c r="M424" s="37"/>
      <c r="N424" s="37"/>
      <c r="O424" s="130"/>
      <c r="P424" s="132"/>
      <c r="Q424" s="261"/>
      <c r="R424" s="92"/>
    </row>
    <row r="425" spans="3:18" x14ac:dyDescent="0.25">
      <c r="C425" s="263"/>
      <c r="D425" s="157"/>
      <c r="E425" s="44"/>
      <c r="F425" s="127"/>
      <c r="G425" s="1"/>
      <c r="H425" s="161"/>
      <c r="I425" s="37"/>
      <c r="J425" s="135">
        <f t="shared" si="30"/>
        <v>0.59839396822477431</v>
      </c>
      <c r="K425" s="112"/>
      <c r="L425" s="37"/>
      <c r="M425" s="37"/>
      <c r="N425" s="37"/>
      <c r="O425" s="130"/>
      <c r="P425" s="132"/>
      <c r="Q425" s="261"/>
      <c r="R425" s="92"/>
    </row>
    <row r="426" spans="3:18" x14ac:dyDescent="0.25">
      <c r="C426" s="263"/>
      <c r="D426" s="157"/>
      <c r="E426" s="44"/>
      <c r="F426" s="127"/>
      <c r="G426" s="1"/>
      <c r="H426" s="161"/>
      <c r="I426" s="37"/>
      <c r="J426" s="135">
        <f t="shared" si="30"/>
        <v>0.59839396822477431</v>
      </c>
      <c r="K426" s="112"/>
      <c r="L426" s="37"/>
      <c r="M426" s="37"/>
      <c r="N426" s="37"/>
      <c r="O426" s="130"/>
      <c r="P426" s="132"/>
      <c r="Q426" s="261"/>
      <c r="R426" s="92"/>
    </row>
    <row r="427" spans="3:18" x14ac:dyDescent="0.25">
      <c r="C427" s="263"/>
      <c r="D427" s="157"/>
      <c r="E427" s="44"/>
      <c r="F427" s="127"/>
      <c r="G427" s="1"/>
      <c r="H427" s="161"/>
      <c r="I427" s="37"/>
      <c r="J427" s="135">
        <f t="shared" si="30"/>
        <v>0.59839396822477431</v>
      </c>
      <c r="K427" s="112"/>
      <c r="L427" s="37"/>
      <c r="M427" s="37"/>
      <c r="N427" s="37"/>
      <c r="O427" s="130"/>
      <c r="P427" s="132"/>
      <c r="Q427" s="261"/>
      <c r="R427" s="92"/>
    </row>
    <row r="428" spans="3:18" x14ac:dyDescent="0.25">
      <c r="C428" s="263"/>
      <c r="D428" s="157"/>
      <c r="E428" s="44"/>
      <c r="F428" s="127"/>
      <c r="G428" s="1"/>
      <c r="H428" s="161"/>
      <c r="I428" s="37"/>
      <c r="J428" s="135">
        <f t="shared" si="30"/>
        <v>0.59839396822477431</v>
      </c>
      <c r="K428" s="112"/>
      <c r="L428" s="37"/>
      <c r="M428" s="37"/>
      <c r="N428" s="37"/>
      <c r="O428" s="130"/>
      <c r="P428" s="132"/>
      <c r="Q428" s="261"/>
      <c r="R428" s="92"/>
    </row>
    <row r="429" spans="3:18" x14ac:dyDescent="0.25">
      <c r="C429" s="263"/>
      <c r="D429" s="157"/>
      <c r="E429" s="44"/>
      <c r="F429" s="127"/>
      <c r="G429" s="1"/>
      <c r="H429" s="161"/>
      <c r="I429" s="37"/>
      <c r="J429" s="135">
        <f t="shared" si="30"/>
        <v>0.59839396822477431</v>
      </c>
      <c r="K429" s="112"/>
      <c r="L429" s="37"/>
      <c r="M429" s="37"/>
      <c r="N429" s="37"/>
      <c r="O429" s="130"/>
      <c r="P429" s="132"/>
      <c r="Q429" s="261"/>
      <c r="R429" s="92"/>
    </row>
    <row r="430" spans="3:18" x14ac:dyDescent="0.25">
      <c r="C430" s="263"/>
      <c r="D430" s="157"/>
      <c r="E430" s="44"/>
      <c r="F430" s="127"/>
      <c r="G430" s="1"/>
      <c r="H430" s="161"/>
      <c r="I430" s="37"/>
      <c r="J430" s="135">
        <f t="shared" si="30"/>
        <v>0.59839396822477431</v>
      </c>
      <c r="K430" s="112"/>
      <c r="L430" s="37"/>
      <c r="M430" s="37"/>
      <c r="N430" s="37"/>
      <c r="O430" s="130"/>
      <c r="P430" s="132"/>
      <c r="Q430" s="261"/>
      <c r="R430" s="92"/>
    </row>
    <row r="431" spans="3:18" x14ac:dyDescent="0.25">
      <c r="C431" s="263"/>
      <c r="D431" s="157"/>
      <c r="E431" s="44"/>
      <c r="F431" s="127"/>
      <c r="G431" s="1"/>
      <c r="H431" s="161"/>
      <c r="I431" s="37"/>
      <c r="J431" s="135">
        <f t="shared" si="30"/>
        <v>0.59839396822477431</v>
      </c>
      <c r="K431" s="112"/>
      <c r="L431" s="37"/>
      <c r="M431" s="37"/>
      <c r="N431" s="37"/>
      <c r="O431" s="130"/>
      <c r="P431" s="132"/>
      <c r="Q431" s="261"/>
      <c r="R431" s="92"/>
    </row>
    <row r="432" spans="3:18" x14ac:dyDescent="0.25">
      <c r="C432" s="263"/>
      <c r="D432" s="157"/>
      <c r="E432" s="44"/>
      <c r="F432" s="127"/>
      <c r="G432" s="1"/>
      <c r="H432" s="161"/>
      <c r="I432" s="37"/>
      <c r="J432" s="135">
        <f t="shared" si="30"/>
        <v>0.59839396822477431</v>
      </c>
      <c r="K432" s="112"/>
      <c r="L432" s="37"/>
      <c r="M432" s="37"/>
      <c r="N432" s="37"/>
      <c r="O432" s="130"/>
      <c r="P432" s="132"/>
      <c r="Q432" s="261"/>
      <c r="R432" s="92"/>
    </row>
    <row r="433" spans="3:18" x14ac:dyDescent="0.25">
      <c r="C433" s="263"/>
      <c r="D433" s="157"/>
      <c r="E433" s="44"/>
      <c r="F433" s="127"/>
      <c r="G433" s="1"/>
      <c r="H433" s="161"/>
      <c r="I433" s="37"/>
      <c r="J433" s="135">
        <f t="shared" si="30"/>
        <v>0.59839396822477431</v>
      </c>
      <c r="K433" s="112"/>
      <c r="L433" s="37"/>
      <c r="M433" s="37"/>
      <c r="N433" s="37"/>
      <c r="O433" s="130"/>
      <c r="P433" s="132"/>
      <c r="Q433" s="261"/>
      <c r="R433" s="92"/>
    </row>
    <row r="434" spans="3:18" x14ac:dyDescent="0.25">
      <c r="C434" s="263"/>
      <c r="D434" s="157"/>
      <c r="E434" s="44"/>
      <c r="F434" s="127"/>
      <c r="G434" s="1"/>
      <c r="H434" s="161"/>
      <c r="I434" s="37"/>
      <c r="J434" s="135">
        <f t="shared" si="30"/>
        <v>0.59839396822477431</v>
      </c>
      <c r="K434" s="112"/>
      <c r="L434" s="37"/>
      <c r="M434" s="37"/>
      <c r="N434" s="37"/>
      <c r="O434" s="130"/>
      <c r="P434" s="132"/>
      <c r="Q434" s="261"/>
      <c r="R434" s="92"/>
    </row>
    <row r="435" spans="3:18" x14ac:dyDescent="0.25">
      <c r="C435" s="263"/>
      <c r="D435" s="157"/>
      <c r="E435" s="44"/>
      <c r="F435" s="127"/>
      <c r="G435" s="1"/>
      <c r="H435" s="161"/>
      <c r="I435" s="37"/>
      <c r="J435" s="135">
        <f t="shared" si="30"/>
        <v>0.59839396822477431</v>
      </c>
      <c r="K435" s="112"/>
      <c r="L435" s="37"/>
      <c r="M435" s="37"/>
      <c r="N435" s="37"/>
      <c r="O435" s="130"/>
      <c r="P435" s="132"/>
      <c r="Q435" s="261"/>
      <c r="R435" s="92"/>
    </row>
    <row r="436" spans="3:18" x14ac:dyDescent="0.25">
      <c r="C436" s="263"/>
      <c r="D436" s="157"/>
      <c r="E436" s="44"/>
      <c r="F436" s="127"/>
      <c r="G436" s="1"/>
      <c r="H436" s="161"/>
      <c r="I436" s="37"/>
      <c r="J436" s="135">
        <f t="shared" si="30"/>
        <v>0.59839396822477431</v>
      </c>
      <c r="K436" s="112"/>
      <c r="L436" s="37"/>
      <c r="M436" s="37"/>
      <c r="N436" s="37"/>
      <c r="O436" s="130"/>
      <c r="P436" s="132"/>
      <c r="Q436" s="261"/>
      <c r="R436" s="92"/>
    </row>
    <row r="437" spans="3:18" x14ac:dyDescent="0.25">
      <c r="C437" s="263"/>
      <c r="D437" s="157"/>
      <c r="E437" s="44"/>
      <c r="F437" s="127"/>
      <c r="G437" s="1"/>
      <c r="H437" s="161"/>
      <c r="I437" s="37"/>
      <c r="J437" s="135">
        <f t="shared" si="30"/>
        <v>0.59839396822477431</v>
      </c>
      <c r="K437" s="112"/>
      <c r="L437" s="37"/>
      <c r="M437" s="37"/>
      <c r="N437" s="37"/>
      <c r="O437" s="130"/>
      <c r="P437" s="132"/>
      <c r="Q437" s="261"/>
      <c r="R437" s="92"/>
    </row>
    <row r="438" spans="3:18" x14ac:dyDescent="0.25">
      <c r="C438" s="263"/>
      <c r="D438" s="157"/>
      <c r="E438" s="44"/>
      <c r="F438" s="127"/>
      <c r="G438" s="1"/>
      <c r="H438" s="161"/>
      <c r="I438" s="37"/>
      <c r="J438" s="135">
        <f t="shared" si="30"/>
        <v>0.59839396822477431</v>
      </c>
      <c r="K438" s="112"/>
      <c r="L438" s="37"/>
      <c r="M438" s="37"/>
      <c r="N438" s="37"/>
      <c r="O438" s="130"/>
      <c r="P438" s="132"/>
      <c r="Q438" s="261"/>
      <c r="R438" s="92"/>
    </row>
    <row r="439" spans="3:18" x14ac:dyDescent="0.25">
      <c r="C439" s="263"/>
      <c r="D439" s="157"/>
      <c r="E439" s="44"/>
      <c r="F439" s="127"/>
      <c r="G439" s="1"/>
      <c r="H439" s="161"/>
      <c r="I439" s="37"/>
      <c r="J439" s="135">
        <f t="shared" si="30"/>
        <v>0.59839396822477431</v>
      </c>
      <c r="K439" s="112"/>
      <c r="L439" s="37"/>
      <c r="M439" s="37"/>
      <c r="N439" s="37"/>
      <c r="O439" s="130"/>
      <c r="P439" s="132"/>
      <c r="Q439" s="261"/>
      <c r="R439" s="92"/>
    </row>
    <row r="440" spans="3:18" x14ac:dyDescent="0.25">
      <c r="C440" s="263"/>
      <c r="D440" s="157"/>
      <c r="E440" s="44"/>
      <c r="F440" s="127"/>
      <c r="G440" s="1"/>
      <c r="H440" s="161"/>
      <c r="I440" s="37"/>
      <c r="J440" s="135">
        <f t="shared" si="30"/>
        <v>0.59839396822477431</v>
      </c>
      <c r="K440" s="112"/>
      <c r="L440" s="37"/>
      <c r="M440" s="37"/>
      <c r="N440" s="37"/>
      <c r="O440" s="130"/>
      <c r="P440" s="132"/>
      <c r="Q440" s="261"/>
      <c r="R440" s="92"/>
    </row>
    <row r="441" spans="3:18" x14ac:dyDescent="0.25">
      <c r="C441" s="263"/>
      <c r="D441" s="157"/>
      <c r="E441" s="44"/>
      <c r="F441" s="127"/>
      <c r="G441" s="1"/>
      <c r="H441" s="161"/>
      <c r="I441" s="37"/>
      <c r="J441" s="135">
        <f t="shared" si="30"/>
        <v>0.59839396822477431</v>
      </c>
      <c r="K441" s="112"/>
      <c r="L441" s="37"/>
      <c r="M441" s="37"/>
      <c r="N441" s="37"/>
      <c r="O441" s="130"/>
      <c r="P441" s="132"/>
      <c r="Q441" s="261"/>
      <c r="R441" s="92"/>
    </row>
    <row r="442" spans="3:18" x14ac:dyDescent="0.25">
      <c r="C442" s="263"/>
      <c r="D442" s="157"/>
      <c r="E442" s="44"/>
      <c r="F442" s="127"/>
      <c r="G442" s="1"/>
      <c r="H442" s="161"/>
      <c r="I442" s="37"/>
      <c r="J442" s="135">
        <f t="shared" si="30"/>
        <v>0.59839396822477431</v>
      </c>
      <c r="K442" s="112"/>
      <c r="L442" s="37"/>
      <c r="M442" s="37"/>
      <c r="N442" s="37"/>
      <c r="O442" s="130"/>
      <c r="P442" s="132"/>
      <c r="Q442" s="261"/>
      <c r="R442" s="92"/>
    </row>
    <row r="443" spans="3:18" x14ac:dyDescent="0.25">
      <c r="C443" s="263"/>
      <c r="D443" s="157"/>
      <c r="E443" s="44"/>
      <c r="F443" s="127"/>
      <c r="G443" s="1"/>
      <c r="H443" s="161"/>
      <c r="I443" s="37"/>
      <c r="J443" s="135">
        <f t="shared" si="30"/>
        <v>0.59839396822477431</v>
      </c>
      <c r="K443" s="112"/>
      <c r="L443" s="37"/>
      <c r="M443" s="37"/>
      <c r="N443" s="37"/>
      <c r="O443" s="130"/>
      <c r="P443" s="132"/>
      <c r="Q443" s="261"/>
      <c r="R443" s="92"/>
    </row>
    <row r="444" spans="3:18" x14ac:dyDescent="0.25">
      <c r="C444" s="263"/>
      <c r="D444" s="157"/>
      <c r="E444" s="44"/>
      <c r="F444" s="127"/>
      <c r="G444" s="1"/>
      <c r="H444" s="161"/>
      <c r="I444" s="37"/>
      <c r="J444" s="135">
        <f t="shared" si="30"/>
        <v>0.59839396822477431</v>
      </c>
      <c r="K444" s="112"/>
      <c r="L444" s="37"/>
      <c r="M444" s="37"/>
      <c r="N444" s="37"/>
      <c r="O444" s="130"/>
      <c r="P444" s="132"/>
      <c r="Q444" s="261"/>
      <c r="R444" s="92"/>
    </row>
    <row r="445" spans="3:18" x14ac:dyDescent="0.25">
      <c r="C445" s="263"/>
      <c r="D445" s="157"/>
      <c r="E445" s="44"/>
      <c r="F445" s="127"/>
      <c r="G445" s="1"/>
      <c r="H445" s="161"/>
      <c r="I445" s="37"/>
      <c r="J445" s="135">
        <f t="shared" si="30"/>
        <v>0.59839396822477431</v>
      </c>
      <c r="K445" s="112"/>
      <c r="L445" s="37"/>
      <c r="M445" s="37"/>
      <c r="N445" s="37"/>
      <c r="O445" s="130"/>
      <c r="P445" s="132"/>
      <c r="Q445" s="261"/>
      <c r="R445" s="92"/>
    </row>
    <row r="446" spans="3:18" x14ac:dyDescent="0.25">
      <c r="C446" s="263"/>
      <c r="D446" s="157"/>
      <c r="E446" s="44"/>
      <c r="F446" s="127"/>
      <c r="G446" s="1"/>
      <c r="H446" s="161"/>
      <c r="I446" s="37"/>
      <c r="J446" s="135">
        <f t="shared" si="30"/>
        <v>0.59839396822477431</v>
      </c>
      <c r="K446" s="112"/>
      <c r="L446" s="37"/>
      <c r="M446" s="37"/>
      <c r="N446" s="37"/>
      <c r="O446" s="130"/>
      <c r="P446" s="132"/>
      <c r="Q446" s="261"/>
      <c r="R446" s="92"/>
    </row>
    <row r="447" spans="3:18" x14ac:dyDescent="0.25">
      <c r="C447" s="263"/>
      <c r="D447" s="157"/>
      <c r="E447" s="44"/>
      <c r="F447" s="127"/>
      <c r="G447" s="1"/>
      <c r="H447" s="161"/>
      <c r="I447" s="37"/>
      <c r="J447" s="135">
        <f t="shared" si="30"/>
        <v>0.59839396822477431</v>
      </c>
      <c r="K447" s="112"/>
      <c r="L447" s="37"/>
      <c r="M447" s="37"/>
      <c r="N447" s="37"/>
      <c r="O447" s="130"/>
      <c r="P447" s="132"/>
      <c r="Q447" s="261"/>
      <c r="R447" s="92"/>
    </row>
    <row r="448" spans="3:18" x14ac:dyDescent="0.25">
      <c r="C448" s="263"/>
      <c r="D448" s="157"/>
      <c r="E448" s="44"/>
      <c r="F448" s="127"/>
      <c r="G448" s="1"/>
      <c r="H448" s="161"/>
      <c r="I448" s="37"/>
      <c r="J448" s="135">
        <f t="shared" si="30"/>
        <v>0.59839396822477431</v>
      </c>
      <c r="K448" s="112"/>
      <c r="L448" s="37"/>
      <c r="M448" s="37"/>
      <c r="N448" s="37"/>
      <c r="O448" s="130"/>
      <c r="P448" s="132"/>
      <c r="Q448" s="261"/>
      <c r="R448" s="92"/>
    </row>
    <row r="449" spans="3:18" x14ac:dyDescent="0.25">
      <c r="C449" s="263"/>
      <c r="D449" s="157"/>
      <c r="E449" s="44"/>
      <c r="F449" s="127"/>
      <c r="G449" s="1"/>
      <c r="H449" s="161"/>
      <c r="I449" s="37"/>
      <c r="J449" s="135">
        <f t="shared" si="30"/>
        <v>0.59839396822477431</v>
      </c>
      <c r="K449" s="112"/>
      <c r="L449" s="37"/>
      <c r="M449" s="37"/>
      <c r="N449" s="37"/>
      <c r="O449" s="130"/>
      <c r="P449" s="132"/>
      <c r="Q449" s="261"/>
      <c r="R449" s="92"/>
    </row>
    <row r="450" spans="3:18" x14ac:dyDescent="0.25">
      <c r="C450" s="263"/>
      <c r="D450" s="157"/>
      <c r="E450" s="44"/>
      <c r="F450" s="127"/>
      <c r="G450" s="1"/>
      <c r="H450" s="161"/>
      <c r="I450" s="37"/>
      <c r="J450" s="135">
        <f t="shared" si="30"/>
        <v>0.59839396822477431</v>
      </c>
      <c r="K450" s="112"/>
      <c r="L450" s="37"/>
      <c r="M450" s="37"/>
      <c r="N450" s="37"/>
      <c r="O450" s="130"/>
      <c r="P450" s="132"/>
      <c r="Q450" s="261"/>
      <c r="R450" s="92"/>
    </row>
    <row r="451" spans="3:18" x14ac:dyDescent="0.25">
      <c r="C451" s="263"/>
      <c r="D451" s="157"/>
      <c r="E451" s="44"/>
      <c r="F451" s="127"/>
      <c r="G451" s="1"/>
      <c r="H451" s="161"/>
      <c r="I451" s="37"/>
      <c r="J451" s="135">
        <f t="shared" si="30"/>
        <v>0.59839396822477431</v>
      </c>
      <c r="K451" s="112"/>
      <c r="L451" s="37"/>
      <c r="M451" s="37"/>
      <c r="N451" s="37"/>
      <c r="O451" s="130"/>
      <c r="P451" s="132"/>
      <c r="Q451" s="261"/>
      <c r="R451" s="92"/>
    </row>
    <row r="452" spans="3:18" x14ac:dyDescent="0.25">
      <c r="C452" s="263"/>
      <c r="D452" s="157"/>
      <c r="E452" s="44"/>
      <c r="F452" s="127"/>
      <c r="G452" s="1"/>
      <c r="H452" s="161"/>
      <c r="I452" s="37"/>
      <c r="J452" s="135">
        <f t="shared" si="30"/>
        <v>0.59839396822477431</v>
      </c>
      <c r="K452" s="112"/>
      <c r="L452" s="37"/>
      <c r="M452" s="37"/>
      <c r="N452" s="37"/>
      <c r="O452" s="130"/>
      <c r="P452" s="132"/>
      <c r="Q452" s="261"/>
      <c r="R452" s="92"/>
    </row>
    <row r="453" spans="3:18" x14ac:dyDescent="0.25">
      <c r="C453" s="263"/>
      <c r="D453" s="157"/>
      <c r="E453" s="44"/>
      <c r="F453" s="127"/>
      <c r="G453" s="1"/>
      <c r="H453" s="161"/>
      <c r="I453" s="37"/>
      <c r="J453" s="135">
        <f t="shared" si="30"/>
        <v>0.59839396822477431</v>
      </c>
      <c r="K453" s="112"/>
      <c r="L453" s="37"/>
      <c r="M453" s="37"/>
      <c r="N453" s="37"/>
      <c r="O453" s="130"/>
      <c r="P453" s="132"/>
      <c r="Q453" s="261"/>
      <c r="R453" s="92"/>
    </row>
    <row r="454" spans="3:18" x14ac:dyDescent="0.25">
      <c r="C454" s="263"/>
      <c r="D454" s="157"/>
      <c r="E454" s="44"/>
      <c r="F454" s="127"/>
      <c r="G454" s="1"/>
      <c r="H454" s="161"/>
      <c r="I454" s="37"/>
      <c r="J454" s="135">
        <f t="shared" si="30"/>
        <v>0.59839396822477431</v>
      </c>
      <c r="K454" s="112"/>
      <c r="L454" s="37"/>
      <c r="M454" s="37"/>
      <c r="N454" s="37"/>
      <c r="O454" s="130"/>
      <c r="P454" s="132"/>
      <c r="Q454" s="261"/>
      <c r="R454" s="92"/>
    </row>
    <row r="455" spans="3:18" x14ac:dyDescent="0.25">
      <c r="C455" s="263"/>
      <c r="D455" s="157"/>
      <c r="E455" s="44"/>
      <c r="F455" s="127"/>
      <c r="G455" s="1"/>
      <c r="H455" s="161"/>
      <c r="I455" s="37"/>
      <c r="J455" s="135">
        <f t="shared" si="30"/>
        <v>0.59839396822477431</v>
      </c>
      <c r="K455" s="112"/>
      <c r="L455" s="37"/>
      <c r="M455" s="37"/>
      <c r="N455" s="37"/>
      <c r="O455" s="130"/>
      <c r="P455" s="132"/>
      <c r="Q455" s="261"/>
      <c r="R455" s="92"/>
    </row>
    <row r="456" spans="3:18" x14ac:dyDescent="0.25">
      <c r="C456" s="263"/>
      <c r="D456" s="157"/>
      <c r="E456" s="44"/>
      <c r="F456" s="127"/>
      <c r="G456" s="1"/>
      <c r="H456" s="161"/>
      <c r="I456" s="37"/>
      <c r="J456" s="135">
        <f t="shared" si="30"/>
        <v>0.59839396822477431</v>
      </c>
      <c r="K456" s="112"/>
      <c r="L456" s="37"/>
      <c r="M456" s="37"/>
      <c r="N456" s="37"/>
      <c r="O456" s="130"/>
      <c r="P456" s="132"/>
      <c r="Q456" s="261"/>
      <c r="R456" s="92"/>
    </row>
    <row r="457" spans="3:18" x14ac:dyDescent="0.25">
      <c r="C457" s="263"/>
      <c r="D457" s="157"/>
      <c r="E457" s="44"/>
      <c r="F457" s="127"/>
      <c r="G457" s="1"/>
      <c r="H457" s="161"/>
      <c r="I457" s="37"/>
      <c r="J457" s="135">
        <f t="shared" si="30"/>
        <v>0.59839396822477431</v>
      </c>
      <c r="K457" s="112"/>
      <c r="L457" s="37"/>
      <c r="M457" s="37"/>
      <c r="N457" s="37"/>
      <c r="O457" s="130"/>
      <c r="P457" s="132"/>
      <c r="Q457" s="261"/>
      <c r="R457" s="92"/>
    </row>
    <row r="458" spans="3:18" x14ac:dyDescent="0.25">
      <c r="C458" s="263"/>
      <c r="D458" s="157"/>
      <c r="E458" s="44"/>
      <c r="F458" s="127"/>
      <c r="G458" s="1"/>
      <c r="H458" s="161"/>
      <c r="I458" s="37"/>
      <c r="J458" s="135">
        <f t="shared" si="30"/>
        <v>0.59839396822477431</v>
      </c>
      <c r="K458" s="112"/>
      <c r="L458" s="37"/>
      <c r="M458" s="37"/>
      <c r="N458" s="37"/>
      <c r="O458" s="130"/>
      <c r="P458" s="132"/>
      <c r="Q458" s="261"/>
      <c r="R458" s="92"/>
    </row>
    <row r="459" spans="3:18" x14ac:dyDescent="0.25">
      <c r="C459" s="263"/>
      <c r="D459" s="157"/>
      <c r="E459" s="44"/>
      <c r="F459" s="127"/>
      <c r="G459" s="1"/>
      <c r="H459" s="161"/>
      <c r="I459" s="37"/>
      <c r="J459" s="135">
        <f t="shared" si="30"/>
        <v>0.59839396822477431</v>
      </c>
      <c r="K459" s="112"/>
      <c r="L459" s="37"/>
      <c r="M459" s="37"/>
      <c r="N459" s="37"/>
      <c r="O459" s="130"/>
      <c r="P459" s="132"/>
      <c r="Q459" s="261"/>
      <c r="R459" s="92"/>
    </row>
    <row r="460" spans="3:18" x14ac:dyDescent="0.25">
      <c r="C460" s="263"/>
      <c r="D460" s="157"/>
      <c r="E460" s="44"/>
      <c r="F460" s="127"/>
      <c r="G460" s="1"/>
      <c r="H460" s="161"/>
      <c r="I460" s="37"/>
      <c r="J460" s="135">
        <f t="shared" si="30"/>
        <v>0.59839396822477431</v>
      </c>
      <c r="K460" s="112"/>
      <c r="L460" s="37"/>
      <c r="M460" s="37"/>
      <c r="N460" s="37"/>
      <c r="O460" s="130"/>
      <c r="P460" s="132"/>
      <c r="Q460" s="261"/>
      <c r="R460" s="92"/>
    </row>
    <row r="461" spans="3:18" x14ac:dyDescent="0.25">
      <c r="C461" s="263"/>
      <c r="D461" s="157"/>
      <c r="E461" s="44"/>
      <c r="F461" s="127"/>
      <c r="G461" s="1"/>
      <c r="H461" s="161"/>
      <c r="I461" s="37"/>
      <c r="J461" s="135">
        <f t="shared" si="30"/>
        <v>0.59839396822477431</v>
      </c>
      <c r="K461" s="112"/>
      <c r="L461" s="37"/>
      <c r="M461" s="37"/>
      <c r="N461" s="37"/>
      <c r="O461" s="130"/>
      <c r="P461" s="132"/>
      <c r="Q461" s="261"/>
      <c r="R461" s="92"/>
    </row>
    <row r="462" spans="3:18" x14ac:dyDescent="0.25">
      <c r="C462" s="263"/>
      <c r="D462" s="157"/>
      <c r="E462" s="44"/>
      <c r="F462" s="127"/>
      <c r="G462" s="1"/>
      <c r="H462" s="161"/>
      <c r="I462" s="37"/>
      <c r="J462" s="135">
        <f t="shared" si="30"/>
        <v>0.59839396822477431</v>
      </c>
      <c r="K462" s="112"/>
      <c r="L462" s="37"/>
      <c r="M462" s="37"/>
      <c r="N462" s="37"/>
      <c r="O462" s="130"/>
      <c r="P462" s="132"/>
      <c r="Q462" s="261"/>
      <c r="R462" s="92"/>
    </row>
    <row r="463" spans="3:18" x14ac:dyDescent="0.25">
      <c r="C463" s="263"/>
      <c r="D463" s="157"/>
      <c r="E463" s="44"/>
      <c r="F463" s="127"/>
      <c r="G463" s="1"/>
      <c r="H463" s="161"/>
      <c r="I463" s="37"/>
      <c r="J463" s="135">
        <f t="shared" si="30"/>
        <v>0.59839396822477431</v>
      </c>
      <c r="K463" s="112"/>
      <c r="L463" s="37"/>
      <c r="M463" s="37"/>
      <c r="N463" s="37"/>
      <c r="O463" s="130"/>
      <c r="P463" s="132"/>
      <c r="Q463" s="261"/>
      <c r="R463" s="92"/>
    </row>
    <row r="464" spans="3:18" x14ac:dyDescent="0.25">
      <c r="C464" s="263"/>
      <c r="D464" s="157"/>
      <c r="E464" s="44"/>
      <c r="F464" s="127"/>
      <c r="G464" s="1"/>
      <c r="H464" s="161"/>
      <c r="I464" s="37"/>
      <c r="J464" s="135">
        <f t="shared" si="30"/>
        <v>0.59839396822477431</v>
      </c>
      <c r="K464" s="112"/>
      <c r="L464" s="37"/>
      <c r="M464" s="37"/>
      <c r="N464" s="37"/>
      <c r="O464" s="130"/>
      <c r="P464" s="132"/>
      <c r="Q464" s="261"/>
      <c r="R464" s="92"/>
    </row>
    <row r="465" spans="3:18" x14ac:dyDescent="0.25">
      <c r="C465" s="263"/>
      <c r="D465" s="157"/>
      <c r="E465" s="44"/>
      <c r="F465" s="127"/>
      <c r="G465" s="1"/>
      <c r="H465" s="161"/>
      <c r="I465" s="37"/>
      <c r="J465" s="135">
        <f t="shared" si="30"/>
        <v>0.59839396822477431</v>
      </c>
      <c r="K465" s="112"/>
      <c r="L465" s="37"/>
      <c r="M465" s="37"/>
      <c r="N465" s="37"/>
      <c r="O465" s="130"/>
      <c r="P465" s="132"/>
      <c r="Q465" s="261"/>
      <c r="R465" s="92"/>
    </row>
    <row r="466" spans="3:18" x14ac:dyDescent="0.25">
      <c r="C466" s="263"/>
      <c r="D466" s="157"/>
      <c r="E466" s="44"/>
      <c r="F466" s="127"/>
      <c r="G466" s="1"/>
      <c r="H466" s="161"/>
      <c r="I466" s="37"/>
      <c r="J466" s="135">
        <f t="shared" si="30"/>
        <v>0.59839396822477431</v>
      </c>
      <c r="K466" s="112"/>
      <c r="L466" s="37"/>
      <c r="M466" s="37"/>
      <c r="N466" s="37"/>
      <c r="O466" s="130"/>
      <c r="P466" s="132"/>
      <c r="Q466" s="261"/>
      <c r="R466" s="92"/>
    </row>
    <row r="467" spans="3:18" x14ac:dyDescent="0.25">
      <c r="C467" s="263"/>
      <c r="D467" s="157"/>
      <c r="E467" s="44"/>
      <c r="F467" s="127"/>
      <c r="G467" s="1"/>
      <c r="H467" s="161"/>
      <c r="I467" s="37"/>
      <c r="J467" s="135">
        <f t="shared" si="30"/>
        <v>0.59839396822477431</v>
      </c>
      <c r="K467" s="112"/>
      <c r="L467" s="37"/>
      <c r="M467" s="37"/>
      <c r="N467" s="37"/>
      <c r="O467" s="130"/>
      <c r="P467" s="132"/>
      <c r="Q467" s="261"/>
      <c r="R467" s="92"/>
    </row>
    <row r="468" spans="3:18" x14ac:dyDescent="0.25">
      <c r="C468" s="263"/>
      <c r="D468" s="157"/>
      <c r="E468" s="44"/>
      <c r="F468" s="127"/>
      <c r="G468" s="1"/>
      <c r="H468" s="161"/>
      <c r="I468" s="37"/>
      <c r="J468" s="135">
        <f t="shared" si="30"/>
        <v>0.59839396822477431</v>
      </c>
      <c r="K468" s="112"/>
      <c r="L468" s="37"/>
      <c r="M468" s="37"/>
      <c r="N468" s="37"/>
      <c r="O468" s="130"/>
      <c r="P468" s="132"/>
      <c r="Q468" s="261"/>
      <c r="R468" s="92"/>
    </row>
    <row r="469" spans="3:18" x14ac:dyDescent="0.25">
      <c r="C469" s="263"/>
      <c r="D469" s="157"/>
      <c r="E469" s="44"/>
      <c r="F469" s="127"/>
      <c r="G469" s="1"/>
      <c r="H469" s="161"/>
      <c r="I469" s="37"/>
      <c r="J469" s="135">
        <f t="shared" si="30"/>
        <v>0.59839396822477431</v>
      </c>
      <c r="K469" s="112"/>
      <c r="L469" s="37"/>
      <c r="M469" s="37"/>
      <c r="N469" s="37"/>
      <c r="O469" s="130"/>
      <c r="P469" s="132"/>
      <c r="Q469" s="261"/>
      <c r="R469" s="92"/>
    </row>
    <row r="470" spans="3:18" x14ac:dyDescent="0.25">
      <c r="C470" s="263"/>
      <c r="D470" s="157"/>
      <c r="E470" s="44"/>
      <c r="F470" s="127"/>
      <c r="G470" s="1"/>
      <c r="H470" s="161"/>
      <c r="I470" s="37"/>
      <c r="J470" s="135">
        <f t="shared" si="30"/>
        <v>0.59839396822477431</v>
      </c>
      <c r="K470" s="112"/>
      <c r="L470" s="37"/>
      <c r="M470" s="37"/>
      <c r="N470" s="37"/>
      <c r="O470" s="130"/>
      <c r="P470" s="132"/>
      <c r="Q470" s="261"/>
      <c r="R470" s="92"/>
    </row>
    <row r="471" spans="3:18" x14ac:dyDescent="0.25">
      <c r="C471" s="263"/>
      <c r="D471" s="157"/>
      <c r="E471" s="44"/>
      <c r="F471" s="127"/>
      <c r="G471" s="1"/>
      <c r="H471" s="161"/>
      <c r="I471" s="37"/>
      <c r="J471" s="135">
        <f t="shared" si="30"/>
        <v>0.59839396822477431</v>
      </c>
      <c r="K471" s="112"/>
      <c r="L471" s="37"/>
      <c r="M471" s="37"/>
      <c r="N471" s="37"/>
      <c r="O471" s="130"/>
      <c r="P471" s="132"/>
      <c r="Q471" s="261"/>
      <c r="R471" s="92"/>
    </row>
    <row r="472" spans="3:18" x14ac:dyDescent="0.25">
      <c r="C472" s="263"/>
      <c r="D472" s="157"/>
      <c r="E472" s="44"/>
      <c r="F472" s="127"/>
      <c r="G472" s="1"/>
      <c r="H472" s="161"/>
      <c r="I472" s="37"/>
      <c r="J472" s="135">
        <f t="shared" ref="J472:J535" si="31">J471</f>
        <v>0.59839396822477431</v>
      </c>
      <c r="K472" s="112"/>
      <c r="L472" s="37"/>
      <c r="M472" s="37"/>
      <c r="N472" s="37"/>
      <c r="O472" s="130"/>
      <c r="P472" s="132"/>
      <c r="Q472" s="261"/>
      <c r="R472" s="92"/>
    </row>
    <row r="473" spans="3:18" x14ac:dyDescent="0.25">
      <c r="C473" s="263"/>
      <c r="D473" s="157"/>
      <c r="E473" s="44"/>
      <c r="F473" s="127"/>
      <c r="G473" s="1"/>
      <c r="H473" s="161"/>
      <c r="I473" s="37"/>
      <c r="J473" s="135">
        <f t="shared" si="31"/>
        <v>0.59839396822477431</v>
      </c>
      <c r="K473" s="112"/>
      <c r="L473" s="37"/>
      <c r="M473" s="37"/>
      <c r="N473" s="37"/>
      <c r="O473" s="130"/>
      <c r="P473" s="132"/>
      <c r="Q473" s="261"/>
      <c r="R473" s="92"/>
    </row>
    <row r="474" spans="3:18" x14ac:dyDescent="0.25">
      <c r="C474" s="263"/>
      <c r="D474" s="157"/>
      <c r="E474" s="44"/>
      <c r="F474" s="127"/>
      <c r="G474" s="1"/>
      <c r="H474" s="161"/>
      <c r="I474" s="37"/>
      <c r="J474" s="135">
        <f t="shared" si="31"/>
        <v>0.59839396822477431</v>
      </c>
      <c r="K474" s="112"/>
      <c r="L474" s="37"/>
      <c r="M474" s="37"/>
      <c r="N474" s="37"/>
      <c r="O474" s="130"/>
      <c r="P474" s="132"/>
      <c r="Q474" s="261"/>
      <c r="R474" s="92"/>
    </row>
    <row r="475" spans="3:18" x14ac:dyDescent="0.25">
      <c r="C475" s="263"/>
      <c r="D475" s="157"/>
      <c r="E475" s="44"/>
      <c r="F475" s="127"/>
      <c r="G475" s="1"/>
      <c r="H475" s="161"/>
      <c r="I475" s="37"/>
      <c r="J475" s="135">
        <f t="shared" si="31"/>
        <v>0.59839396822477431</v>
      </c>
      <c r="K475" s="112"/>
      <c r="L475" s="37"/>
      <c r="M475" s="37"/>
      <c r="N475" s="37"/>
      <c r="O475" s="130"/>
      <c r="P475" s="132"/>
      <c r="Q475" s="261"/>
      <c r="R475" s="92"/>
    </row>
    <row r="476" spans="3:18" x14ac:dyDescent="0.25">
      <c r="C476" s="263"/>
      <c r="D476" s="157"/>
      <c r="E476" s="44"/>
      <c r="F476" s="127"/>
      <c r="G476" s="1"/>
      <c r="H476" s="161"/>
      <c r="I476" s="37"/>
      <c r="J476" s="135">
        <f t="shared" si="31"/>
        <v>0.59839396822477431</v>
      </c>
      <c r="K476" s="112"/>
      <c r="L476" s="37"/>
      <c r="M476" s="37"/>
      <c r="N476" s="37"/>
      <c r="O476" s="130"/>
      <c r="P476" s="132"/>
      <c r="Q476" s="261"/>
      <c r="R476" s="92"/>
    </row>
    <row r="477" spans="3:18" x14ac:dyDescent="0.25">
      <c r="C477" s="263"/>
      <c r="D477" s="157"/>
      <c r="E477" s="44"/>
      <c r="F477" s="127"/>
      <c r="G477" s="1"/>
      <c r="H477" s="161"/>
      <c r="I477" s="37"/>
      <c r="J477" s="135">
        <f t="shared" si="31"/>
        <v>0.59839396822477431</v>
      </c>
      <c r="K477" s="112"/>
      <c r="L477" s="37"/>
      <c r="M477" s="37"/>
      <c r="N477" s="37"/>
      <c r="O477" s="130"/>
      <c r="P477" s="132"/>
      <c r="Q477" s="261"/>
      <c r="R477" s="92"/>
    </row>
    <row r="478" spans="3:18" x14ac:dyDescent="0.25">
      <c r="C478" s="263"/>
      <c r="D478" s="157"/>
      <c r="E478" s="44"/>
      <c r="F478" s="127"/>
      <c r="G478" s="1"/>
      <c r="H478" s="161"/>
      <c r="I478" s="37"/>
      <c r="J478" s="135">
        <f t="shared" si="31"/>
        <v>0.59839396822477431</v>
      </c>
      <c r="K478" s="112"/>
      <c r="L478" s="37"/>
      <c r="M478" s="37"/>
      <c r="N478" s="37"/>
      <c r="O478" s="130"/>
      <c r="P478" s="132"/>
      <c r="Q478" s="261"/>
      <c r="R478" s="92"/>
    </row>
    <row r="479" spans="3:18" x14ac:dyDescent="0.25">
      <c r="C479" s="263"/>
      <c r="D479" s="157"/>
      <c r="E479" s="44"/>
      <c r="F479" s="127"/>
      <c r="G479" s="1"/>
      <c r="H479" s="161"/>
      <c r="I479" s="37"/>
      <c r="J479" s="135">
        <f t="shared" si="31"/>
        <v>0.59839396822477431</v>
      </c>
      <c r="K479" s="112"/>
      <c r="L479" s="37"/>
      <c r="M479" s="37"/>
      <c r="N479" s="37"/>
      <c r="O479" s="130"/>
      <c r="P479" s="132"/>
      <c r="Q479" s="261"/>
      <c r="R479" s="92"/>
    </row>
    <row r="480" spans="3:18" x14ac:dyDescent="0.25">
      <c r="C480" s="263"/>
      <c r="D480" s="157"/>
      <c r="E480" s="44"/>
      <c r="F480" s="127"/>
      <c r="G480" s="1"/>
      <c r="H480" s="161"/>
      <c r="I480" s="37"/>
      <c r="J480" s="135">
        <f t="shared" si="31"/>
        <v>0.59839396822477431</v>
      </c>
      <c r="K480" s="112"/>
      <c r="L480" s="37"/>
      <c r="M480" s="37"/>
      <c r="N480" s="37"/>
      <c r="O480" s="130"/>
      <c r="P480" s="132"/>
      <c r="Q480" s="261"/>
      <c r="R480" s="92"/>
    </row>
    <row r="481" spans="3:18" x14ac:dyDescent="0.25">
      <c r="C481" s="263"/>
      <c r="D481" s="157"/>
      <c r="E481" s="44"/>
      <c r="F481" s="127"/>
      <c r="G481" s="1"/>
      <c r="H481" s="161"/>
      <c r="I481" s="37"/>
      <c r="J481" s="135">
        <f t="shared" si="31"/>
        <v>0.59839396822477431</v>
      </c>
      <c r="K481" s="112"/>
      <c r="L481" s="37"/>
      <c r="M481" s="37"/>
      <c r="N481" s="37"/>
      <c r="O481" s="130"/>
      <c r="P481" s="132"/>
      <c r="Q481" s="261"/>
      <c r="R481" s="92"/>
    </row>
    <row r="482" spans="3:18" x14ac:dyDescent="0.25">
      <c r="C482" s="263"/>
      <c r="D482" s="157"/>
      <c r="E482" s="44"/>
      <c r="F482" s="127"/>
      <c r="G482" s="1"/>
      <c r="H482" s="161"/>
      <c r="I482" s="37"/>
      <c r="J482" s="135">
        <f t="shared" si="31"/>
        <v>0.59839396822477431</v>
      </c>
      <c r="K482" s="112"/>
      <c r="L482" s="37"/>
      <c r="M482" s="37"/>
      <c r="N482" s="37"/>
      <c r="O482" s="130"/>
      <c r="P482" s="132"/>
      <c r="Q482" s="261"/>
      <c r="R482" s="92"/>
    </row>
    <row r="483" spans="3:18" x14ac:dyDescent="0.25">
      <c r="C483" s="263"/>
      <c r="D483" s="157"/>
      <c r="E483" s="44"/>
      <c r="F483" s="127"/>
      <c r="G483" s="1"/>
      <c r="H483" s="161"/>
      <c r="I483" s="37"/>
      <c r="J483" s="135">
        <f t="shared" si="31"/>
        <v>0.59839396822477431</v>
      </c>
      <c r="K483" s="112"/>
      <c r="L483" s="37"/>
      <c r="M483" s="37"/>
      <c r="N483" s="37"/>
      <c r="O483" s="130"/>
      <c r="P483" s="132"/>
      <c r="Q483" s="261"/>
      <c r="R483" s="92"/>
    </row>
    <row r="484" spans="3:18" x14ac:dyDescent="0.25">
      <c r="C484" s="263"/>
      <c r="D484" s="157"/>
      <c r="E484" s="44"/>
      <c r="F484" s="127"/>
      <c r="G484" s="1"/>
      <c r="H484" s="161"/>
      <c r="I484" s="37"/>
      <c r="J484" s="135">
        <f t="shared" si="31"/>
        <v>0.59839396822477431</v>
      </c>
      <c r="K484" s="112"/>
      <c r="L484" s="37"/>
      <c r="M484" s="37"/>
      <c r="N484" s="37"/>
      <c r="O484" s="130"/>
      <c r="P484" s="132"/>
      <c r="Q484" s="261"/>
      <c r="R484" s="92"/>
    </row>
    <row r="485" spans="3:18" x14ac:dyDescent="0.25">
      <c r="C485" s="263"/>
      <c r="D485" s="157"/>
      <c r="E485" s="44"/>
      <c r="F485" s="127"/>
      <c r="G485" s="1"/>
      <c r="H485" s="161"/>
      <c r="I485" s="37"/>
      <c r="J485" s="135">
        <f t="shared" si="31"/>
        <v>0.59839396822477431</v>
      </c>
      <c r="K485" s="112"/>
      <c r="L485" s="37"/>
      <c r="M485" s="37"/>
      <c r="N485" s="37"/>
      <c r="O485" s="130"/>
      <c r="P485" s="132"/>
      <c r="Q485" s="261"/>
      <c r="R485" s="92"/>
    </row>
    <row r="486" spans="3:18" x14ac:dyDescent="0.25">
      <c r="C486" s="263"/>
      <c r="D486" s="157"/>
      <c r="E486" s="44"/>
      <c r="F486" s="127"/>
      <c r="G486" s="1"/>
      <c r="H486" s="161"/>
      <c r="I486" s="37"/>
      <c r="J486" s="135">
        <f t="shared" si="31"/>
        <v>0.59839396822477431</v>
      </c>
      <c r="K486" s="112"/>
      <c r="L486" s="37"/>
      <c r="M486" s="37"/>
      <c r="N486" s="37"/>
      <c r="O486" s="130"/>
      <c r="P486" s="132"/>
      <c r="Q486" s="261"/>
      <c r="R486" s="92"/>
    </row>
    <row r="487" spans="3:18" x14ac:dyDescent="0.25">
      <c r="C487" s="263"/>
      <c r="D487" s="157"/>
      <c r="E487" s="44"/>
      <c r="F487" s="127"/>
      <c r="G487" s="1"/>
      <c r="H487" s="161"/>
      <c r="I487" s="37"/>
      <c r="J487" s="135">
        <f t="shared" si="31"/>
        <v>0.59839396822477431</v>
      </c>
      <c r="K487" s="112"/>
      <c r="L487" s="37"/>
      <c r="M487" s="37"/>
      <c r="N487" s="37"/>
      <c r="O487" s="130"/>
      <c r="P487" s="132"/>
      <c r="Q487" s="261"/>
      <c r="R487" s="92"/>
    </row>
    <row r="488" spans="3:18" x14ac:dyDescent="0.25">
      <c r="C488" s="263"/>
      <c r="D488" s="157"/>
      <c r="E488" s="44"/>
      <c r="F488" s="127"/>
      <c r="G488" s="1"/>
      <c r="H488" s="161"/>
      <c r="I488" s="37"/>
      <c r="J488" s="135">
        <f t="shared" si="31"/>
        <v>0.59839396822477431</v>
      </c>
      <c r="K488" s="112"/>
      <c r="L488" s="37"/>
      <c r="M488" s="37"/>
      <c r="N488" s="37"/>
      <c r="O488" s="130"/>
      <c r="P488" s="132"/>
      <c r="Q488" s="261"/>
      <c r="R488" s="92"/>
    </row>
    <row r="489" spans="3:18" x14ac:dyDescent="0.25">
      <c r="C489" s="263"/>
      <c r="D489" s="157"/>
      <c r="E489" s="44"/>
      <c r="F489" s="127"/>
      <c r="G489" s="1"/>
      <c r="H489" s="161"/>
      <c r="I489" s="37"/>
      <c r="J489" s="135">
        <f t="shared" si="31"/>
        <v>0.59839396822477431</v>
      </c>
      <c r="K489" s="112"/>
      <c r="L489" s="37"/>
      <c r="M489" s="37"/>
      <c r="N489" s="37"/>
      <c r="O489" s="130"/>
      <c r="P489" s="132"/>
      <c r="Q489" s="261"/>
      <c r="R489" s="92"/>
    </row>
    <row r="490" spans="3:18" x14ac:dyDescent="0.25">
      <c r="C490" s="263"/>
      <c r="D490" s="157"/>
      <c r="E490" s="44"/>
      <c r="F490" s="127"/>
      <c r="G490" s="1"/>
      <c r="H490" s="161"/>
      <c r="I490" s="37"/>
      <c r="J490" s="135">
        <f t="shared" si="31"/>
        <v>0.59839396822477431</v>
      </c>
      <c r="K490" s="112"/>
      <c r="L490" s="37"/>
      <c r="M490" s="37"/>
      <c r="N490" s="37"/>
      <c r="O490" s="130"/>
      <c r="P490" s="132"/>
      <c r="Q490" s="261"/>
      <c r="R490" s="92"/>
    </row>
    <row r="491" spans="3:18" x14ac:dyDescent="0.25">
      <c r="C491" s="263"/>
      <c r="D491" s="157"/>
      <c r="E491" s="44"/>
      <c r="F491" s="127"/>
      <c r="G491" s="1"/>
      <c r="H491" s="161"/>
      <c r="I491" s="37"/>
      <c r="J491" s="135">
        <f t="shared" si="31"/>
        <v>0.59839396822477431</v>
      </c>
      <c r="K491" s="112"/>
      <c r="L491" s="37"/>
      <c r="M491" s="37"/>
      <c r="N491" s="37"/>
      <c r="O491" s="130"/>
      <c r="P491" s="132"/>
      <c r="Q491" s="261"/>
      <c r="R491" s="92"/>
    </row>
    <row r="492" spans="3:18" x14ac:dyDescent="0.25">
      <c r="C492" s="263"/>
      <c r="D492" s="157"/>
      <c r="E492" s="44"/>
      <c r="F492" s="127"/>
      <c r="G492" s="1"/>
      <c r="H492" s="161"/>
      <c r="I492" s="37"/>
      <c r="J492" s="135">
        <f t="shared" si="31"/>
        <v>0.59839396822477431</v>
      </c>
      <c r="K492" s="112"/>
      <c r="L492" s="37"/>
      <c r="M492" s="37"/>
      <c r="N492" s="37"/>
      <c r="O492" s="130"/>
      <c r="P492" s="132"/>
      <c r="Q492" s="261"/>
      <c r="R492" s="92"/>
    </row>
    <row r="493" spans="3:18" x14ac:dyDescent="0.25">
      <c r="C493" s="263"/>
      <c r="D493" s="157"/>
      <c r="E493" s="44"/>
      <c r="F493" s="127"/>
      <c r="G493" s="1"/>
      <c r="H493" s="161"/>
      <c r="I493" s="37"/>
      <c r="J493" s="135">
        <f t="shared" si="31"/>
        <v>0.59839396822477431</v>
      </c>
      <c r="K493" s="112"/>
      <c r="L493" s="37"/>
      <c r="M493" s="37"/>
      <c r="N493" s="37"/>
      <c r="O493" s="130"/>
      <c r="P493" s="132"/>
      <c r="Q493" s="261"/>
      <c r="R493" s="92"/>
    </row>
    <row r="494" spans="3:18" x14ac:dyDescent="0.25">
      <c r="C494" s="263"/>
      <c r="D494" s="157"/>
      <c r="E494" s="44"/>
      <c r="F494" s="127"/>
      <c r="G494" s="1"/>
      <c r="H494" s="161"/>
      <c r="I494" s="37"/>
      <c r="J494" s="135">
        <f t="shared" si="31"/>
        <v>0.59839396822477431</v>
      </c>
      <c r="K494" s="112"/>
      <c r="L494" s="37"/>
      <c r="M494" s="37"/>
      <c r="N494" s="37"/>
      <c r="O494" s="130"/>
      <c r="P494" s="132"/>
      <c r="Q494" s="261"/>
      <c r="R494" s="92"/>
    </row>
    <row r="495" spans="3:18" x14ac:dyDescent="0.25">
      <c r="C495" s="263"/>
      <c r="D495" s="157"/>
      <c r="E495" s="44"/>
      <c r="F495" s="127"/>
      <c r="G495" s="1"/>
      <c r="H495" s="161"/>
      <c r="I495" s="37"/>
      <c r="J495" s="135">
        <f t="shared" si="31"/>
        <v>0.59839396822477431</v>
      </c>
      <c r="K495" s="112"/>
      <c r="L495" s="37"/>
      <c r="M495" s="37"/>
      <c r="N495" s="37"/>
      <c r="O495" s="130"/>
      <c r="P495" s="132"/>
      <c r="Q495" s="261"/>
      <c r="R495" s="92"/>
    </row>
    <row r="496" spans="3:18" x14ac:dyDescent="0.25">
      <c r="C496" s="263"/>
      <c r="D496" s="157"/>
      <c r="E496" s="44"/>
      <c r="F496" s="127"/>
      <c r="G496" s="1"/>
      <c r="H496" s="161"/>
      <c r="I496" s="37"/>
      <c r="J496" s="135">
        <f t="shared" si="31"/>
        <v>0.59839396822477431</v>
      </c>
      <c r="K496" s="112"/>
      <c r="L496" s="37"/>
      <c r="M496" s="37"/>
      <c r="N496" s="37"/>
      <c r="O496" s="130"/>
      <c r="P496" s="132"/>
      <c r="Q496" s="261"/>
      <c r="R496" s="92"/>
    </row>
    <row r="497" spans="3:18" x14ac:dyDescent="0.25">
      <c r="C497" s="263"/>
      <c r="D497" s="157"/>
      <c r="E497" s="44"/>
      <c r="F497" s="127"/>
      <c r="G497" s="1"/>
      <c r="H497" s="161"/>
      <c r="I497" s="37"/>
      <c r="J497" s="135">
        <f t="shared" si="31"/>
        <v>0.59839396822477431</v>
      </c>
      <c r="K497" s="112"/>
      <c r="L497" s="37"/>
      <c r="M497" s="37"/>
      <c r="N497" s="37"/>
      <c r="O497" s="130"/>
      <c r="P497" s="132"/>
      <c r="Q497" s="261"/>
      <c r="R497" s="92"/>
    </row>
    <row r="498" spans="3:18" x14ac:dyDescent="0.25">
      <c r="C498" s="263"/>
      <c r="D498" s="157"/>
      <c r="E498" s="44"/>
      <c r="F498" s="127"/>
      <c r="G498" s="1"/>
      <c r="H498" s="161"/>
      <c r="I498" s="37"/>
      <c r="J498" s="135">
        <f t="shared" si="31"/>
        <v>0.59839396822477431</v>
      </c>
      <c r="K498" s="112"/>
      <c r="L498" s="37"/>
      <c r="M498" s="37"/>
      <c r="N498" s="37"/>
      <c r="O498" s="130"/>
      <c r="P498" s="132"/>
      <c r="Q498" s="261"/>
      <c r="R498" s="92"/>
    </row>
    <row r="499" spans="3:18" x14ac:dyDescent="0.25">
      <c r="C499" s="263"/>
      <c r="D499" s="157"/>
      <c r="E499" s="44"/>
      <c r="F499" s="127"/>
      <c r="G499" s="1"/>
      <c r="H499" s="161"/>
      <c r="I499" s="37"/>
      <c r="J499" s="135">
        <f t="shared" si="31"/>
        <v>0.59839396822477431</v>
      </c>
      <c r="K499" s="112"/>
      <c r="L499" s="37"/>
      <c r="M499" s="37"/>
      <c r="N499" s="37"/>
      <c r="O499" s="130"/>
      <c r="P499" s="132"/>
      <c r="Q499" s="261"/>
      <c r="R499" s="92"/>
    </row>
    <row r="500" spans="3:18" x14ac:dyDescent="0.25">
      <c r="C500" s="263"/>
      <c r="D500" s="157"/>
      <c r="E500" s="44"/>
      <c r="F500" s="127"/>
      <c r="G500" s="1"/>
      <c r="H500" s="161"/>
      <c r="I500" s="37"/>
      <c r="J500" s="135">
        <f t="shared" si="31"/>
        <v>0.59839396822477431</v>
      </c>
      <c r="K500" s="112"/>
      <c r="L500" s="37"/>
      <c r="M500" s="37"/>
      <c r="N500" s="37"/>
      <c r="O500" s="130"/>
      <c r="P500" s="132"/>
      <c r="Q500" s="261"/>
      <c r="R500" s="92"/>
    </row>
    <row r="501" spans="3:18" x14ac:dyDescent="0.25">
      <c r="C501" s="263"/>
      <c r="D501" s="157"/>
      <c r="E501" s="44"/>
      <c r="F501" s="127"/>
      <c r="G501" s="1"/>
      <c r="H501" s="161"/>
      <c r="I501" s="37"/>
      <c r="J501" s="135">
        <f t="shared" si="31"/>
        <v>0.59839396822477431</v>
      </c>
      <c r="K501" s="112"/>
      <c r="L501" s="37"/>
      <c r="M501" s="37"/>
      <c r="N501" s="37"/>
      <c r="O501" s="130"/>
      <c r="P501" s="132"/>
      <c r="Q501" s="261"/>
      <c r="R501" s="92"/>
    </row>
    <row r="502" spans="3:18" x14ac:dyDescent="0.25">
      <c r="C502" s="263"/>
      <c r="D502" s="157"/>
      <c r="E502" s="44"/>
      <c r="F502" s="127"/>
      <c r="G502" s="1"/>
      <c r="H502" s="161"/>
      <c r="I502" s="37"/>
      <c r="J502" s="135">
        <f t="shared" si="31"/>
        <v>0.59839396822477431</v>
      </c>
      <c r="K502" s="112"/>
      <c r="L502" s="37"/>
      <c r="M502" s="37"/>
      <c r="N502" s="37"/>
      <c r="O502" s="130"/>
      <c r="P502" s="132"/>
      <c r="Q502" s="261"/>
      <c r="R502" s="92"/>
    </row>
    <row r="503" spans="3:18" x14ac:dyDescent="0.25">
      <c r="C503" s="263"/>
      <c r="D503" s="157"/>
      <c r="E503" s="44"/>
      <c r="F503" s="127"/>
      <c r="G503" s="1"/>
      <c r="H503" s="161"/>
      <c r="I503" s="37"/>
      <c r="J503" s="135">
        <f t="shared" si="31"/>
        <v>0.59839396822477431</v>
      </c>
      <c r="K503" s="112"/>
      <c r="L503" s="37"/>
      <c r="M503" s="37"/>
      <c r="N503" s="37"/>
      <c r="O503" s="130"/>
      <c r="P503" s="132"/>
      <c r="Q503" s="261"/>
      <c r="R503" s="92"/>
    </row>
    <row r="504" spans="3:18" x14ac:dyDescent="0.25">
      <c r="C504" s="263"/>
      <c r="D504" s="157"/>
      <c r="E504" s="44"/>
      <c r="F504" s="127"/>
      <c r="G504" s="1"/>
      <c r="H504" s="161"/>
      <c r="I504" s="37"/>
      <c r="J504" s="135">
        <f t="shared" si="31"/>
        <v>0.59839396822477431</v>
      </c>
      <c r="K504" s="112"/>
      <c r="L504" s="37"/>
      <c r="M504" s="37"/>
      <c r="N504" s="37"/>
      <c r="O504" s="130"/>
      <c r="P504" s="132"/>
      <c r="Q504" s="261"/>
      <c r="R504" s="92"/>
    </row>
    <row r="505" spans="3:18" x14ac:dyDescent="0.25">
      <c r="C505" s="263"/>
      <c r="D505" s="157"/>
      <c r="E505" s="44"/>
      <c r="F505" s="127"/>
      <c r="G505" s="1"/>
      <c r="H505" s="161"/>
      <c r="I505" s="37"/>
      <c r="J505" s="135">
        <f t="shared" si="31"/>
        <v>0.59839396822477431</v>
      </c>
      <c r="K505" s="112"/>
      <c r="L505" s="37"/>
      <c r="M505" s="37"/>
      <c r="N505" s="37"/>
      <c r="O505" s="130"/>
      <c r="P505" s="132"/>
      <c r="Q505" s="261"/>
      <c r="R505" s="92"/>
    </row>
    <row r="506" spans="3:18" x14ac:dyDescent="0.25">
      <c r="C506" s="263"/>
      <c r="D506" s="157"/>
      <c r="E506" s="44"/>
      <c r="F506" s="127"/>
      <c r="G506" s="1"/>
      <c r="H506" s="161"/>
      <c r="I506" s="37"/>
      <c r="J506" s="135">
        <f t="shared" si="31"/>
        <v>0.59839396822477431</v>
      </c>
      <c r="K506" s="112"/>
      <c r="L506" s="37"/>
      <c r="M506" s="37"/>
      <c r="N506" s="37"/>
      <c r="O506" s="130"/>
      <c r="P506" s="132"/>
      <c r="Q506" s="261"/>
      <c r="R506" s="92"/>
    </row>
    <row r="507" spans="3:18" x14ac:dyDescent="0.25">
      <c r="C507" s="263"/>
      <c r="D507" s="157"/>
      <c r="E507" s="44"/>
      <c r="F507" s="127"/>
      <c r="G507" s="1"/>
      <c r="H507" s="161"/>
      <c r="I507" s="37"/>
      <c r="J507" s="135">
        <f t="shared" si="31"/>
        <v>0.59839396822477431</v>
      </c>
      <c r="K507" s="112"/>
      <c r="L507" s="37"/>
      <c r="M507" s="37"/>
      <c r="N507" s="37"/>
      <c r="O507" s="130"/>
      <c r="P507" s="132"/>
      <c r="Q507" s="261"/>
      <c r="R507" s="92"/>
    </row>
    <row r="508" spans="3:18" x14ac:dyDescent="0.25">
      <c r="C508" s="263"/>
      <c r="D508" s="157"/>
      <c r="E508" s="44"/>
      <c r="F508" s="127"/>
      <c r="G508" s="1"/>
      <c r="H508" s="161"/>
      <c r="I508" s="37"/>
      <c r="J508" s="135">
        <f t="shared" si="31"/>
        <v>0.59839396822477431</v>
      </c>
      <c r="K508" s="112"/>
      <c r="L508" s="37"/>
      <c r="M508" s="37"/>
      <c r="N508" s="37"/>
      <c r="O508" s="130"/>
      <c r="P508" s="132"/>
      <c r="Q508" s="261"/>
      <c r="R508" s="92"/>
    </row>
    <row r="509" spans="3:18" x14ac:dyDescent="0.25">
      <c r="C509" s="263"/>
      <c r="D509" s="157"/>
      <c r="E509" s="44"/>
      <c r="F509" s="127"/>
      <c r="G509" s="1"/>
      <c r="H509" s="161"/>
      <c r="I509" s="37"/>
      <c r="J509" s="135">
        <f t="shared" si="31"/>
        <v>0.59839396822477431</v>
      </c>
      <c r="K509" s="112"/>
      <c r="L509" s="37"/>
      <c r="M509" s="37"/>
      <c r="N509" s="37"/>
      <c r="O509" s="130"/>
      <c r="P509" s="132"/>
      <c r="Q509" s="261"/>
      <c r="R509" s="92"/>
    </row>
    <row r="510" spans="3:18" x14ac:dyDescent="0.25">
      <c r="C510" s="263"/>
      <c r="D510" s="157"/>
      <c r="E510" s="44"/>
      <c r="F510" s="127"/>
      <c r="G510" s="1"/>
      <c r="H510" s="161"/>
      <c r="I510" s="37"/>
      <c r="J510" s="135">
        <f t="shared" si="31"/>
        <v>0.59839396822477431</v>
      </c>
      <c r="K510" s="112"/>
      <c r="L510" s="37"/>
      <c r="M510" s="37"/>
      <c r="N510" s="37"/>
      <c r="O510" s="130"/>
      <c r="P510" s="132"/>
      <c r="Q510" s="261"/>
      <c r="R510" s="92"/>
    </row>
    <row r="511" spans="3:18" x14ac:dyDescent="0.25">
      <c r="C511" s="263"/>
      <c r="D511" s="157"/>
      <c r="E511" s="44"/>
      <c r="F511" s="127"/>
      <c r="G511" s="1"/>
      <c r="H511" s="161"/>
      <c r="I511" s="37"/>
      <c r="J511" s="135">
        <f t="shared" si="31"/>
        <v>0.59839396822477431</v>
      </c>
      <c r="K511" s="112"/>
      <c r="L511" s="37"/>
      <c r="M511" s="37"/>
      <c r="N511" s="37"/>
      <c r="O511" s="130"/>
      <c r="P511" s="132"/>
      <c r="Q511" s="261"/>
      <c r="R511" s="92"/>
    </row>
    <row r="512" spans="3:18" x14ac:dyDescent="0.25">
      <c r="C512" s="263"/>
      <c r="D512" s="157"/>
      <c r="E512" s="44"/>
      <c r="F512" s="127"/>
      <c r="G512" s="1"/>
      <c r="H512" s="161"/>
      <c r="I512" s="37"/>
      <c r="J512" s="135">
        <f t="shared" si="31"/>
        <v>0.59839396822477431</v>
      </c>
      <c r="K512" s="112"/>
      <c r="L512" s="37"/>
      <c r="M512" s="37"/>
      <c r="N512" s="37"/>
      <c r="O512" s="130"/>
      <c r="P512" s="132"/>
      <c r="Q512" s="261"/>
      <c r="R512" s="92"/>
    </row>
    <row r="513" spans="3:18" x14ac:dyDescent="0.25">
      <c r="C513" s="263"/>
      <c r="D513" s="157"/>
      <c r="E513" s="44"/>
      <c r="F513" s="127"/>
      <c r="G513" s="1"/>
      <c r="H513" s="161"/>
      <c r="I513" s="37"/>
      <c r="J513" s="135">
        <f t="shared" si="31"/>
        <v>0.59839396822477431</v>
      </c>
      <c r="K513" s="112"/>
      <c r="L513" s="37"/>
      <c r="M513" s="37"/>
      <c r="N513" s="37"/>
      <c r="O513" s="130"/>
      <c r="P513" s="132"/>
      <c r="Q513" s="261"/>
      <c r="R513" s="92"/>
    </row>
    <row r="514" spans="3:18" x14ac:dyDescent="0.25">
      <c r="C514" s="263"/>
      <c r="D514" s="157"/>
      <c r="E514" s="44"/>
      <c r="F514" s="127"/>
      <c r="G514" s="1"/>
      <c r="H514" s="161"/>
      <c r="I514" s="37"/>
      <c r="J514" s="135">
        <f t="shared" si="31"/>
        <v>0.59839396822477431</v>
      </c>
      <c r="K514" s="112"/>
      <c r="L514" s="37"/>
      <c r="M514" s="37"/>
      <c r="N514" s="37"/>
      <c r="O514" s="130"/>
      <c r="P514" s="132"/>
      <c r="Q514" s="261"/>
      <c r="R514" s="92"/>
    </row>
    <row r="515" spans="3:18" x14ac:dyDescent="0.25">
      <c r="C515" s="263"/>
      <c r="D515" s="157"/>
      <c r="E515" s="44"/>
      <c r="F515" s="127"/>
      <c r="G515" s="1"/>
      <c r="H515" s="161"/>
      <c r="I515" s="37"/>
      <c r="J515" s="135">
        <f t="shared" si="31"/>
        <v>0.59839396822477431</v>
      </c>
      <c r="K515" s="112"/>
      <c r="L515" s="37"/>
      <c r="M515" s="37"/>
      <c r="N515" s="37"/>
      <c r="O515" s="130"/>
      <c r="P515" s="132"/>
      <c r="Q515" s="261"/>
      <c r="R515" s="92"/>
    </row>
    <row r="516" spans="3:18" x14ac:dyDescent="0.25">
      <c r="C516" s="263"/>
      <c r="D516" s="157"/>
      <c r="E516" s="44"/>
      <c r="F516" s="127"/>
      <c r="G516" s="1"/>
      <c r="H516" s="161"/>
      <c r="I516" s="37"/>
      <c r="J516" s="135">
        <f t="shared" si="31"/>
        <v>0.59839396822477431</v>
      </c>
      <c r="K516" s="112"/>
      <c r="L516" s="37"/>
      <c r="M516" s="37"/>
      <c r="N516" s="37"/>
      <c r="O516" s="130"/>
      <c r="P516" s="132"/>
      <c r="Q516" s="261"/>
      <c r="R516" s="92"/>
    </row>
    <row r="517" spans="3:18" x14ac:dyDescent="0.25">
      <c r="C517" s="263"/>
      <c r="D517" s="157"/>
      <c r="E517" s="44"/>
      <c r="F517" s="127"/>
      <c r="G517" s="1"/>
      <c r="H517" s="161"/>
      <c r="I517" s="37"/>
      <c r="J517" s="135">
        <f t="shared" si="31"/>
        <v>0.59839396822477431</v>
      </c>
      <c r="K517" s="112"/>
      <c r="L517" s="37"/>
      <c r="M517" s="37"/>
      <c r="N517" s="37"/>
      <c r="O517" s="130"/>
      <c r="P517" s="132"/>
      <c r="Q517" s="261"/>
      <c r="R517" s="92"/>
    </row>
    <row r="518" spans="3:18" x14ac:dyDescent="0.25">
      <c r="C518" s="263"/>
      <c r="D518" s="157"/>
      <c r="E518" s="44"/>
      <c r="F518" s="127"/>
      <c r="G518" s="1"/>
      <c r="H518" s="161"/>
      <c r="I518" s="37"/>
      <c r="J518" s="135">
        <f t="shared" si="31"/>
        <v>0.59839396822477431</v>
      </c>
      <c r="K518" s="112"/>
      <c r="L518" s="37"/>
      <c r="M518" s="37"/>
      <c r="N518" s="37"/>
      <c r="O518" s="130"/>
      <c r="P518" s="132"/>
      <c r="Q518" s="261"/>
      <c r="R518" s="92"/>
    </row>
    <row r="519" spans="3:18" x14ac:dyDescent="0.25">
      <c r="C519" s="263"/>
      <c r="D519" s="157"/>
      <c r="E519" s="44"/>
      <c r="F519" s="127"/>
      <c r="G519" s="1"/>
      <c r="H519" s="161"/>
      <c r="I519" s="37"/>
      <c r="J519" s="135">
        <f t="shared" si="31"/>
        <v>0.59839396822477431</v>
      </c>
      <c r="K519" s="112"/>
      <c r="L519" s="37"/>
      <c r="M519" s="37"/>
      <c r="N519" s="37"/>
      <c r="O519" s="130"/>
      <c r="P519" s="132"/>
      <c r="Q519" s="261"/>
      <c r="R519" s="92"/>
    </row>
    <row r="520" spans="3:18" x14ac:dyDescent="0.25">
      <c r="C520" s="263"/>
      <c r="D520" s="157"/>
      <c r="E520" s="44"/>
      <c r="F520" s="127"/>
      <c r="G520" s="1"/>
      <c r="H520" s="161"/>
      <c r="I520" s="37"/>
      <c r="J520" s="135">
        <f t="shared" si="31"/>
        <v>0.59839396822477431</v>
      </c>
      <c r="K520" s="112"/>
      <c r="L520" s="37"/>
      <c r="M520" s="37"/>
      <c r="N520" s="37"/>
      <c r="O520" s="130"/>
      <c r="P520" s="132"/>
      <c r="Q520" s="261"/>
      <c r="R520" s="92"/>
    </row>
    <row r="521" spans="3:18" x14ac:dyDescent="0.25">
      <c r="C521" s="263"/>
      <c r="D521" s="157"/>
      <c r="E521" s="44"/>
      <c r="F521" s="127"/>
      <c r="G521" s="1"/>
      <c r="H521" s="161"/>
      <c r="I521" s="37"/>
      <c r="J521" s="135">
        <f t="shared" si="31"/>
        <v>0.59839396822477431</v>
      </c>
      <c r="K521" s="112"/>
      <c r="L521" s="37"/>
      <c r="M521" s="37"/>
      <c r="N521" s="37"/>
      <c r="O521" s="130"/>
      <c r="P521" s="132"/>
      <c r="Q521" s="261"/>
      <c r="R521" s="92"/>
    </row>
    <row r="522" spans="3:18" x14ac:dyDescent="0.25">
      <c r="C522" s="263"/>
      <c r="D522" s="157"/>
      <c r="E522" s="44"/>
      <c r="F522" s="127"/>
      <c r="G522" s="1"/>
      <c r="H522" s="161"/>
      <c r="I522" s="37"/>
      <c r="J522" s="135">
        <f t="shared" si="31"/>
        <v>0.59839396822477431</v>
      </c>
      <c r="K522" s="112"/>
      <c r="L522" s="37"/>
      <c r="M522" s="37"/>
      <c r="N522" s="37"/>
      <c r="O522" s="130"/>
      <c r="P522" s="132"/>
      <c r="Q522" s="261"/>
      <c r="R522" s="92"/>
    </row>
    <row r="523" spans="3:18" x14ac:dyDescent="0.25">
      <c r="C523" s="263"/>
      <c r="D523" s="157"/>
      <c r="E523" s="44"/>
      <c r="F523" s="127"/>
      <c r="G523" s="1"/>
      <c r="H523" s="161"/>
      <c r="I523" s="37"/>
      <c r="J523" s="135">
        <f t="shared" si="31"/>
        <v>0.59839396822477431</v>
      </c>
      <c r="K523" s="112"/>
      <c r="L523" s="37"/>
      <c r="M523" s="37"/>
      <c r="N523" s="37"/>
      <c r="O523" s="130"/>
      <c r="P523" s="132"/>
      <c r="Q523" s="261"/>
      <c r="R523" s="92"/>
    </row>
    <row r="524" spans="3:18" x14ac:dyDescent="0.25">
      <c r="C524" s="263"/>
      <c r="D524" s="157"/>
      <c r="E524" s="44"/>
      <c r="F524" s="127"/>
      <c r="G524" s="1"/>
      <c r="H524" s="161"/>
      <c r="I524" s="37"/>
      <c r="J524" s="135">
        <f t="shared" si="31"/>
        <v>0.59839396822477431</v>
      </c>
      <c r="K524" s="112"/>
      <c r="L524" s="37"/>
      <c r="M524" s="37"/>
      <c r="N524" s="37"/>
      <c r="O524" s="130"/>
      <c r="P524" s="132"/>
      <c r="Q524" s="261"/>
      <c r="R524" s="92"/>
    </row>
    <row r="525" spans="3:18" x14ac:dyDescent="0.25">
      <c r="C525" s="263"/>
      <c r="D525" s="157"/>
      <c r="E525" s="44"/>
      <c r="F525" s="127"/>
      <c r="G525" s="1"/>
      <c r="H525" s="161"/>
      <c r="I525" s="37"/>
      <c r="J525" s="135">
        <f t="shared" si="31"/>
        <v>0.59839396822477431</v>
      </c>
      <c r="K525" s="112"/>
      <c r="L525" s="37"/>
      <c r="M525" s="37"/>
      <c r="N525" s="37"/>
      <c r="O525" s="130"/>
      <c r="P525" s="132"/>
      <c r="Q525" s="261"/>
      <c r="R525" s="92"/>
    </row>
    <row r="526" spans="3:18" x14ac:dyDescent="0.25">
      <c r="C526" s="263"/>
      <c r="D526" s="157"/>
      <c r="E526" s="44"/>
      <c r="F526" s="127"/>
      <c r="G526" s="1"/>
      <c r="H526" s="161"/>
      <c r="I526" s="37"/>
      <c r="J526" s="135">
        <f t="shared" si="31"/>
        <v>0.59839396822477431</v>
      </c>
      <c r="K526" s="112"/>
      <c r="L526" s="37"/>
      <c r="M526" s="37"/>
      <c r="N526" s="37"/>
      <c r="O526" s="130"/>
      <c r="P526" s="132"/>
      <c r="Q526" s="261"/>
      <c r="R526" s="92"/>
    </row>
    <row r="527" spans="3:18" x14ac:dyDescent="0.25">
      <c r="C527" s="263"/>
      <c r="D527" s="157"/>
      <c r="E527" s="44"/>
      <c r="F527" s="127"/>
      <c r="G527" s="1"/>
      <c r="H527" s="161"/>
      <c r="I527" s="37"/>
      <c r="J527" s="135">
        <f t="shared" si="31"/>
        <v>0.59839396822477431</v>
      </c>
      <c r="K527" s="112"/>
      <c r="L527" s="37"/>
      <c r="M527" s="37"/>
      <c r="N527" s="37"/>
      <c r="O527" s="130"/>
      <c r="P527" s="132"/>
      <c r="Q527" s="261"/>
      <c r="R527" s="92"/>
    </row>
    <row r="528" spans="3:18" x14ac:dyDescent="0.25">
      <c r="C528" s="263"/>
      <c r="D528" s="157"/>
      <c r="E528" s="44"/>
      <c r="F528" s="127"/>
      <c r="G528" s="1"/>
      <c r="H528" s="161"/>
      <c r="I528" s="37"/>
      <c r="J528" s="135">
        <f t="shared" si="31"/>
        <v>0.59839396822477431</v>
      </c>
      <c r="K528" s="112"/>
      <c r="L528" s="37"/>
      <c r="M528" s="37"/>
      <c r="N528" s="37"/>
      <c r="O528" s="130"/>
      <c r="P528" s="132"/>
      <c r="Q528" s="261"/>
      <c r="R528" s="92"/>
    </row>
    <row r="529" spans="3:18" x14ac:dyDescent="0.25">
      <c r="C529" s="263"/>
      <c r="D529" s="157"/>
      <c r="E529" s="44"/>
      <c r="F529" s="127"/>
      <c r="G529" s="1"/>
      <c r="H529" s="161"/>
      <c r="I529" s="37"/>
      <c r="J529" s="135">
        <f t="shared" si="31"/>
        <v>0.59839396822477431</v>
      </c>
      <c r="K529" s="112"/>
      <c r="L529" s="37"/>
      <c r="M529" s="37"/>
      <c r="N529" s="37"/>
      <c r="O529" s="130"/>
      <c r="P529" s="132"/>
      <c r="Q529" s="261"/>
      <c r="R529" s="92"/>
    </row>
    <row r="530" spans="3:18" x14ac:dyDescent="0.25">
      <c r="C530" s="263"/>
      <c r="D530" s="157"/>
      <c r="E530" s="44"/>
      <c r="F530" s="127"/>
      <c r="G530" s="1"/>
      <c r="H530" s="161"/>
      <c r="I530" s="37"/>
      <c r="J530" s="135">
        <f t="shared" si="31"/>
        <v>0.59839396822477431</v>
      </c>
      <c r="K530" s="112"/>
      <c r="L530" s="37"/>
      <c r="M530" s="37"/>
      <c r="N530" s="37"/>
      <c r="O530" s="130"/>
      <c r="P530" s="132"/>
      <c r="Q530" s="261"/>
      <c r="R530" s="92"/>
    </row>
    <row r="531" spans="3:18" x14ac:dyDescent="0.25">
      <c r="C531" s="263"/>
      <c r="D531" s="157"/>
      <c r="E531" s="44"/>
      <c r="F531" s="127"/>
      <c r="G531" s="1"/>
      <c r="H531" s="161"/>
      <c r="I531" s="37"/>
      <c r="J531" s="135">
        <f t="shared" si="31"/>
        <v>0.59839396822477431</v>
      </c>
      <c r="K531" s="112"/>
      <c r="L531" s="37"/>
      <c r="M531" s="37"/>
      <c r="N531" s="37"/>
      <c r="O531" s="130"/>
      <c r="P531" s="132"/>
      <c r="Q531" s="261"/>
      <c r="R531" s="92"/>
    </row>
    <row r="532" spans="3:18" x14ac:dyDescent="0.25">
      <c r="C532" s="263"/>
      <c r="D532" s="157"/>
      <c r="E532" s="44"/>
      <c r="F532" s="127"/>
      <c r="G532" s="1"/>
      <c r="H532" s="161"/>
      <c r="I532" s="37"/>
      <c r="J532" s="135">
        <f t="shared" si="31"/>
        <v>0.59839396822477431</v>
      </c>
      <c r="K532" s="112"/>
      <c r="L532" s="37"/>
      <c r="M532" s="37"/>
      <c r="N532" s="37"/>
      <c r="O532" s="130"/>
      <c r="P532" s="132"/>
      <c r="Q532" s="261"/>
      <c r="R532" s="92"/>
    </row>
    <row r="533" spans="3:18" x14ac:dyDescent="0.25">
      <c r="C533" s="263"/>
      <c r="D533" s="157"/>
      <c r="E533" s="44"/>
      <c r="F533" s="127"/>
      <c r="G533" s="1"/>
      <c r="H533" s="161"/>
      <c r="I533" s="37"/>
      <c r="J533" s="135">
        <f t="shared" si="31"/>
        <v>0.59839396822477431</v>
      </c>
      <c r="K533" s="112"/>
      <c r="L533" s="37"/>
      <c r="M533" s="37"/>
      <c r="N533" s="37"/>
      <c r="O533" s="130"/>
      <c r="P533" s="132"/>
      <c r="Q533" s="261"/>
      <c r="R533" s="92"/>
    </row>
    <row r="534" spans="3:18" x14ac:dyDescent="0.25">
      <c r="C534" s="263"/>
      <c r="D534" s="157"/>
      <c r="E534" s="44"/>
      <c r="F534" s="127"/>
      <c r="G534" s="1"/>
      <c r="H534" s="161"/>
      <c r="I534" s="37"/>
      <c r="J534" s="135">
        <f t="shared" si="31"/>
        <v>0.59839396822477431</v>
      </c>
      <c r="K534" s="112"/>
      <c r="L534" s="37"/>
      <c r="M534" s="37"/>
      <c r="N534" s="37"/>
      <c r="O534" s="130"/>
      <c r="P534" s="132"/>
      <c r="Q534" s="261"/>
      <c r="R534" s="92"/>
    </row>
    <row r="535" spans="3:18" x14ac:dyDescent="0.25">
      <c r="C535" s="263"/>
      <c r="D535" s="157"/>
      <c r="E535" s="44"/>
      <c r="F535" s="127"/>
      <c r="G535" s="1"/>
      <c r="H535" s="161"/>
      <c r="I535" s="37"/>
      <c r="J535" s="135">
        <f t="shared" si="31"/>
        <v>0.59839396822477431</v>
      </c>
      <c r="K535" s="112"/>
      <c r="L535" s="37"/>
      <c r="M535" s="37"/>
      <c r="N535" s="37"/>
      <c r="O535" s="130"/>
      <c r="P535" s="132"/>
      <c r="Q535" s="261"/>
      <c r="R535" s="92"/>
    </row>
    <row r="536" spans="3:18" x14ac:dyDescent="0.25">
      <c r="C536" s="263"/>
      <c r="D536" s="157"/>
      <c r="E536" s="44"/>
      <c r="F536" s="127"/>
      <c r="G536" s="1"/>
      <c r="H536" s="161"/>
      <c r="I536" s="37"/>
      <c r="J536" s="135">
        <f t="shared" ref="J536:J599" si="32">J535</f>
        <v>0.59839396822477431</v>
      </c>
      <c r="K536" s="112"/>
      <c r="L536" s="37"/>
      <c r="M536" s="37"/>
      <c r="N536" s="37"/>
      <c r="O536" s="130"/>
      <c r="P536" s="132"/>
      <c r="Q536" s="261"/>
      <c r="R536" s="92"/>
    </row>
    <row r="537" spans="3:18" x14ac:dyDescent="0.25">
      <c r="C537" s="263"/>
      <c r="D537" s="157"/>
      <c r="E537" s="44"/>
      <c r="F537" s="127"/>
      <c r="G537" s="1"/>
      <c r="H537" s="161"/>
      <c r="I537" s="37"/>
      <c r="J537" s="135">
        <f t="shared" si="32"/>
        <v>0.59839396822477431</v>
      </c>
      <c r="K537" s="112"/>
      <c r="L537" s="37"/>
      <c r="M537" s="37"/>
      <c r="N537" s="37"/>
      <c r="O537" s="130"/>
      <c r="P537" s="132"/>
      <c r="Q537" s="261"/>
      <c r="R537" s="92"/>
    </row>
    <row r="538" spans="3:18" x14ac:dyDescent="0.25">
      <c r="C538" s="263"/>
      <c r="D538" s="157"/>
      <c r="E538" s="44"/>
      <c r="F538" s="127"/>
      <c r="G538" s="1"/>
      <c r="H538" s="161"/>
      <c r="I538" s="37"/>
      <c r="J538" s="135">
        <f t="shared" si="32"/>
        <v>0.59839396822477431</v>
      </c>
      <c r="K538" s="112"/>
      <c r="L538" s="37"/>
      <c r="M538" s="37"/>
      <c r="N538" s="37"/>
      <c r="O538" s="130"/>
      <c r="P538" s="132"/>
      <c r="Q538" s="261"/>
      <c r="R538" s="92"/>
    </row>
    <row r="539" spans="3:18" x14ac:dyDescent="0.25">
      <c r="C539" s="263"/>
      <c r="D539" s="157"/>
      <c r="E539" s="44"/>
      <c r="F539" s="127"/>
      <c r="G539" s="1"/>
      <c r="H539" s="161"/>
      <c r="I539" s="37"/>
      <c r="J539" s="135">
        <f t="shared" si="32"/>
        <v>0.59839396822477431</v>
      </c>
      <c r="K539" s="112"/>
      <c r="L539" s="37"/>
      <c r="M539" s="37"/>
      <c r="N539" s="37"/>
      <c r="O539" s="130"/>
      <c r="P539" s="132"/>
      <c r="Q539" s="261"/>
      <c r="R539" s="92"/>
    </row>
    <row r="540" spans="3:18" x14ac:dyDescent="0.25">
      <c r="C540" s="263"/>
      <c r="D540" s="157"/>
      <c r="E540" s="44"/>
      <c r="F540" s="127"/>
      <c r="G540" s="1"/>
      <c r="H540" s="161"/>
      <c r="I540" s="37"/>
      <c r="J540" s="135">
        <f t="shared" si="32"/>
        <v>0.59839396822477431</v>
      </c>
      <c r="K540" s="112"/>
      <c r="L540" s="37"/>
      <c r="M540" s="37"/>
      <c r="N540" s="37"/>
      <c r="O540" s="130"/>
      <c r="P540" s="132"/>
      <c r="Q540" s="261"/>
      <c r="R540" s="92"/>
    </row>
    <row r="541" spans="3:18" x14ac:dyDescent="0.25">
      <c r="C541" s="263"/>
      <c r="D541" s="157"/>
      <c r="E541" s="44"/>
      <c r="F541" s="127"/>
      <c r="G541" s="1"/>
      <c r="H541" s="161"/>
      <c r="I541" s="37"/>
      <c r="J541" s="135">
        <f t="shared" si="32"/>
        <v>0.59839396822477431</v>
      </c>
      <c r="K541" s="112"/>
      <c r="L541" s="37"/>
      <c r="M541" s="37"/>
      <c r="N541" s="37"/>
      <c r="O541" s="130"/>
      <c r="P541" s="132"/>
      <c r="Q541" s="261"/>
      <c r="R541" s="92"/>
    </row>
    <row r="542" spans="3:18" x14ac:dyDescent="0.25">
      <c r="C542" s="263"/>
      <c r="D542" s="157"/>
      <c r="E542" s="44"/>
      <c r="F542" s="127"/>
      <c r="G542" s="1"/>
      <c r="H542" s="161"/>
      <c r="I542" s="37"/>
      <c r="J542" s="135">
        <f t="shared" si="32"/>
        <v>0.59839396822477431</v>
      </c>
      <c r="K542" s="112"/>
      <c r="L542" s="37"/>
      <c r="M542" s="37"/>
      <c r="N542" s="37"/>
      <c r="O542" s="130"/>
      <c r="P542" s="132"/>
      <c r="Q542" s="261"/>
      <c r="R542" s="92"/>
    </row>
    <row r="543" spans="3:18" x14ac:dyDescent="0.25">
      <c r="C543" s="263"/>
      <c r="D543" s="157"/>
      <c r="E543" s="44"/>
      <c r="F543" s="127"/>
      <c r="G543" s="1"/>
      <c r="H543" s="161"/>
      <c r="I543" s="37"/>
      <c r="J543" s="135">
        <f t="shared" si="32"/>
        <v>0.59839396822477431</v>
      </c>
      <c r="K543" s="112"/>
      <c r="L543" s="37"/>
      <c r="M543" s="37"/>
      <c r="N543" s="37"/>
      <c r="O543" s="130"/>
      <c r="P543" s="132"/>
      <c r="Q543" s="261"/>
      <c r="R543" s="92"/>
    </row>
    <row r="544" spans="3:18" x14ac:dyDescent="0.25">
      <c r="C544" s="263"/>
      <c r="D544" s="157"/>
      <c r="E544" s="44"/>
      <c r="F544" s="127"/>
      <c r="G544" s="1"/>
      <c r="H544" s="161"/>
      <c r="I544" s="37"/>
      <c r="J544" s="135">
        <f t="shared" si="32"/>
        <v>0.59839396822477431</v>
      </c>
      <c r="K544" s="112"/>
      <c r="L544" s="37"/>
      <c r="M544" s="37"/>
      <c r="N544" s="37"/>
      <c r="O544" s="130"/>
      <c r="P544" s="132"/>
      <c r="Q544" s="261"/>
      <c r="R544" s="92"/>
    </row>
    <row r="545" spans="3:18" x14ac:dyDescent="0.25">
      <c r="C545" s="263"/>
      <c r="D545" s="157"/>
      <c r="E545" s="44"/>
      <c r="F545" s="127"/>
      <c r="G545" s="1"/>
      <c r="H545" s="161"/>
      <c r="I545" s="37"/>
      <c r="J545" s="135">
        <f t="shared" si="32"/>
        <v>0.59839396822477431</v>
      </c>
      <c r="K545" s="112"/>
      <c r="L545" s="37"/>
      <c r="M545" s="37"/>
      <c r="N545" s="37"/>
      <c r="O545" s="130"/>
      <c r="P545" s="132"/>
      <c r="Q545" s="261"/>
      <c r="R545" s="92"/>
    </row>
    <row r="546" spans="3:18" x14ac:dyDescent="0.25">
      <c r="C546" s="263"/>
      <c r="D546" s="157"/>
      <c r="E546" s="44"/>
      <c r="F546" s="127"/>
      <c r="G546" s="1"/>
      <c r="H546" s="161"/>
      <c r="I546" s="37"/>
      <c r="J546" s="135">
        <f t="shared" si="32"/>
        <v>0.59839396822477431</v>
      </c>
      <c r="K546" s="112"/>
      <c r="L546" s="37"/>
      <c r="M546" s="37"/>
      <c r="N546" s="37"/>
      <c r="O546" s="130"/>
      <c r="P546" s="132"/>
      <c r="Q546" s="261"/>
      <c r="R546" s="92"/>
    </row>
    <row r="547" spans="3:18" x14ac:dyDescent="0.25">
      <c r="C547" s="263"/>
      <c r="D547" s="157"/>
      <c r="E547" s="44"/>
      <c r="F547" s="127"/>
      <c r="G547" s="1"/>
      <c r="H547" s="161"/>
      <c r="I547" s="37"/>
      <c r="J547" s="135">
        <f t="shared" si="32"/>
        <v>0.59839396822477431</v>
      </c>
      <c r="K547" s="112"/>
      <c r="L547" s="37"/>
      <c r="M547" s="37"/>
      <c r="N547" s="37"/>
      <c r="O547" s="130"/>
      <c r="P547" s="132"/>
      <c r="Q547" s="261"/>
      <c r="R547" s="92"/>
    </row>
    <row r="548" spans="3:18" x14ac:dyDescent="0.25">
      <c r="C548" s="263"/>
      <c r="D548" s="157"/>
      <c r="E548" s="44"/>
      <c r="F548" s="127"/>
      <c r="G548" s="1"/>
      <c r="H548" s="161"/>
      <c r="I548" s="37"/>
      <c r="J548" s="135">
        <f t="shared" si="32"/>
        <v>0.59839396822477431</v>
      </c>
      <c r="K548" s="112"/>
      <c r="L548" s="37"/>
      <c r="M548" s="37"/>
      <c r="N548" s="37"/>
      <c r="O548" s="130"/>
      <c r="P548" s="132"/>
      <c r="Q548" s="261"/>
      <c r="R548" s="92"/>
    </row>
    <row r="549" spans="3:18" x14ac:dyDescent="0.25">
      <c r="C549" s="263"/>
      <c r="D549" s="157"/>
      <c r="E549" s="44"/>
      <c r="F549" s="127"/>
      <c r="G549" s="1"/>
      <c r="H549" s="161"/>
      <c r="I549" s="37"/>
      <c r="J549" s="135">
        <f t="shared" si="32"/>
        <v>0.59839396822477431</v>
      </c>
      <c r="K549" s="112"/>
      <c r="L549" s="37"/>
      <c r="M549" s="37"/>
      <c r="N549" s="37"/>
      <c r="O549" s="130"/>
      <c r="P549" s="132"/>
      <c r="Q549" s="261"/>
      <c r="R549" s="92"/>
    </row>
    <row r="550" spans="3:18" x14ac:dyDescent="0.25">
      <c r="C550" s="263"/>
      <c r="D550" s="157"/>
      <c r="E550" s="44"/>
      <c r="F550" s="127"/>
      <c r="G550" s="1"/>
      <c r="H550" s="161"/>
      <c r="I550" s="37"/>
      <c r="J550" s="135">
        <f t="shared" si="32"/>
        <v>0.59839396822477431</v>
      </c>
      <c r="K550" s="112"/>
      <c r="L550" s="37"/>
      <c r="M550" s="37"/>
      <c r="N550" s="37"/>
      <c r="O550" s="130"/>
      <c r="P550" s="132"/>
      <c r="Q550" s="261"/>
      <c r="R550" s="92"/>
    </row>
    <row r="551" spans="3:18" x14ac:dyDescent="0.25">
      <c r="C551" s="263"/>
      <c r="D551" s="157"/>
      <c r="E551" s="44"/>
      <c r="F551" s="127"/>
      <c r="G551" s="1"/>
      <c r="H551" s="161"/>
      <c r="I551" s="37"/>
      <c r="J551" s="135">
        <f t="shared" si="32"/>
        <v>0.59839396822477431</v>
      </c>
      <c r="K551" s="112"/>
      <c r="L551" s="37"/>
      <c r="M551" s="37"/>
      <c r="N551" s="37"/>
      <c r="O551" s="130"/>
      <c r="P551" s="132"/>
      <c r="Q551" s="261"/>
      <c r="R551" s="92"/>
    </row>
    <row r="552" spans="3:18" x14ac:dyDescent="0.25">
      <c r="C552" s="263"/>
      <c r="D552" s="157"/>
      <c r="E552" s="44"/>
      <c r="F552" s="127"/>
      <c r="G552" s="1"/>
      <c r="H552" s="161"/>
      <c r="I552" s="37"/>
      <c r="J552" s="135">
        <f t="shared" si="32"/>
        <v>0.59839396822477431</v>
      </c>
      <c r="K552" s="112"/>
      <c r="L552" s="37"/>
      <c r="M552" s="37"/>
      <c r="N552" s="37"/>
      <c r="O552" s="130"/>
      <c r="P552" s="132"/>
      <c r="Q552" s="261"/>
      <c r="R552" s="92"/>
    </row>
    <row r="553" spans="3:18" x14ac:dyDescent="0.25">
      <c r="C553" s="263"/>
      <c r="D553" s="157"/>
      <c r="E553" s="44"/>
      <c r="F553" s="127"/>
      <c r="G553" s="1"/>
      <c r="H553" s="161"/>
      <c r="I553" s="37"/>
      <c r="J553" s="135">
        <f t="shared" si="32"/>
        <v>0.59839396822477431</v>
      </c>
      <c r="K553" s="112"/>
      <c r="L553" s="37"/>
      <c r="M553" s="37"/>
      <c r="N553" s="37"/>
      <c r="O553" s="130"/>
      <c r="P553" s="132"/>
      <c r="Q553" s="261"/>
      <c r="R553" s="92"/>
    </row>
    <row r="554" spans="3:18" x14ac:dyDescent="0.25">
      <c r="C554" s="263"/>
      <c r="D554" s="157"/>
      <c r="E554" s="44"/>
      <c r="F554" s="127"/>
      <c r="G554" s="1"/>
      <c r="H554" s="161"/>
      <c r="I554" s="37"/>
      <c r="J554" s="135">
        <f t="shared" si="32"/>
        <v>0.59839396822477431</v>
      </c>
      <c r="K554" s="112"/>
      <c r="L554" s="37"/>
      <c r="M554" s="37"/>
      <c r="N554" s="37"/>
      <c r="O554" s="130"/>
      <c r="P554" s="132"/>
      <c r="Q554" s="261"/>
      <c r="R554" s="92"/>
    </row>
    <row r="555" spans="3:18" x14ac:dyDescent="0.25">
      <c r="C555" s="263"/>
      <c r="D555" s="157"/>
      <c r="E555" s="44"/>
      <c r="F555" s="127"/>
      <c r="G555" s="1"/>
      <c r="H555" s="161"/>
      <c r="I555" s="37"/>
      <c r="J555" s="135">
        <f t="shared" si="32"/>
        <v>0.59839396822477431</v>
      </c>
      <c r="K555" s="112"/>
      <c r="L555" s="37"/>
      <c r="M555" s="37"/>
      <c r="N555" s="37"/>
      <c r="O555" s="130"/>
      <c r="P555" s="132"/>
      <c r="Q555" s="261"/>
      <c r="R555" s="92"/>
    </row>
    <row r="556" spans="3:18" x14ac:dyDescent="0.25">
      <c r="C556" s="263"/>
      <c r="D556" s="157"/>
      <c r="E556" s="44"/>
      <c r="F556" s="127"/>
      <c r="G556" s="1"/>
      <c r="H556" s="161"/>
      <c r="I556" s="37"/>
      <c r="J556" s="135">
        <f t="shared" si="32"/>
        <v>0.59839396822477431</v>
      </c>
      <c r="K556" s="112"/>
      <c r="L556" s="37"/>
      <c r="M556" s="37"/>
      <c r="N556" s="37"/>
      <c r="O556" s="130"/>
      <c r="P556" s="132"/>
      <c r="Q556" s="261"/>
      <c r="R556" s="92"/>
    </row>
    <row r="557" spans="3:18" x14ac:dyDescent="0.25">
      <c r="C557" s="263"/>
      <c r="D557" s="157"/>
      <c r="E557" s="44"/>
      <c r="F557" s="127"/>
      <c r="G557" s="1"/>
      <c r="H557" s="161"/>
      <c r="I557" s="37"/>
      <c r="J557" s="135">
        <f t="shared" si="32"/>
        <v>0.59839396822477431</v>
      </c>
      <c r="K557" s="112"/>
      <c r="L557" s="37"/>
      <c r="M557" s="37"/>
      <c r="N557" s="37"/>
      <c r="O557" s="130"/>
      <c r="P557" s="132"/>
      <c r="Q557" s="261"/>
      <c r="R557" s="92"/>
    </row>
    <row r="558" spans="3:18" x14ac:dyDescent="0.25">
      <c r="C558" s="263"/>
      <c r="D558" s="157"/>
      <c r="E558" s="44"/>
      <c r="F558" s="127"/>
      <c r="G558" s="1"/>
      <c r="H558" s="161"/>
      <c r="I558" s="37"/>
      <c r="J558" s="135">
        <f t="shared" si="32"/>
        <v>0.59839396822477431</v>
      </c>
      <c r="K558" s="112"/>
      <c r="L558" s="37"/>
      <c r="M558" s="37"/>
      <c r="N558" s="37"/>
      <c r="O558" s="130"/>
      <c r="P558" s="132"/>
      <c r="Q558" s="261"/>
      <c r="R558" s="92"/>
    </row>
    <row r="559" spans="3:18" x14ac:dyDescent="0.25">
      <c r="C559" s="263"/>
      <c r="D559" s="157"/>
      <c r="E559" s="44"/>
      <c r="F559" s="127"/>
      <c r="G559" s="1"/>
      <c r="H559" s="161"/>
      <c r="I559" s="37"/>
      <c r="J559" s="135">
        <f t="shared" si="32"/>
        <v>0.59839396822477431</v>
      </c>
      <c r="K559" s="112"/>
      <c r="L559" s="37"/>
      <c r="M559" s="37"/>
      <c r="N559" s="37"/>
      <c r="O559" s="130"/>
      <c r="P559" s="132"/>
      <c r="Q559" s="261"/>
      <c r="R559" s="92"/>
    </row>
    <row r="560" spans="3:18" x14ac:dyDescent="0.25">
      <c r="C560" s="263"/>
      <c r="D560" s="157"/>
      <c r="E560" s="44"/>
      <c r="F560" s="127"/>
      <c r="G560" s="1"/>
      <c r="H560" s="161"/>
      <c r="I560" s="37"/>
      <c r="J560" s="135">
        <f t="shared" si="32"/>
        <v>0.59839396822477431</v>
      </c>
      <c r="K560" s="112"/>
      <c r="L560" s="37"/>
      <c r="M560" s="37"/>
      <c r="N560" s="37"/>
      <c r="O560" s="130"/>
      <c r="P560" s="132"/>
      <c r="Q560" s="261"/>
      <c r="R560" s="92"/>
    </row>
    <row r="561" spans="3:18" x14ac:dyDescent="0.25">
      <c r="C561" s="263"/>
      <c r="D561" s="157"/>
      <c r="E561" s="44"/>
      <c r="F561" s="127"/>
      <c r="G561" s="1"/>
      <c r="H561" s="161"/>
      <c r="I561" s="37"/>
      <c r="J561" s="135">
        <f t="shared" si="32"/>
        <v>0.59839396822477431</v>
      </c>
      <c r="K561" s="112"/>
      <c r="L561" s="37"/>
      <c r="M561" s="37"/>
      <c r="N561" s="37"/>
      <c r="O561" s="130"/>
      <c r="P561" s="132"/>
      <c r="Q561" s="261"/>
      <c r="R561" s="92"/>
    </row>
    <row r="562" spans="3:18" x14ac:dyDescent="0.25">
      <c r="C562" s="263"/>
      <c r="D562" s="157"/>
      <c r="E562" s="44"/>
      <c r="F562" s="127"/>
      <c r="G562" s="1"/>
      <c r="H562" s="161"/>
      <c r="I562" s="37"/>
      <c r="J562" s="135">
        <f t="shared" si="32"/>
        <v>0.59839396822477431</v>
      </c>
      <c r="K562" s="112"/>
      <c r="L562" s="37"/>
      <c r="M562" s="37"/>
      <c r="N562" s="37"/>
      <c r="O562" s="130"/>
      <c r="P562" s="132"/>
      <c r="Q562" s="261"/>
      <c r="R562" s="92"/>
    </row>
    <row r="563" spans="3:18" x14ac:dyDescent="0.25">
      <c r="C563" s="263"/>
      <c r="D563" s="157"/>
      <c r="E563" s="44"/>
      <c r="F563" s="127"/>
      <c r="G563" s="1"/>
      <c r="H563" s="161"/>
      <c r="I563" s="37"/>
      <c r="J563" s="135">
        <f t="shared" si="32"/>
        <v>0.59839396822477431</v>
      </c>
      <c r="K563" s="112"/>
      <c r="L563" s="37"/>
      <c r="M563" s="37"/>
      <c r="N563" s="37"/>
      <c r="O563" s="130"/>
      <c r="P563" s="132"/>
      <c r="Q563" s="261"/>
      <c r="R563" s="92"/>
    </row>
    <row r="564" spans="3:18" x14ac:dyDescent="0.25">
      <c r="C564" s="263"/>
      <c r="D564" s="157"/>
      <c r="E564" s="44"/>
      <c r="F564" s="127"/>
      <c r="G564" s="1"/>
      <c r="H564" s="161"/>
      <c r="I564" s="37"/>
      <c r="J564" s="135">
        <f t="shared" si="32"/>
        <v>0.59839396822477431</v>
      </c>
      <c r="K564" s="112"/>
      <c r="L564" s="37"/>
      <c r="M564" s="37"/>
      <c r="N564" s="37"/>
      <c r="O564" s="130"/>
      <c r="P564" s="132"/>
      <c r="Q564" s="261"/>
      <c r="R564" s="92"/>
    </row>
    <row r="565" spans="3:18" x14ac:dyDescent="0.25">
      <c r="C565" s="263"/>
      <c r="D565" s="157"/>
      <c r="E565" s="44"/>
      <c r="F565" s="127"/>
      <c r="G565" s="1"/>
      <c r="H565" s="161"/>
      <c r="I565" s="37"/>
      <c r="J565" s="135">
        <f t="shared" si="32"/>
        <v>0.59839396822477431</v>
      </c>
      <c r="K565" s="112"/>
      <c r="L565" s="37"/>
      <c r="M565" s="37"/>
      <c r="N565" s="37"/>
      <c r="O565" s="130"/>
      <c r="P565" s="132"/>
      <c r="Q565" s="261"/>
      <c r="R565" s="92"/>
    </row>
    <row r="566" spans="3:18" x14ac:dyDescent="0.25">
      <c r="C566" s="263"/>
      <c r="D566" s="157"/>
      <c r="E566" s="44"/>
      <c r="F566" s="127"/>
      <c r="G566" s="1"/>
      <c r="H566" s="161"/>
      <c r="I566" s="37"/>
      <c r="J566" s="135">
        <f t="shared" si="32"/>
        <v>0.59839396822477431</v>
      </c>
      <c r="K566" s="112"/>
      <c r="L566" s="37"/>
      <c r="M566" s="37"/>
      <c r="N566" s="37"/>
      <c r="O566" s="130"/>
      <c r="P566" s="132"/>
      <c r="Q566" s="261"/>
      <c r="R566" s="92"/>
    </row>
    <row r="567" spans="3:18" x14ac:dyDescent="0.25">
      <c r="C567" s="263"/>
      <c r="D567" s="157"/>
      <c r="E567" s="44"/>
      <c r="F567" s="127"/>
      <c r="G567" s="1"/>
      <c r="H567" s="161"/>
      <c r="I567" s="37"/>
      <c r="J567" s="135">
        <f t="shared" si="32"/>
        <v>0.59839396822477431</v>
      </c>
      <c r="K567" s="112"/>
      <c r="L567" s="37"/>
      <c r="M567" s="37"/>
      <c r="N567" s="37"/>
      <c r="O567" s="130"/>
      <c r="P567" s="132"/>
      <c r="Q567" s="261"/>
      <c r="R567" s="92"/>
    </row>
    <row r="568" spans="3:18" x14ac:dyDescent="0.25">
      <c r="C568" s="263"/>
      <c r="D568" s="157"/>
      <c r="E568" s="44"/>
      <c r="F568" s="127"/>
      <c r="G568" s="1"/>
      <c r="H568" s="161"/>
      <c r="I568" s="37"/>
      <c r="J568" s="135">
        <f t="shared" si="32"/>
        <v>0.59839396822477431</v>
      </c>
      <c r="K568" s="112"/>
      <c r="L568" s="37"/>
      <c r="M568" s="37"/>
      <c r="N568" s="37"/>
      <c r="O568" s="130"/>
      <c r="P568" s="132"/>
      <c r="Q568" s="261"/>
      <c r="R568" s="92"/>
    </row>
    <row r="569" spans="3:18" x14ac:dyDescent="0.25">
      <c r="C569" s="263"/>
      <c r="D569" s="157"/>
      <c r="E569" s="44"/>
      <c r="F569" s="127"/>
      <c r="G569" s="1"/>
      <c r="H569" s="161"/>
      <c r="I569" s="37"/>
      <c r="J569" s="135">
        <f t="shared" si="32"/>
        <v>0.59839396822477431</v>
      </c>
      <c r="K569" s="112"/>
      <c r="L569" s="37"/>
      <c r="M569" s="37"/>
      <c r="N569" s="37"/>
      <c r="O569" s="130"/>
      <c r="P569" s="132"/>
      <c r="Q569" s="261"/>
      <c r="R569" s="92"/>
    </row>
    <row r="570" spans="3:18" x14ac:dyDescent="0.25">
      <c r="C570" s="263"/>
      <c r="D570" s="157"/>
      <c r="E570" s="44"/>
      <c r="F570" s="127"/>
      <c r="G570" s="1"/>
      <c r="H570" s="161"/>
      <c r="I570" s="37"/>
      <c r="J570" s="135">
        <f t="shared" si="32"/>
        <v>0.59839396822477431</v>
      </c>
      <c r="K570" s="112"/>
      <c r="L570" s="37"/>
      <c r="M570" s="37"/>
      <c r="N570" s="37"/>
      <c r="O570" s="130"/>
      <c r="P570" s="132"/>
      <c r="Q570" s="261"/>
      <c r="R570" s="92"/>
    </row>
    <row r="571" spans="3:18" x14ac:dyDescent="0.25">
      <c r="C571" s="263"/>
      <c r="D571" s="157"/>
      <c r="E571" s="44"/>
      <c r="F571" s="127"/>
      <c r="G571" s="1"/>
      <c r="H571" s="161"/>
      <c r="I571" s="37"/>
      <c r="J571" s="135">
        <f t="shared" si="32"/>
        <v>0.59839396822477431</v>
      </c>
      <c r="K571" s="112"/>
      <c r="L571" s="37"/>
      <c r="M571" s="37"/>
      <c r="N571" s="37"/>
      <c r="O571" s="130"/>
      <c r="P571" s="132"/>
      <c r="Q571" s="261"/>
      <c r="R571" s="92"/>
    </row>
    <row r="572" spans="3:18" x14ac:dyDescent="0.25">
      <c r="C572" s="263"/>
      <c r="D572" s="157"/>
      <c r="E572" s="44"/>
      <c r="F572" s="127"/>
      <c r="G572" s="1"/>
      <c r="H572" s="161"/>
      <c r="I572" s="37"/>
      <c r="J572" s="135">
        <f t="shared" si="32"/>
        <v>0.59839396822477431</v>
      </c>
      <c r="K572" s="112"/>
      <c r="L572" s="37"/>
      <c r="M572" s="37"/>
      <c r="N572" s="37"/>
      <c r="O572" s="130"/>
      <c r="P572" s="132"/>
      <c r="Q572" s="261"/>
      <c r="R572" s="92"/>
    </row>
    <row r="573" spans="3:18" x14ac:dyDescent="0.25">
      <c r="C573" s="263"/>
      <c r="D573" s="157"/>
      <c r="E573" s="44"/>
      <c r="F573" s="127"/>
      <c r="G573" s="1"/>
      <c r="H573" s="161"/>
      <c r="I573" s="37"/>
      <c r="J573" s="135">
        <f t="shared" si="32"/>
        <v>0.59839396822477431</v>
      </c>
      <c r="K573" s="112"/>
      <c r="L573" s="37"/>
      <c r="M573" s="37"/>
      <c r="N573" s="37"/>
      <c r="O573" s="130"/>
      <c r="P573" s="132"/>
      <c r="Q573" s="261"/>
      <c r="R573" s="92"/>
    </row>
    <row r="574" spans="3:18" x14ac:dyDescent="0.25">
      <c r="C574" s="263"/>
      <c r="D574" s="157"/>
      <c r="E574" s="44"/>
      <c r="F574" s="127"/>
      <c r="G574" s="1"/>
      <c r="H574" s="161"/>
      <c r="I574" s="37"/>
      <c r="J574" s="135">
        <f t="shared" si="32"/>
        <v>0.59839396822477431</v>
      </c>
      <c r="K574" s="112"/>
      <c r="L574" s="37"/>
      <c r="M574" s="37"/>
      <c r="N574" s="37"/>
      <c r="O574" s="130"/>
      <c r="P574" s="132"/>
      <c r="Q574" s="261"/>
      <c r="R574" s="92"/>
    </row>
    <row r="575" spans="3:18" x14ac:dyDescent="0.25">
      <c r="C575" s="263"/>
      <c r="D575" s="157"/>
      <c r="E575" s="44"/>
      <c r="F575" s="127"/>
      <c r="G575" s="1"/>
      <c r="H575" s="161"/>
      <c r="I575" s="37"/>
      <c r="J575" s="135">
        <f t="shared" si="32"/>
        <v>0.59839396822477431</v>
      </c>
      <c r="K575" s="112"/>
      <c r="L575" s="37"/>
      <c r="M575" s="37"/>
      <c r="N575" s="37"/>
      <c r="O575" s="130"/>
      <c r="P575" s="132"/>
      <c r="Q575" s="261"/>
      <c r="R575" s="92"/>
    </row>
    <row r="576" spans="3:18" x14ac:dyDescent="0.25">
      <c r="C576" s="263"/>
      <c r="D576" s="157"/>
      <c r="E576" s="44"/>
      <c r="F576" s="127"/>
      <c r="G576" s="1"/>
      <c r="H576" s="161"/>
      <c r="I576" s="37"/>
      <c r="J576" s="135">
        <f t="shared" si="32"/>
        <v>0.59839396822477431</v>
      </c>
      <c r="K576" s="112"/>
      <c r="L576" s="37"/>
      <c r="M576" s="37"/>
      <c r="N576" s="37"/>
      <c r="O576" s="130"/>
      <c r="P576" s="132"/>
      <c r="Q576" s="261"/>
      <c r="R576" s="92"/>
    </row>
    <row r="577" spans="3:18" x14ac:dyDescent="0.25">
      <c r="C577" s="263"/>
      <c r="D577" s="157"/>
      <c r="E577" s="44"/>
      <c r="F577" s="127"/>
      <c r="G577" s="1"/>
      <c r="H577" s="161"/>
      <c r="I577" s="37"/>
      <c r="J577" s="135">
        <f t="shared" si="32"/>
        <v>0.59839396822477431</v>
      </c>
      <c r="K577" s="112"/>
      <c r="L577" s="37"/>
      <c r="M577" s="37"/>
      <c r="N577" s="37"/>
      <c r="O577" s="130"/>
      <c r="P577" s="132"/>
      <c r="Q577" s="261"/>
      <c r="R577" s="92"/>
    </row>
    <row r="578" spans="3:18" x14ac:dyDescent="0.25">
      <c r="C578" s="263"/>
      <c r="D578" s="157"/>
      <c r="E578" s="44"/>
      <c r="F578" s="127"/>
      <c r="G578" s="1"/>
      <c r="H578" s="161"/>
      <c r="I578" s="37"/>
      <c r="J578" s="135">
        <f t="shared" si="32"/>
        <v>0.59839396822477431</v>
      </c>
      <c r="K578" s="112"/>
      <c r="L578" s="37"/>
      <c r="M578" s="37"/>
      <c r="N578" s="37"/>
      <c r="O578" s="130"/>
      <c r="P578" s="132"/>
      <c r="Q578" s="261"/>
      <c r="R578" s="92"/>
    </row>
    <row r="579" spans="3:18" x14ac:dyDescent="0.25">
      <c r="C579" s="263"/>
      <c r="D579" s="157"/>
      <c r="E579" s="44"/>
      <c r="F579" s="127"/>
      <c r="G579" s="1"/>
      <c r="H579" s="161"/>
      <c r="I579" s="37"/>
      <c r="J579" s="135">
        <f t="shared" si="32"/>
        <v>0.59839396822477431</v>
      </c>
      <c r="K579" s="112"/>
      <c r="L579" s="37"/>
      <c r="M579" s="37"/>
      <c r="N579" s="37"/>
      <c r="O579" s="130"/>
      <c r="P579" s="132"/>
      <c r="Q579" s="261"/>
      <c r="R579" s="92"/>
    </row>
    <row r="580" spans="3:18" x14ac:dyDescent="0.25">
      <c r="C580" s="263"/>
      <c r="D580" s="157"/>
      <c r="E580" s="44"/>
      <c r="F580" s="127"/>
      <c r="G580" s="1"/>
      <c r="H580" s="161"/>
      <c r="I580" s="37"/>
      <c r="J580" s="135">
        <f t="shared" si="32"/>
        <v>0.59839396822477431</v>
      </c>
      <c r="K580" s="112"/>
      <c r="L580" s="37"/>
      <c r="M580" s="37"/>
      <c r="N580" s="37"/>
      <c r="O580" s="130"/>
      <c r="P580" s="132"/>
      <c r="Q580" s="261"/>
      <c r="R580" s="92"/>
    </row>
    <row r="581" spans="3:18" x14ac:dyDescent="0.25">
      <c r="C581" s="263"/>
      <c r="D581" s="157"/>
      <c r="E581" s="44"/>
      <c r="F581" s="127"/>
      <c r="G581" s="1"/>
      <c r="H581" s="161"/>
      <c r="I581" s="37"/>
      <c r="J581" s="135">
        <f t="shared" si="32"/>
        <v>0.59839396822477431</v>
      </c>
      <c r="K581" s="112"/>
      <c r="L581" s="37"/>
      <c r="M581" s="37"/>
      <c r="N581" s="37"/>
      <c r="O581" s="130"/>
      <c r="P581" s="132"/>
      <c r="Q581" s="261"/>
      <c r="R581" s="92"/>
    </row>
    <row r="582" spans="3:18" x14ac:dyDescent="0.25">
      <c r="C582" s="263"/>
      <c r="D582" s="157"/>
      <c r="E582" s="44"/>
      <c r="F582" s="127"/>
      <c r="G582" s="1"/>
      <c r="H582" s="161"/>
      <c r="I582" s="37"/>
      <c r="J582" s="135">
        <f t="shared" si="32"/>
        <v>0.59839396822477431</v>
      </c>
      <c r="K582" s="112"/>
      <c r="L582" s="37"/>
      <c r="M582" s="37"/>
      <c r="N582" s="37"/>
      <c r="O582" s="130"/>
      <c r="P582" s="132"/>
      <c r="Q582" s="261"/>
      <c r="R582" s="92"/>
    </row>
    <row r="583" spans="3:18" x14ac:dyDescent="0.25">
      <c r="C583" s="263"/>
      <c r="D583" s="157"/>
      <c r="E583" s="44"/>
      <c r="F583" s="127"/>
      <c r="G583" s="1"/>
      <c r="H583" s="161"/>
      <c r="I583" s="37"/>
      <c r="J583" s="135">
        <f t="shared" si="32"/>
        <v>0.59839396822477431</v>
      </c>
      <c r="K583" s="112"/>
      <c r="L583" s="37"/>
      <c r="M583" s="37"/>
      <c r="N583" s="37"/>
      <c r="O583" s="130"/>
      <c r="P583" s="132"/>
      <c r="Q583" s="261"/>
      <c r="R583" s="92"/>
    </row>
    <row r="584" spans="3:18" x14ac:dyDescent="0.25">
      <c r="C584" s="263"/>
      <c r="D584" s="157"/>
      <c r="E584" s="44"/>
      <c r="F584" s="127"/>
      <c r="G584" s="1"/>
      <c r="H584" s="161"/>
      <c r="I584" s="37"/>
      <c r="J584" s="135">
        <f t="shared" si="32"/>
        <v>0.59839396822477431</v>
      </c>
      <c r="K584" s="112"/>
      <c r="L584" s="37"/>
      <c r="M584" s="37"/>
      <c r="N584" s="37"/>
      <c r="O584" s="130"/>
      <c r="P584" s="132"/>
      <c r="Q584" s="261"/>
      <c r="R584" s="92"/>
    </row>
    <row r="585" spans="3:18" x14ac:dyDescent="0.25">
      <c r="C585" s="263"/>
      <c r="D585" s="157"/>
      <c r="E585" s="44"/>
      <c r="F585" s="127"/>
      <c r="G585" s="1"/>
      <c r="H585" s="161"/>
      <c r="I585" s="37"/>
      <c r="J585" s="135">
        <f t="shared" si="32"/>
        <v>0.59839396822477431</v>
      </c>
      <c r="K585" s="112"/>
      <c r="L585" s="37"/>
      <c r="M585" s="37"/>
      <c r="N585" s="37"/>
      <c r="O585" s="130"/>
      <c r="P585" s="132"/>
      <c r="Q585" s="261"/>
      <c r="R585" s="92"/>
    </row>
    <row r="586" spans="3:18" x14ac:dyDescent="0.25">
      <c r="C586" s="263"/>
      <c r="D586" s="157"/>
      <c r="E586" s="44"/>
      <c r="F586" s="127"/>
      <c r="G586" s="1"/>
      <c r="H586" s="161"/>
      <c r="I586" s="37"/>
      <c r="J586" s="135">
        <f t="shared" si="32"/>
        <v>0.59839396822477431</v>
      </c>
      <c r="K586" s="112"/>
      <c r="L586" s="37"/>
      <c r="M586" s="37"/>
      <c r="N586" s="37"/>
      <c r="O586" s="130"/>
      <c r="P586" s="132"/>
      <c r="Q586" s="261"/>
      <c r="R586" s="92"/>
    </row>
    <row r="587" spans="3:18" x14ac:dyDescent="0.25">
      <c r="C587" s="263"/>
      <c r="D587" s="157"/>
      <c r="E587" s="44"/>
      <c r="F587" s="127"/>
      <c r="G587" s="1"/>
      <c r="H587" s="161"/>
      <c r="I587" s="37"/>
      <c r="J587" s="135">
        <f t="shared" si="32"/>
        <v>0.59839396822477431</v>
      </c>
      <c r="K587" s="112"/>
      <c r="L587" s="37"/>
      <c r="M587" s="37"/>
      <c r="N587" s="37"/>
      <c r="O587" s="130"/>
      <c r="P587" s="132"/>
      <c r="Q587" s="261"/>
      <c r="R587" s="92"/>
    </row>
    <row r="588" spans="3:18" x14ac:dyDescent="0.25">
      <c r="C588" s="263"/>
      <c r="D588" s="157"/>
      <c r="E588" s="44"/>
      <c r="F588" s="127"/>
      <c r="G588" s="1"/>
      <c r="H588" s="161"/>
      <c r="I588" s="37"/>
      <c r="J588" s="135">
        <f t="shared" si="32"/>
        <v>0.59839396822477431</v>
      </c>
      <c r="K588" s="112"/>
      <c r="L588" s="37"/>
      <c r="M588" s="37"/>
      <c r="N588" s="37"/>
      <c r="O588" s="130"/>
      <c r="P588" s="132"/>
      <c r="Q588" s="261"/>
      <c r="R588" s="92"/>
    </row>
    <row r="589" spans="3:18" x14ac:dyDescent="0.25">
      <c r="C589" s="263"/>
      <c r="D589" s="157"/>
      <c r="E589" s="44"/>
      <c r="F589" s="127"/>
      <c r="G589" s="1"/>
      <c r="H589" s="161"/>
      <c r="I589" s="37"/>
      <c r="J589" s="135">
        <f t="shared" si="32"/>
        <v>0.59839396822477431</v>
      </c>
      <c r="K589" s="112"/>
      <c r="L589" s="37"/>
      <c r="M589" s="37"/>
      <c r="N589" s="37"/>
      <c r="O589" s="130"/>
      <c r="P589" s="132"/>
      <c r="Q589" s="261"/>
      <c r="R589" s="92"/>
    </row>
    <row r="590" spans="3:18" x14ac:dyDescent="0.25">
      <c r="C590" s="263"/>
      <c r="D590" s="157"/>
      <c r="E590" s="44"/>
      <c r="F590" s="127"/>
      <c r="G590" s="1"/>
      <c r="H590" s="161"/>
      <c r="I590" s="37"/>
      <c r="J590" s="135">
        <f t="shared" si="32"/>
        <v>0.59839396822477431</v>
      </c>
      <c r="K590" s="112"/>
      <c r="L590" s="37"/>
      <c r="M590" s="37"/>
      <c r="N590" s="37"/>
      <c r="O590" s="130"/>
      <c r="P590" s="132"/>
      <c r="Q590" s="261"/>
      <c r="R590" s="92"/>
    </row>
    <row r="591" spans="3:18" x14ac:dyDescent="0.25">
      <c r="C591" s="263"/>
      <c r="D591" s="157"/>
      <c r="E591" s="44"/>
      <c r="F591" s="127"/>
      <c r="G591" s="1"/>
      <c r="H591" s="161"/>
      <c r="I591" s="37"/>
      <c r="J591" s="135">
        <f t="shared" si="32"/>
        <v>0.59839396822477431</v>
      </c>
      <c r="K591" s="112"/>
      <c r="L591" s="37"/>
      <c r="M591" s="37"/>
      <c r="N591" s="37"/>
      <c r="O591" s="130"/>
      <c r="P591" s="132"/>
      <c r="Q591" s="261"/>
      <c r="R591" s="92"/>
    </row>
    <row r="592" spans="3:18" x14ac:dyDescent="0.25">
      <c r="C592" s="263"/>
      <c r="D592" s="157"/>
      <c r="E592" s="44"/>
      <c r="F592" s="127"/>
      <c r="G592" s="1"/>
      <c r="H592" s="161"/>
      <c r="I592" s="37"/>
      <c r="J592" s="135">
        <f t="shared" si="32"/>
        <v>0.59839396822477431</v>
      </c>
      <c r="K592" s="112"/>
      <c r="L592" s="37"/>
      <c r="M592" s="37"/>
      <c r="N592" s="37"/>
      <c r="O592" s="130"/>
      <c r="P592" s="132"/>
      <c r="Q592" s="261"/>
      <c r="R592" s="92"/>
    </row>
    <row r="593" spans="3:18" x14ac:dyDescent="0.25">
      <c r="C593" s="263"/>
      <c r="D593" s="157"/>
      <c r="E593" s="44"/>
      <c r="F593" s="127"/>
      <c r="G593" s="1"/>
      <c r="H593" s="161"/>
      <c r="I593" s="37"/>
      <c r="J593" s="135">
        <f t="shared" si="32"/>
        <v>0.59839396822477431</v>
      </c>
      <c r="K593" s="112"/>
      <c r="L593" s="37"/>
      <c r="M593" s="37"/>
      <c r="N593" s="37"/>
      <c r="O593" s="130"/>
      <c r="P593" s="132"/>
      <c r="Q593" s="261"/>
      <c r="R593" s="92"/>
    </row>
    <row r="594" spans="3:18" x14ac:dyDescent="0.25">
      <c r="C594" s="263"/>
      <c r="D594" s="157"/>
      <c r="E594" s="44"/>
      <c r="F594" s="127"/>
      <c r="G594" s="1"/>
      <c r="H594" s="161"/>
      <c r="I594" s="37"/>
      <c r="J594" s="135">
        <f t="shared" si="32"/>
        <v>0.59839396822477431</v>
      </c>
      <c r="K594" s="112"/>
      <c r="L594" s="37"/>
      <c r="M594" s="37"/>
      <c r="N594" s="37"/>
      <c r="O594" s="130"/>
      <c r="P594" s="132"/>
      <c r="Q594" s="261"/>
      <c r="R594" s="92"/>
    </row>
    <row r="595" spans="3:18" x14ac:dyDescent="0.25">
      <c r="C595" s="263"/>
      <c r="D595" s="157"/>
      <c r="E595" s="44"/>
      <c r="F595" s="127"/>
      <c r="G595" s="1"/>
      <c r="H595" s="161"/>
      <c r="I595" s="37"/>
      <c r="J595" s="135">
        <f t="shared" si="32"/>
        <v>0.59839396822477431</v>
      </c>
      <c r="K595" s="112"/>
      <c r="L595" s="37"/>
      <c r="M595" s="37"/>
      <c r="N595" s="37"/>
      <c r="O595" s="130"/>
      <c r="P595" s="132"/>
      <c r="Q595" s="261"/>
      <c r="R595" s="92"/>
    </row>
    <row r="596" spans="3:18" x14ac:dyDescent="0.25">
      <c r="C596" s="263"/>
      <c r="D596" s="157"/>
      <c r="E596" s="44"/>
      <c r="F596" s="127"/>
      <c r="G596" s="1"/>
      <c r="H596" s="161"/>
      <c r="I596" s="37"/>
      <c r="J596" s="135">
        <f t="shared" si="32"/>
        <v>0.59839396822477431</v>
      </c>
      <c r="K596" s="112"/>
      <c r="L596" s="37"/>
      <c r="M596" s="37"/>
      <c r="N596" s="37"/>
      <c r="O596" s="130"/>
      <c r="P596" s="132"/>
      <c r="Q596" s="261"/>
      <c r="R596" s="92"/>
    </row>
    <row r="597" spans="3:18" x14ac:dyDescent="0.25">
      <c r="C597" s="263"/>
      <c r="D597" s="157"/>
      <c r="E597" s="44"/>
      <c r="F597" s="127"/>
      <c r="G597" s="1"/>
      <c r="H597" s="161"/>
      <c r="I597" s="37"/>
      <c r="J597" s="135">
        <f t="shared" si="32"/>
        <v>0.59839396822477431</v>
      </c>
      <c r="K597" s="112"/>
      <c r="L597" s="37"/>
      <c r="M597" s="37"/>
      <c r="N597" s="37"/>
      <c r="O597" s="130"/>
      <c r="P597" s="132"/>
      <c r="Q597" s="261"/>
      <c r="R597" s="92"/>
    </row>
    <row r="598" spans="3:18" x14ac:dyDescent="0.25">
      <c r="C598" s="263"/>
      <c r="D598" s="157"/>
      <c r="E598" s="44"/>
      <c r="F598" s="127"/>
      <c r="G598" s="1"/>
      <c r="H598" s="161"/>
      <c r="I598" s="37"/>
      <c r="J598" s="135">
        <f t="shared" si="32"/>
        <v>0.59839396822477431</v>
      </c>
      <c r="K598" s="112"/>
      <c r="L598" s="37"/>
      <c r="M598" s="37"/>
      <c r="N598" s="37"/>
      <c r="O598" s="130"/>
      <c r="P598" s="132"/>
      <c r="Q598" s="261"/>
      <c r="R598" s="92"/>
    </row>
    <row r="599" spans="3:18" x14ac:dyDescent="0.25">
      <c r="C599" s="263"/>
      <c r="D599" s="157"/>
      <c r="E599" s="44"/>
      <c r="F599" s="127"/>
      <c r="G599" s="1"/>
      <c r="H599" s="161"/>
      <c r="I599" s="37"/>
      <c r="J599" s="135">
        <f t="shared" si="32"/>
        <v>0.59839396822477431</v>
      </c>
      <c r="K599" s="112"/>
      <c r="L599" s="37"/>
      <c r="M599" s="37"/>
      <c r="N599" s="37"/>
      <c r="O599" s="130"/>
      <c r="P599" s="132"/>
      <c r="Q599" s="261"/>
      <c r="R599" s="92"/>
    </row>
    <row r="600" spans="3:18" x14ac:dyDescent="0.25">
      <c r="C600" s="263"/>
      <c r="D600" s="157"/>
      <c r="E600" s="44"/>
      <c r="F600" s="127"/>
      <c r="G600" s="1"/>
      <c r="H600" s="161"/>
      <c r="I600" s="37"/>
      <c r="J600" s="135">
        <f t="shared" ref="J600:J653" si="33">J599</f>
        <v>0.59839396822477431</v>
      </c>
      <c r="K600" s="112"/>
      <c r="L600" s="37"/>
      <c r="M600" s="37"/>
      <c r="N600" s="37"/>
      <c r="O600" s="130"/>
      <c r="P600" s="132"/>
      <c r="Q600" s="261"/>
      <c r="R600" s="92"/>
    </row>
    <row r="601" spans="3:18" x14ac:dyDescent="0.25">
      <c r="C601" s="263"/>
      <c r="D601" s="157"/>
      <c r="E601" s="44"/>
      <c r="F601" s="127"/>
      <c r="G601" s="1"/>
      <c r="H601" s="161"/>
      <c r="I601" s="37"/>
      <c r="J601" s="135">
        <f t="shared" si="33"/>
        <v>0.59839396822477431</v>
      </c>
      <c r="K601" s="112"/>
      <c r="L601" s="37"/>
      <c r="M601" s="37"/>
      <c r="N601" s="37"/>
      <c r="O601" s="130"/>
      <c r="P601" s="132"/>
      <c r="Q601" s="261"/>
      <c r="R601" s="92"/>
    </row>
    <row r="602" spans="3:18" x14ac:dyDescent="0.25">
      <c r="C602" s="263"/>
      <c r="D602" s="157"/>
      <c r="E602" s="44"/>
      <c r="F602" s="127"/>
      <c r="G602" s="1"/>
      <c r="H602" s="161"/>
      <c r="I602" s="37"/>
      <c r="J602" s="135">
        <f t="shared" si="33"/>
        <v>0.59839396822477431</v>
      </c>
      <c r="K602" s="112"/>
      <c r="L602" s="37"/>
      <c r="M602" s="37"/>
      <c r="N602" s="37"/>
      <c r="O602" s="130"/>
      <c r="P602" s="132"/>
      <c r="Q602" s="261"/>
      <c r="R602" s="92"/>
    </row>
    <row r="603" spans="3:18" x14ac:dyDescent="0.25">
      <c r="C603" s="263"/>
      <c r="D603" s="157"/>
      <c r="E603" s="44"/>
      <c r="F603" s="127"/>
      <c r="G603" s="1"/>
      <c r="H603" s="161"/>
      <c r="I603" s="37"/>
      <c r="J603" s="135">
        <f t="shared" si="33"/>
        <v>0.59839396822477431</v>
      </c>
      <c r="K603" s="112"/>
      <c r="L603" s="37"/>
      <c r="M603" s="37"/>
      <c r="N603" s="37"/>
      <c r="O603" s="130"/>
      <c r="P603" s="132"/>
      <c r="Q603" s="261"/>
      <c r="R603" s="92"/>
    </row>
    <row r="604" spans="3:18" x14ac:dyDescent="0.25">
      <c r="C604" s="263"/>
      <c r="D604" s="157"/>
      <c r="E604" s="44"/>
      <c r="F604" s="127"/>
      <c r="G604" s="1"/>
      <c r="H604" s="161"/>
      <c r="I604" s="37"/>
      <c r="J604" s="135">
        <f t="shared" si="33"/>
        <v>0.59839396822477431</v>
      </c>
      <c r="K604" s="112"/>
      <c r="L604" s="37"/>
      <c r="M604" s="37"/>
      <c r="N604" s="37"/>
      <c r="O604" s="130"/>
      <c r="P604" s="132"/>
      <c r="Q604" s="261"/>
      <c r="R604" s="92"/>
    </row>
    <row r="605" spans="3:18" x14ac:dyDescent="0.25">
      <c r="C605" s="263"/>
      <c r="D605" s="157"/>
      <c r="E605" s="44"/>
      <c r="F605" s="127"/>
      <c r="G605" s="1"/>
      <c r="H605" s="161"/>
      <c r="I605" s="37"/>
      <c r="J605" s="135">
        <f t="shared" si="33"/>
        <v>0.59839396822477431</v>
      </c>
      <c r="K605" s="112"/>
      <c r="L605" s="37"/>
      <c r="M605" s="37"/>
      <c r="N605" s="37"/>
      <c r="O605" s="130"/>
      <c r="P605" s="132"/>
      <c r="Q605" s="261"/>
      <c r="R605" s="92"/>
    </row>
    <row r="606" spans="3:18" x14ac:dyDescent="0.25">
      <c r="C606" s="263"/>
      <c r="D606" s="157"/>
      <c r="E606" s="44"/>
      <c r="F606" s="127"/>
      <c r="G606" s="1"/>
      <c r="H606" s="161"/>
      <c r="I606" s="37"/>
      <c r="J606" s="135">
        <f t="shared" si="33"/>
        <v>0.59839396822477431</v>
      </c>
      <c r="K606" s="112"/>
      <c r="L606" s="37"/>
      <c r="M606" s="37"/>
      <c r="N606" s="37"/>
      <c r="O606" s="130"/>
      <c r="P606" s="132"/>
      <c r="Q606" s="261"/>
      <c r="R606" s="92"/>
    </row>
    <row r="607" spans="3:18" x14ac:dyDescent="0.25">
      <c r="C607" s="263"/>
      <c r="D607" s="157"/>
      <c r="E607" s="44"/>
      <c r="F607" s="127"/>
      <c r="G607" s="1"/>
      <c r="H607" s="161"/>
      <c r="I607" s="37"/>
      <c r="J607" s="135">
        <f t="shared" si="33"/>
        <v>0.59839396822477431</v>
      </c>
      <c r="K607" s="112"/>
      <c r="L607" s="37"/>
      <c r="M607" s="37"/>
      <c r="N607" s="37"/>
      <c r="O607" s="130"/>
      <c r="P607" s="132"/>
      <c r="Q607" s="261"/>
      <c r="R607" s="92"/>
    </row>
    <row r="608" spans="3:18" x14ac:dyDescent="0.25">
      <c r="C608" s="263"/>
      <c r="D608" s="157"/>
      <c r="E608" s="44"/>
      <c r="F608" s="127"/>
      <c r="G608" s="1"/>
      <c r="H608" s="161"/>
      <c r="I608" s="37"/>
      <c r="J608" s="135">
        <f t="shared" si="33"/>
        <v>0.59839396822477431</v>
      </c>
      <c r="K608" s="112"/>
      <c r="L608" s="37"/>
      <c r="M608" s="37"/>
      <c r="N608" s="37"/>
      <c r="O608" s="130"/>
      <c r="P608" s="132"/>
      <c r="Q608" s="261"/>
      <c r="R608" s="92"/>
    </row>
    <row r="609" spans="3:18" x14ac:dyDescent="0.25">
      <c r="C609" s="263"/>
      <c r="D609" s="157"/>
      <c r="E609" s="44"/>
      <c r="F609" s="127"/>
      <c r="G609" s="1"/>
      <c r="H609" s="161"/>
      <c r="I609" s="37"/>
      <c r="J609" s="135">
        <f t="shared" si="33"/>
        <v>0.59839396822477431</v>
      </c>
      <c r="K609" s="112"/>
      <c r="L609" s="37"/>
      <c r="M609" s="37"/>
      <c r="N609" s="37"/>
      <c r="O609" s="130"/>
      <c r="P609" s="132"/>
      <c r="Q609" s="261"/>
      <c r="R609" s="92"/>
    </row>
    <row r="610" spans="3:18" x14ac:dyDescent="0.25">
      <c r="C610" s="263"/>
      <c r="D610" s="157"/>
      <c r="E610" s="44"/>
      <c r="F610" s="127"/>
      <c r="G610" s="1"/>
      <c r="H610" s="161"/>
      <c r="I610" s="37"/>
      <c r="J610" s="135">
        <f t="shared" si="33"/>
        <v>0.59839396822477431</v>
      </c>
      <c r="K610" s="112"/>
      <c r="L610" s="37"/>
      <c r="M610" s="37"/>
      <c r="N610" s="37"/>
      <c r="O610" s="130"/>
      <c r="P610" s="132"/>
      <c r="Q610" s="261"/>
      <c r="R610" s="92"/>
    </row>
    <row r="611" spans="3:18" x14ac:dyDescent="0.25">
      <c r="C611" s="263"/>
      <c r="D611" s="157"/>
      <c r="E611" s="44"/>
      <c r="F611" s="127"/>
      <c r="G611" s="1"/>
      <c r="H611" s="161"/>
      <c r="I611" s="37"/>
      <c r="J611" s="135">
        <f t="shared" si="33"/>
        <v>0.59839396822477431</v>
      </c>
      <c r="K611" s="112"/>
      <c r="L611" s="37"/>
      <c r="M611" s="37"/>
      <c r="N611" s="37"/>
      <c r="O611" s="130"/>
      <c r="P611" s="132"/>
      <c r="Q611" s="261"/>
      <c r="R611" s="92"/>
    </row>
    <row r="612" spans="3:18" x14ac:dyDescent="0.25">
      <c r="C612" s="263"/>
      <c r="D612" s="157"/>
      <c r="E612" s="44"/>
      <c r="F612" s="127"/>
      <c r="G612" s="1"/>
      <c r="H612" s="161"/>
      <c r="I612" s="37"/>
      <c r="J612" s="135">
        <f t="shared" si="33"/>
        <v>0.59839396822477431</v>
      </c>
      <c r="K612" s="112"/>
      <c r="L612" s="37"/>
      <c r="M612" s="37"/>
      <c r="N612" s="37"/>
      <c r="O612" s="130"/>
      <c r="P612" s="132"/>
      <c r="Q612" s="261"/>
      <c r="R612" s="92"/>
    </row>
    <row r="613" spans="3:18" x14ac:dyDescent="0.25">
      <c r="C613" s="263"/>
      <c r="D613" s="157"/>
      <c r="E613" s="44"/>
      <c r="F613" s="127"/>
      <c r="G613" s="1"/>
      <c r="H613" s="161"/>
      <c r="I613" s="37"/>
      <c r="J613" s="135">
        <f t="shared" si="33"/>
        <v>0.59839396822477431</v>
      </c>
      <c r="K613" s="112"/>
      <c r="L613" s="37"/>
      <c r="M613" s="37"/>
      <c r="N613" s="37"/>
      <c r="O613" s="130"/>
      <c r="P613" s="132"/>
      <c r="Q613" s="261"/>
      <c r="R613" s="92"/>
    </row>
    <row r="614" spans="3:18" x14ac:dyDescent="0.25">
      <c r="C614" s="263"/>
      <c r="D614" s="157"/>
      <c r="E614" s="44"/>
      <c r="F614" s="127"/>
      <c r="G614" s="1"/>
      <c r="H614" s="161"/>
      <c r="I614" s="37"/>
      <c r="J614" s="135">
        <f t="shared" si="33"/>
        <v>0.59839396822477431</v>
      </c>
      <c r="K614" s="112"/>
      <c r="L614" s="37"/>
      <c r="M614" s="37"/>
      <c r="N614" s="37"/>
      <c r="O614" s="130"/>
      <c r="P614" s="132"/>
      <c r="Q614" s="261"/>
      <c r="R614" s="92"/>
    </row>
    <row r="615" spans="3:18" x14ac:dyDescent="0.25">
      <c r="C615" s="263"/>
      <c r="D615" s="157"/>
      <c r="E615" s="44"/>
      <c r="F615" s="127"/>
      <c r="G615" s="1"/>
      <c r="H615" s="161"/>
      <c r="I615" s="37"/>
      <c r="J615" s="135">
        <f t="shared" si="33"/>
        <v>0.59839396822477431</v>
      </c>
      <c r="K615" s="112"/>
      <c r="L615" s="37"/>
      <c r="M615" s="37"/>
      <c r="N615" s="37"/>
      <c r="O615" s="130"/>
      <c r="P615" s="132"/>
      <c r="Q615" s="261"/>
      <c r="R615" s="92"/>
    </row>
    <row r="616" spans="3:18" x14ac:dyDescent="0.25">
      <c r="C616" s="263"/>
      <c r="D616" s="157"/>
      <c r="E616" s="44"/>
      <c r="F616" s="127"/>
      <c r="G616" s="1"/>
      <c r="H616" s="161"/>
      <c r="I616" s="37"/>
      <c r="J616" s="135">
        <f t="shared" si="33"/>
        <v>0.59839396822477431</v>
      </c>
      <c r="K616" s="112"/>
      <c r="L616" s="37"/>
      <c r="M616" s="37"/>
      <c r="N616" s="37"/>
      <c r="O616" s="130"/>
      <c r="P616" s="132"/>
      <c r="Q616" s="261"/>
      <c r="R616" s="92"/>
    </row>
    <row r="617" spans="3:18" x14ac:dyDescent="0.25">
      <c r="C617" s="263"/>
      <c r="D617" s="157"/>
      <c r="E617" s="44"/>
      <c r="F617" s="127"/>
      <c r="G617" s="1"/>
      <c r="H617" s="161"/>
      <c r="I617" s="37"/>
      <c r="J617" s="135">
        <f t="shared" si="33"/>
        <v>0.59839396822477431</v>
      </c>
      <c r="K617" s="112"/>
      <c r="L617" s="37"/>
      <c r="M617" s="37"/>
      <c r="N617" s="37"/>
      <c r="O617" s="130"/>
      <c r="P617" s="132"/>
      <c r="Q617" s="261"/>
      <c r="R617" s="92"/>
    </row>
    <row r="618" spans="3:18" x14ac:dyDescent="0.25">
      <c r="C618" s="263"/>
      <c r="D618" s="157"/>
      <c r="E618" s="44"/>
      <c r="F618" s="127"/>
      <c r="G618" s="1"/>
      <c r="H618" s="161"/>
      <c r="I618" s="37"/>
      <c r="J618" s="135">
        <f t="shared" si="33"/>
        <v>0.59839396822477431</v>
      </c>
      <c r="K618" s="112"/>
      <c r="L618" s="37"/>
      <c r="M618" s="37"/>
      <c r="N618" s="37"/>
      <c r="O618" s="130"/>
      <c r="P618" s="132"/>
      <c r="Q618" s="261"/>
      <c r="R618" s="92"/>
    </row>
    <row r="619" spans="3:18" x14ac:dyDescent="0.25">
      <c r="C619" s="263"/>
      <c r="D619" s="157"/>
      <c r="E619" s="44"/>
      <c r="F619" s="127"/>
      <c r="G619" s="1"/>
      <c r="H619" s="161"/>
      <c r="I619" s="37"/>
      <c r="J619" s="135">
        <f t="shared" si="33"/>
        <v>0.59839396822477431</v>
      </c>
      <c r="K619" s="112"/>
      <c r="L619" s="37"/>
      <c r="M619" s="37"/>
      <c r="N619" s="37"/>
      <c r="O619" s="130"/>
      <c r="P619" s="132"/>
      <c r="Q619" s="261"/>
      <c r="R619" s="92"/>
    </row>
    <row r="620" spans="3:18" x14ac:dyDescent="0.25">
      <c r="C620" s="263"/>
      <c r="D620" s="157"/>
      <c r="E620" s="44"/>
      <c r="F620" s="127"/>
      <c r="G620" s="1"/>
      <c r="H620" s="161"/>
      <c r="I620" s="37"/>
      <c r="J620" s="135">
        <f t="shared" si="33"/>
        <v>0.59839396822477431</v>
      </c>
      <c r="K620" s="112"/>
      <c r="L620" s="37"/>
      <c r="M620" s="37"/>
      <c r="N620" s="37"/>
      <c r="O620" s="130"/>
      <c r="P620" s="132"/>
      <c r="Q620" s="261"/>
      <c r="R620" s="92"/>
    </row>
    <row r="621" spans="3:18" x14ac:dyDescent="0.25">
      <c r="C621" s="263"/>
      <c r="D621" s="157"/>
      <c r="E621" s="44"/>
      <c r="F621" s="127"/>
      <c r="G621" s="1"/>
      <c r="H621" s="161"/>
      <c r="I621" s="37"/>
      <c r="J621" s="135">
        <f t="shared" si="33"/>
        <v>0.59839396822477431</v>
      </c>
      <c r="K621" s="112"/>
      <c r="L621" s="37"/>
      <c r="M621" s="37"/>
      <c r="N621" s="37"/>
      <c r="O621" s="130"/>
      <c r="P621" s="132"/>
      <c r="Q621" s="261"/>
      <c r="R621" s="92"/>
    </row>
    <row r="622" spans="3:18" x14ac:dyDescent="0.25">
      <c r="C622" s="263"/>
      <c r="D622" s="157"/>
      <c r="E622" s="44"/>
      <c r="F622" s="127"/>
      <c r="G622" s="1"/>
      <c r="H622" s="161"/>
      <c r="I622" s="37"/>
      <c r="J622" s="135">
        <f t="shared" si="33"/>
        <v>0.59839396822477431</v>
      </c>
      <c r="K622" s="112"/>
      <c r="L622" s="37"/>
      <c r="M622" s="37"/>
      <c r="N622" s="37"/>
      <c r="O622" s="130"/>
      <c r="P622" s="132"/>
      <c r="Q622" s="261"/>
      <c r="R622" s="92"/>
    </row>
    <row r="623" spans="3:18" x14ac:dyDescent="0.25">
      <c r="C623" s="263"/>
      <c r="D623" s="157"/>
      <c r="E623" s="44"/>
      <c r="F623" s="127"/>
      <c r="G623" s="1"/>
      <c r="H623" s="161"/>
      <c r="I623" s="37"/>
      <c r="J623" s="135">
        <f t="shared" si="33"/>
        <v>0.59839396822477431</v>
      </c>
      <c r="K623" s="112"/>
      <c r="L623" s="37"/>
      <c r="M623" s="37"/>
      <c r="N623" s="37"/>
      <c r="O623" s="130"/>
      <c r="P623" s="132"/>
      <c r="Q623" s="261"/>
      <c r="R623" s="92"/>
    </row>
    <row r="624" spans="3:18" x14ac:dyDescent="0.25">
      <c r="C624" s="263"/>
      <c r="D624" s="157"/>
      <c r="E624" s="44"/>
      <c r="F624" s="127"/>
      <c r="G624" s="1"/>
      <c r="H624" s="161"/>
      <c r="I624" s="37"/>
      <c r="J624" s="135">
        <f t="shared" si="33"/>
        <v>0.59839396822477431</v>
      </c>
      <c r="K624" s="112"/>
      <c r="L624" s="37"/>
      <c r="M624" s="37"/>
      <c r="N624" s="37"/>
      <c r="O624" s="130"/>
      <c r="P624" s="132"/>
      <c r="Q624" s="261"/>
      <c r="R624" s="92"/>
    </row>
    <row r="625" spans="3:18" x14ac:dyDescent="0.25">
      <c r="C625" s="263"/>
      <c r="D625" s="157"/>
      <c r="E625" s="44"/>
      <c r="F625" s="127"/>
      <c r="G625" s="1"/>
      <c r="H625" s="161"/>
      <c r="I625" s="37"/>
      <c r="J625" s="135">
        <f t="shared" si="33"/>
        <v>0.59839396822477431</v>
      </c>
      <c r="K625" s="112"/>
      <c r="L625" s="37"/>
      <c r="M625" s="37"/>
      <c r="N625" s="37"/>
      <c r="O625" s="130"/>
      <c r="P625" s="132"/>
      <c r="Q625" s="261"/>
      <c r="R625" s="92"/>
    </row>
    <row r="626" spans="3:18" x14ac:dyDescent="0.25">
      <c r="C626" s="263"/>
      <c r="D626" s="157"/>
      <c r="E626" s="44"/>
      <c r="F626" s="127"/>
      <c r="G626" s="1"/>
      <c r="H626" s="161"/>
      <c r="I626" s="37"/>
      <c r="J626" s="135">
        <f t="shared" si="33"/>
        <v>0.59839396822477431</v>
      </c>
      <c r="K626" s="112"/>
      <c r="L626" s="37"/>
      <c r="M626" s="37"/>
      <c r="N626" s="37"/>
      <c r="O626" s="130"/>
      <c r="P626" s="132"/>
      <c r="Q626" s="261"/>
      <c r="R626" s="92"/>
    </row>
    <row r="627" spans="3:18" x14ac:dyDescent="0.25">
      <c r="C627" s="263"/>
      <c r="D627" s="157"/>
      <c r="E627" s="44"/>
      <c r="F627" s="127"/>
      <c r="G627" s="1"/>
      <c r="H627" s="161"/>
      <c r="I627" s="37"/>
      <c r="J627" s="135">
        <f t="shared" si="33"/>
        <v>0.59839396822477431</v>
      </c>
      <c r="K627" s="112"/>
      <c r="L627" s="37"/>
      <c r="M627" s="37"/>
      <c r="N627" s="37"/>
      <c r="O627" s="130"/>
      <c r="P627" s="132"/>
      <c r="Q627" s="261"/>
      <c r="R627" s="92"/>
    </row>
    <row r="628" spans="3:18" x14ac:dyDescent="0.25">
      <c r="C628" s="263"/>
      <c r="D628" s="157"/>
      <c r="E628" s="44"/>
      <c r="F628" s="127"/>
      <c r="G628" s="1"/>
      <c r="H628" s="161"/>
      <c r="I628" s="37"/>
      <c r="J628" s="135">
        <f t="shared" si="33"/>
        <v>0.59839396822477431</v>
      </c>
      <c r="K628" s="112"/>
      <c r="L628" s="37"/>
      <c r="M628" s="37"/>
      <c r="N628" s="37"/>
      <c r="O628" s="130"/>
      <c r="P628" s="132"/>
      <c r="Q628" s="261"/>
      <c r="R628" s="92"/>
    </row>
    <row r="629" spans="3:18" x14ac:dyDescent="0.25">
      <c r="C629" s="263"/>
      <c r="D629" s="157"/>
      <c r="E629" s="44"/>
      <c r="F629" s="127"/>
      <c r="G629" s="1"/>
      <c r="H629" s="161"/>
      <c r="I629" s="37"/>
      <c r="J629" s="135">
        <f t="shared" si="33"/>
        <v>0.59839396822477431</v>
      </c>
      <c r="K629" s="112"/>
      <c r="L629" s="37"/>
      <c r="M629" s="37"/>
      <c r="N629" s="37"/>
      <c r="O629" s="130"/>
      <c r="P629" s="132"/>
      <c r="Q629" s="261"/>
      <c r="R629" s="92"/>
    </row>
    <row r="630" spans="3:18" x14ac:dyDescent="0.25">
      <c r="C630" s="263"/>
      <c r="D630" s="157"/>
      <c r="E630" s="44"/>
      <c r="F630" s="127"/>
      <c r="G630" s="1"/>
      <c r="H630" s="161"/>
      <c r="I630" s="37"/>
      <c r="J630" s="135">
        <f t="shared" si="33"/>
        <v>0.59839396822477431</v>
      </c>
      <c r="K630" s="112"/>
      <c r="L630" s="37"/>
      <c r="M630" s="37"/>
      <c r="N630" s="37"/>
      <c r="O630" s="130"/>
      <c r="P630" s="132"/>
      <c r="Q630" s="261"/>
      <c r="R630" s="92"/>
    </row>
    <row r="631" spans="3:18" x14ac:dyDescent="0.25">
      <c r="C631" s="263"/>
      <c r="D631" s="157"/>
      <c r="E631" s="44"/>
      <c r="F631" s="127"/>
      <c r="G631" s="1"/>
      <c r="H631" s="161"/>
      <c r="I631" s="37"/>
      <c r="J631" s="135">
        <f t="shared" si="33"/>
        <v>0.59839396822477431</v>
      </c>
      <c r="K631" s="112"/>
      <c r="L631" s="37"/>
      <c r="M631" s="37"/>
      <c r="N631" s="37"/>
      <c r="O631" s="130"/>
      <c r="P631" s="132"/>
      <c r="Q631" s="261"/>
      <c r="R631" s="92"/>
    </row>
    <row r="632" spans="3:18" x14ac:dyDescent="0.25">
      <c r="C632" s="263"/>
      <c r="D632" s="157"/>
      <c r="E632" s="44"/>
      <c r="F632" s="127"/>
      <c r="G632" s="1"/>
      <c r="H632" s="161"/>
      <c r="I632" s="37"/>
      <c r="J632" s="135">
        <f t="shared" si="33"/>
        <v>0.59839396822477431</v>
      </c>
      <c r="K632" s="112"/>
      <c r="L632" s="37"/>
      <c r="M632" s="37"/>
      <c r="N632" s="37"/>
      <c r="O632" s="130"/>
      <c r="P632" s="132"/>
      <c r="Q632" s="261"/>
      <c r="R632" s="92"/>
    </row>
    <row r="633" spans="3:18" x14ac:dyDescent="0.25">
      <c r="C633" s="263"/>
      <c r="D633" s="157"/>
      <c r="E633" s="44"/>
      <c r="F633" s="127"/>
      <c r="G633" s="1"/>
      <c r="H633" s="161"/>
      <c r="I633" s="37"/>
      <c r="J633" s="135">
        <f t="shared" si="33"/>
        <v>0.59839396822477431</v>
      </c>
      <c r="K633" s="112"/>
      <c r="L633" s="37"/>
      <c r="M633" s="37"/>
      <c r="N633" s="37"/>
      <c r="O633" s="130"/>
      <c r="P633" s="132"/>
      <c r="Q633" s="261"/>
      <c r="R633" s="92"/>
    </row>
    <row r="634" spans="3:18" x14ac:dyDescent="0.25">
      <c r="C634" s="263"/>
      <c r="D634" s="157"/>
      <c r="E634" s="44"/>
      <c r="F634" s="127"/>
      <c r="G634" s="1"/>
      <c r="H634" s="161"/>
      <c r="I634" s="37"/>
      <c r="J634" s="135">
        <f t="shared" si="33"/>
        <v>0.59839396822477431</v>
      </c>
      <c r="K634" s="112"/>
      <c r="L634" s="37"/>
      <c r="M634" s="37"/>
      <c r="N634" s="37"/>
      <c r="O634" s="130"/>
      <c r="P634" s="132"/>
      <c r="Q634" s="261"/>
      <c r="R634" s="92"/>
    </row>
    <row r="635" spans="3:18" x14ac:dyDescent="0.25">
      <c r="C635" s="263"/>
      <c r="D635" s="157"/>
      <c r="E635" s="44"/>
      <c r="F635" s="127"/>
      <c r="G635" s="1"/>
      <c r="H635" s="161"/>
      <c r="I635" s="37"/>
      <c r="J635" s="135">
        <f t="shared" si="33"/>
        <v>0.59839396822477431</v>
      </c>
      <c r="K635" s="112"/>
      <c r="L635" s="37"/>
      <c r="M635" s="37"/>
      <c r="N635" s="37"/>
      <c r="O635" s="130"/>
      <c r="P635" s="132"/>
      <c r="Q635" s="261"/>
      <c r="R635" s="92"/>
    </row>
    <row r="636" spans="3:18" x14ac:dyDescent="0.25">
      <c r="C636" s="263"/>
      <c r="D636" s="157"/>
      <c r="E636" s="44"/>
      <c r="F636" s="127"/>
      <c r="G636" s="1"/>
      <c r="H636" s="161"/>
      <c r="I636" s="37"/>
      <c r="J636" s="135">
        <f t="shared" si="33"/>
        <v>0.59839396822477431</v>
      </c>
      <c r="K636" s="112"/>
      <c r="L636" s="37"/>
      <c r="M636" s="37"/>
      <c r="N636" s="37"/>
      <c r="O636" s="130"/>
      <c r="P636" s="132"/>
      <c r="Q636" s="261"/>
      <c r="R636" s="92"/>
    </row>
    <row r="637" spans="3:18" x14ac:dyDescent="0.25">
      <c r="C637" s="263"/>
      <c r="D637" s="157"/>
      <c r="E637" s="44"/>
      <c r="F637" s="127"/>
      <c r="G637" s="1"/>
      <c r="H637" s="161"/>
      <c r="I637" s="37"/>
      <c r="J637" s="135">
        <f t="shared" si="33"/>
        <v>0.59839396822477431</v>
      </c>
      <c r="K637" s="112"/>
      <c r="L637" s="37"/>
      <c r="M637" s="37"/>
      <c r="N637" s="37"/>
      <c r="O637" s="130"/>
      <c r="P637" s="132"/>
      <c r="Q637" s="261"/>
      <c r="R637" s="92"/>
    </row>
    <row r="638" spans="3:18" x14ac:dyDescent="0.25">
      <c r="C638" s="263"/>
      <c r="D638" s="157"/>
      <c r="E638" s="44"/>
      <c r="F638" s="127"/>
      <c r="G638" s="1"/>
      <c r="H638" s="161"/>
      <c r="I638" s="37"/>
      <c r="J638" s="135">
        <f t="shared" si="33"/>
        <v>0.59839396822477431</v>
      </c>
      <c r="K638" s="112"/>
      <c r="L638" s="37"/>
      <c r="M638" s="37"/>
      <c r="N638" s="37"/>
      <c r="O638" s="130"/>
      <c r="P638" s="132"/>
      <c r="Q638" s="261"/>
      <c r="R638" s="92"/>
    </row>
    <row r="639" spans="3:18" x14ac:dyDescent="0.25">
      <c r="C639" s="263"/>
      <c r="D639" s="157"/>
      <c r="E639" s="44"/>
      <c r="F639" s="127"/>
      <c r="G639" s="1"/>
      <c r="H639" s="161"/>
      <c r="I639" s="37"/>
      <c r="J639" s="135">
        <f t="shared" si="33"/>
        <v>0.59839396822477431</v>
      </c>
      <c r="K639" s="112"/>
      <c r="L639" s="37"/>
      <c r="M639" s="37"/>
      <c r="N639" s="37"/>
      <c r="O639" s="130"/>
      <c r="P639" s="132"/>
      <c r="Q639" s="261"/>
      <c r="R639" s="92"/>
    </row>
    <row r="640" spans="3:18" x14ac:dyDescent="0.25">
      <c r="C640" s="263"/>
      <c r="D640" s="157"/>
      <c r="E640" s="44"/>
      <c r="F640" s="127"/>
      <c r="G640" s="1"/>
      <c r="H640" s="161"/>
      <c r="I640" s="37"/>
      <c r="J640" s="135">
        <f t="shared" si="33"/>
        <v>0.59839396822477431</v>
      </c>
      <c r="K640" s="112"/>
      <c r="L640" s="37"/>
      <c r="M640" s="37"/>
      <c r="N640" s="37"/>
      <c r="O640" s="130"/>
      <c r="P640" s="132"/>
      <c r="Q640" s="261"/>
      <c r="R640" s="92"/>
    </row>
    <row r="641" spans="3:18" x14ac:dyDescent="0.25">
      <c r="C641" s="263"/>
      <c r="D641" s="157"/>
      <c r="E641" s="44"/>
      <c r="F641" s="127"/>
      <c r="G641" s="1"/>
      <c r="H641" s="161"/>
      <c r="I641" s="37"/>
      <c r="J641" s="135">
        <f t="shared" si="33"/>
        <v>0.59839396822477431</v>
      </c>
      <c r="K641" s="112"/>
      <c r="L641" s="37"/>
      <c r="M641" s="37"/>
      <c r="N641" s="37"/>
      <c r="O641" s="130"/>
      <c r="P641" s="132"/>
      <c r="Q641" s="261"/>
      <c r="R641" s="92"/>
    </row>
    <row r="642" spans="3:18" x14ac:dyDescent="0.25">
      <c r="C642" s="263"/>
      <c r="D642" s="157"/>
      <c r="E642" s="44"/>
      <c r="F642" s="127"/>
      <c r="G642" s="1"/>
      <c r="H642" s="161"/>
      <c r="I642" s="37"/>
      <c r="J642" s="135">
        <f t="shared" si="33"/>
        <v>0.59839396822477431</v>
      </c>
      <c r="K642" s="112"/>
      <c r="L642" s="37"/>
      <c r="M642" s="37"/>
      <c r="N642" s="37"/>
      <c r="O642" s="130"/>
      <c r="P642" s="132"/>
      <c r="Q642" s="261"/>
      <c r="R642" s="92"/>
    </row>
    <row r="643" spans="3:18" x14ac:dyDescent="0.25">
      <c r="C643" s="263"/>
      <c r="D643" s="157"/>
      <c r="E643" s="44"/>
      <c r="F643" s="127"/>
      <c r="G643" s="1"/>
      <c r="H643" s="161"/>
      <c r="I643" s="37"/>
      <c r="J643" s="135">
        <f t="shared" si="33"/>
        <v>0.59839396822477431</v>
      </c>
      <c r="K643" s="112"/>
      <c r="L643" s="37"/>
      <c r="M643" s="37"/>
      <c r="N643" s="37"/>
      <c r="O643" s="130"/>
      <c r="P643" s="132"/>
      <c r="Q643" s="261"/>
      <c r="R643" s="92"/>
    </row>
    <row r="644" spans="3:18" x14ac:dyDescent="0.25">
      <c r="C644" s="263"/>
      <c r="D644" s="157"/>
      <c r="E644" s="44"/>
      <c r="F644" s="127"/>
      <c r="G644" s="1"/>
      <c r="H644" s="161"/>
      <c r="I644" s="37"/>
      <c r="J644" s="135">
        <f t="shared" si="33"/>
        <v>0.59839396822477431</v>
      </c>
      <c r="K644" s="112"/>
      <c r="L644" s="37"/>
      <c r="M644" s="37"/>
      <c r="N644" s="37"/>
      <c r="O644" s="130"/>
      <c r="P644" s="132"/>
      <c r="Q644" s="261"/>
      <c r="R644" s="92"/>
    </row>
    <row r="645" spans="3:18" x14ac:dyDescent="0.25">
      <c r="C645" s="263"/>
      <c r="D645" s="157"/>
      <c r="E645" s="44"/>
      <c r="F645" s="127"/>
      <c r="G645" s="1"/>
      <c r="H645" s="161"/>
      <c r="I645" s="37"/>
      <c r="J645" s="135">
        <f t="shared" si="33"/>
        <v>0.59839396822477431</v>
      </c>
      <c r="K645" s="112"/>
      <c r="L645" s="37"/>
      <c r="M645" s="37"/>
      <c r="N645" s="37"/>
      <c r="O645" s="130"/>
      <c r="P645" s="132"/>
      <c r="Q645" s="261"/>
      <c r="R645" s="92"/>
    </row>
    <row r="646" spans="3:18" x14ac:dyDescent="0.25">
      <c r="C646" s="263"/>
      <c r="D646" s="157"/>
      <c r="E646" s="44"/>
      <c r="F646" s="127"/>
      <c r="G646" s="1"/>
      <c r="H646" s="161"/>
      <c r="I646" s="37"/>
      <c r="J646" s="135">
        <f t="shared" si="33"/>
        <v>0.59839396822477431</v>
      </c>
      <c r="K646" s="112"/>
      <c r="L646" s="37"/>
      <c r="M646" s="37"/>
      <c r="N646" s="37"/>
      <c r="O646" s="130"/>
      <c r="P646" s="132"/>
      <c r="Q646" s="261"/>
      <c r="R646" s="92"/>
    </row>
    <row r="647" spans="3:18" x14ac:dyDescent="0.25">
      <c r="C647" s="263"/>
      <c r="D647" s="157"/>
      <c r="E647" s="44"/>
      <c r="F647" s="127"/>
      <c r="G647" s="1"/>
      <c r="H647" s="161"/>
      <c r="I647" s="37"/>
      <c r="J647" s="135">
        <f t="shared" si="33"/>
        <v>0.59839396822477431</v>
      </c>
      <c r="K647" s="112"/>
      <c r="L647" s="37"/>
      <c r="M647" s="37"/>
      <c r="N647" s="37"/>
      <c r="O647" s="130"/>
      <c r="P647" s="132"/>
      <c r="Q647" s="261"/>
      <c r="R647" s="92"/>
    </row>
    <row r="648" spans="3:18" x14ac:dyDescent="0.25">
      <c r="C648" s="263"/>
      <c r="D648" s="157"/>
      <c r="E648" s="44"/>
      <c r="F648" s="127"/>
      <c r="G648" s="1"/>
      <c r="H648" s="161"/>
      <c r="I648" s="37"/>
      <c r="J648" s="135">
        <f t="shared" si="33"/>
        <v>0.59839396822477431</v>
      </c>
      <c r="K648" s="112"/>
      <c r="L648" s="37"/>
      <c r="M648" s="37"/>
      <c r="N648" s="37"/>
      <c r="O648" s="130"/>
      <c r="P648" s="132"/>
      <c r="Q648" s="261"/>
      <c r="R648" s="92"/>
    </row>
    <row r="649" spans="3:18" x14ac:dyDescent="0.25">
      <c r="C649" s="263"/>
      <c r="D649" s="157"/>
      <c r="E649" s="44"/>
      <c r="F649" s="127"/>
      <c r="G649" s="1"/>
      <c r="H649" s="161"/>
      <c r="I649" s="37"/>
      <c r="J649" s="135">
        <f t="shared" si="33"/>
        <v>0.59839396822477431</v>
      </c>
      <c r="K649" s="112"/>
      <c r="L649" s="37"/>
      <c r="M649" s="37"/>
      <c r="N649" s="37"/>
      <c r="O649" s="130"/>
      <c r="P649" s="132"/>
      <c r="Q649" s="261"/>
      <c r="R649" s="92"/>
    </row>
    <row r="650" spans="3:18" x14ac:dyDescent="0.25">
      <c r="C650" s="263"/>
      <c r="D650" s="157"/>
      <c r="E650" s="44"/>
      <c r="F650" s="127"/>
      <c r="G650" s="1"/>
      <c r="H650" s="161"/>
      <c r="I650" s="37"/>
      <c r="J650" s="135">
        <f t="shared" si="33"/>
        <v>0.59839396822477431</v>
      </c>
      <c r="K650" s="112"/>
      <c r="L650" s="37"/>
      <c r="M650" s="37"/>
      <c r="N650" s="37"/>
      <c r="O650" s="130"/>
      <c r="P650" s="132"/>
      <c r="Q650" s="261"/>
      <c r="R650" s="92"/>
    </row>
    <row r="651" spans="3:18" x14ac:dyDescent="0.25">
      <c r="C651" s="263"/>
      <c r="D651" s="157"/>
      <c r="E651" s="44"/>
      <c r="F651" s="127"/>
      <c r="G651" s="1"/>
      <c r="H651" s="161"/>
      <c r="I651" s="37"/>
      <c r="J651" s="135">
        <f t="shared" si="33"/>
        <v>0.59839396822477431</v>
      </c>
      <c r="K651" s="112"/>
      <c r="L651" s="37"/>
      <c r="M651" s="37"/>
      <c r="N651" s="37"/>
      <c r="O651" s="130"/>
      <c r="P651" s="132"/>
      <c r="Q651" s="261"/>
      <c r="R651" s="92"/>
    </row>
    <row r="652" spans="3:18" x14ac:dyDescent="0.25">
      <c r="C652" s="263"/>
      <c r="D652" s="157"/>
      <c r="E652" s="44"/>
      <c r="F652" s="127"/>
      <c r="G652" s="1"/>
      <c r="H652" s="161"/>
      <c r="I652" s="37"/>
      <c r="J652" s="135">
        <f t="shared" si="33"/>
        <v>0.59839396822477431</v>
      </c>
      <c r="K652" s="112"/>
      <c r="L652" s="37"/>
      <c r="M652" s="37"/>
      <c r="N652" s="37"/>
      <c r="O652" s="130"/>
      <c r="P652" s="132"/>
      <c r="Q652" s="261"/>
      <c r="R652" s="92"/>
    </row>
    <row r="653" spans="3:18" x14ac:dyDescent="0.25">
      <c r="C653" s="263"/>
      <c r="D653" s="157"/>
      <c r="E653" s="44"/>
      <c r="F653" s="127"/>
      <c r="G653" s="1"/>
      <c r="H653" s="161"/>
      <c r="I653" s="37"/>
      <c r="J653" s="135">
        <f t="shared" si="33"/>
        <v>0.59839396822477431</v>
      </c>
      <c r="K653" s="112"/>
      <c r="L653" s="37"/>
      <c r="M653" s="37"/>
      <c r="N653" s="37"/>
      <c r="O653" s="130"/>
      <c r="P653" s="132"/>
      <c r="Q653" s="261"/>
      <c r="R653" s="92"/>
    </row>
    <row r="654" spans="3:18" x14ac:dyDescent="0.25">
      <c r="C654" s="263"/>
      <c r="D654" s="157"/>
      <c r="E654" s="44"/>
      <c r="F654" s="127"/>
      <c r="G654" s="1"/>
      <c r="H654" s="161"/>
      <c r="I654" s="37"/>
      <c r="J654" s="135"/>
      <c r="K654" s="112"/>
      <c r="L654" s="37"/>
      <c r="M654" s="37"/>
      <c r="N654" s="37"/>
      <c r="O654" s="130"/>
      <c r="P654" s="132"/>
      <c r="Q654" s="261"/>
      <c r="R654" s="92"/>
    </row>
    <row r="655" spans="3:18" x14ac:dyDescent="0.25">
      <c r="C655" s="263"/>
      <c r="D655" s="157"/>
      <c r="E655" s="44"/>
      <c r="F655" s="127"/>
      <c r="G655" s="1"/>
      <c r="H655" s="161"/>
      <c r="I655" s="37"/>
      <c r="J655" s="135"/>
      <c r="K655" s="112"/>
      <c r="L655" s="37"/>
      <c r="M655" s="37"/>
      <c r="N655" s="37"/>
      <c r="O655" s="130"/>
      <c r="P655" s="132"/>
      <c r="Q655" s="261"/>
      <c r="R655" s="92"/>
    </row>
    <row r="656" spans="3:18" x14ac:dyDescent="0.25">
      <c r="C656" s="263"/>
      <c r="D656" s="157"/>
      <c r="E656" s="44"/>
      <c r="F656" s="127"/>
      <c r="G656" s="1"/>
      <c r="H656" s="161"/>
      <c r="I656" s="37"/>
      <c r="J656" s="135"/>
      <c r="K656" s="112"/>
      <c r="L656" s="37"/>
      <c r="M656" s="37"/>
      <c r="N656" s="37"/>
      <c r="O656" s="130"/>
      <c r="P656" s="132"/>
      <c r="Q656" s="261"/>
      <c r="R656" s="92"/>
    </row>
    <row r="657" spans="3:18" x14ac:dyDescent="0.25">
      <c r="C657" s="263"/>
      <c r="D657" s="157"/>
      <c r="E657" s="44"/>
      <c r="F657" s="127"/>
      <c r="G657" s="1"/>
      <c r="H657" s="161"/>
      <c r="I657" s="37"/>
      <c r="J657" s="135"/>
      <c r="K657" s="112"/>
      <c r="L657" s="37"/>
      <c r="M657" s="37"/>
      <c r="N657" s="37"/>
      <c r="O657" s="130"/>
      <c r="P657" s="132"/>
      <c r="Q657" s="261"/>
      <c r="R657" s="92"/>
    </row>
    <row r="658" spans="3:18" x14ac:dyDescent="0.25">
      <c r="C658" s="263"/>
      <c r="D658" s="157"/>
      <c r="E658" s="44"/>
      <c r="F658" s="127"/>
      <c r="G658" s="1"/>
      <c r="H658" s="161"/>
      <c r="I658" s="37"/>
      <c r="J658" s="135"/>
      <c r="K658" s="112"/>
      <c r="L658" s="37"/>
      <c r="M658" s="37"/>
      <c r="N658" s="37"/>
      <c r="O658" s="130"/>
      <c r="P658" s="132"/>
      <c r="Q658" s="261"/>
      <c r="R658" s="92"/>
    </row>
    <row r="659" spans="3:18" x14ac:dyDescent="0.25">
      <c r="C659" s="263"/>
      <c r="D659" s="157"/>
      <c r="E659" s="44"/>
      <c r="F659" s="127"/>
      <c r="G659" s="1"/>
      <c r="H659" s="161"/>
      <c r="I659" s="37"/>
      <c r="J659" s="135"/>
      <c r="K659" s="112"/>
      <c r="L659" s="37"/>
      <c r="M659" s="37"/>
      <c r="N659" s="37"/>
      <c r="O659" s="130"/>
      <c r="P659" s="132"/>
      <c r="Q659" s="261"/>
      <c r="R659" s="92"/>
    </row>
    <row r="660" spans="3:18" x14ac:dyDescent="0.25">
      <c r="C660" s="263"/>
      <c r="D660" s="157"/>
      <c r="E660" s="44"/>
      <c r="F660" s="127"/>
      <c r="G660" s="1"/>
      <c r="H660" s="161"/>
      <c r="I660" s="37"/>
      <c r="J660" s="135"/>
      <c r="K660" s="112"/>
      <c r="L660" s="37"/>
      <c r="M660" s="37"/>
      <c r="N660" s="37"/>
      <c r="O660" s="130"/>
      <c r="P660" s="132"/>
      <c r="Q660" s="261"/>
      <c r="R660" s="92"/>
    </row>
    <row r="661" spans="3:18" x14ac:dyDescent="0.25">
      <c r="C661" s="263"/>
      <c r="D661" s="157"/>
      <c r="E661" s="44"/>
      <c r="F661" s="127"/>
      <c r="G661" s="1"/>
      <c r="H661" s="161"/>
      <c r="I661" s="37"/>
      <c r="J661" s="135"/>
      <c r="K661" s="112"/>
      <c r="L661" s="37"/>
      <c r="M661" s="37"/>
      <c r="N661" s="37"/>
      <c r="O661" s="130"/>
      <c r="P661" s="132"/>
      <c r="Q661" s="261"/>
      <c r="R661" s="92"/>
    </row>
    <row r="662" spans="3:18" x14ac:dyDescent="0.25">
      <c r="C662" s="263"/>
      <c r="D662" s="157"/>
      <c r="E662" s="44"/>
      <c r="F662" s="127"/>
      <c r="G662" s="1"/>
      <c r="H662" s="161"/>
      <c r="I662" s="37"/>
      <c r="J662" s="135"/>
      <c r="K662" s="112"/>
      <c r="L662" s="37"/>
      <c r="M662" s="37"/>
      <c r="N662" s="37"/>
      <c r="O662" s="130"/>
      <c r="P662" s="132"/>
      <c r="Q662" s="261"/>
      <c r="R662" s="92"/>
    </row>
    <row r="663" spans="3:18" x14ac:dyDescent="0.25">
      <c r="C663" s="263"/>
      <c r="D663" s="157"/>
      <c r="E663" s="44"/>
      <c r="F663" s="127"/>
      <c r="G663" s="1"/>
      <c r="H663" s="161"/>
      <c r="I663" s="37"/>
      <c r="J663" s="135"/>
      <c r="K663" s="112"/>
      <c r="L663" s="37"/>
      <c r="M663" s="37"/>
      <c r="N663" s="37"/>
      <c r="O663" s="130"/>
      <c r="P663" s="132"/>
      <c r="Q663" s="261"/>
      <c r="R663" s="92"/>
    </row>
    <row r="664" spans="3:18" x14ac:dyDescent="0.25">
      <c r="C664" s="263"/>
      <c r="D664" s="157"/>
      <c r="E664" s="44"/>
      <c r="F664" s="127"/>
      <c r="G664" s="1"/>
      <c r="H664" s="161"/>
      <c r="I664" s="37"/>
      <c r="J664" s="135"/>
      <c r="K664" s="112"/>
      <c r="L664" s="37"/>
      <c r="M664" s="37"/>
      <c r="N664" s="37"/>
      <c r="O664" s="130"/>
      <c r="P664" s="132"/>
      <c r="Q664" s="261"/>
      <c r="R664" s="92"/>
    </row>
    <row r="665" spans="3:18" x14ac:dyDescent="0.25">
      <c r="C665" s="263"/>
      <c r="D665" s="157"/>
      <c r="E665" s="44"/>
      <c r="F665" s="127"/>
      <c r="G665" s="1"/>
      <c r="H665" s="161"/>
      <c r="I665" s="37"/>
      <c r="J665" s="135"/>
      <c r="K665" s="112"/>
      <c r="L665" s="37"/>
      <c r="M665" s="37"/>
      <c r="N665" s="37"/>
      <c r="O665" s="130"/>
      <c r="P665" s="132"/>
      <c r="Q665" s="261"/>
      <c r="R665" s="92"/>
    </row>
    <row r="666" spans="3:18" x14ac:dyDescent="0.25">
      <c r="C666" s="263"/>
      <c r="D666" s="157"/>
      <c r="E666" s="44"/>
      <c r="F666" s="127"/>
      <c r="G666" s="1"/>
      <c r="H666" s="161"/>
      <c r="I666" s="37"/>
      <c r="J666" s="135"/>
      <c r="K666" s="112"/>
      <c r="L666" s="37"/>
      <c r="M666" s="37"/>
      <c r="N666" s="37"/>
      <c r="O666" s="130"/>
      <c r="P666" s="132"/>
      <c r="Q666" s="261"/>
      <c r="R666" s="92"/>
    </row>
    <row r="667" spans="3:18" x14ac:dyDescent="0.25">
      <c r="C667" s="263"/>
      <c r="D667" s="157"/>
      <c r="E667" s="44"/>
      <c r="F667" s="127"/>
      <c r="G667" s="1"/>
      <c r="H667" s="161"/>
      <c r="I667" s="37"/>
      <c r="J667" s="135"/>
      <c r="K667" s="112"/>
      <c r="L667" s="37"/>
      <c r="M667" s="37"/>
      <c r="N667" s="37"/>
      <c r="O667" s="130"/>
      <c r="P667" s="132"/>
      <c r="Q667" s="261"/>
      <c r="R667" s="92"/>
    </row>
    <row r="668" spans="3:18" x14ac:dyDescent="0.25">
      <c r="C668" s="263"/>
      <c r="D668" s="157"/>
      <c r="E668" s="44"/>
      <c r="F668" s="127"/>
      <c r="G668" s="1"/>
      <c r="H668" s="161"/>
      <c r="I668" s="37"/>
      <c r="J668" s="135"/>
      <c r="K668" s="112"/>
      <c r="L668" s="37"/>
      <c r="M668" s="37"/>
      <c r="N668" s="37"/>
      <c r="O668" s="130"/>
      <c r="P668" s="132"/>
      <c r="Q668" s="261"/>
      <c r="R668" s="92"/>
    </row>
    <row r="669" spans="3:18" x14ac:dyDescent="0.25">
      <c r="C669" s="263"/>
      <c r="D669" s="157"/>
      <c r="E669" s="44"/>
      <c r="F669" s="127"/>
      <c r="G669" s="1"/>
      <c r="H669" s="161"/>
      <c r="I669" s="37"/>
      <c r="J669" s="135"/>
      <c r="K669" s="112"/>
      <c r="L669" s="37"/>
      <c r="M669" s="37"/>
      <c r="N669" s="37"/>
      <c r="O669" s="130"/>
      <c r="P669" s="132"/>
      <c r="Q669" s="261"/>
      <c r="R669" s="92"/>
    </row>
    <row r="670" spans="3:18" x14ac:dyDescent="0.25">
      <c r="C670" s="263"/>
      <c r="D670" s="157"/>
      <c r="E670" s="44"/>
      <c r="F670" s="127"/>
      <c r="G670" s="1"/>
      <c r="H670" s="161"/>
      <c r="I670" s="37"/>
      <c r="J670" s="135"/>
      <c r="K670" s="112"/>
      <c r="L670" s="37"/>
      <c r="M670" s="37"/>
      <c r="N670" s="37"/>
      <c r="O670" s="130"/>
      <c r="P670" s="132"/>
      <c r="Q670" s="261"/>
      <c r="R670" s="92"/>
    </row>
    <row r="671" spans="3:18" x14ac:dyDescent="0.25">
      <c r="C671" s="263"/>
      <c r="D671" s="157"/>
      <c r="E671" s="44"/>
      <c r="F671" s="127"/>
      <c r="G671" s="1"/>
      <c r="H671" s="161"/>
      <c r="I671" s="37"/>
      <c r="J671" s="135"/>
      <c r="K671" s="112"/>
      <c r="L671" s="37"/>
      <c r="M671" s="37"/>
      <c r="N671" s="37"/>
      <c r="O671" s="130"/>
      <c r="P671" s="132"/>
      <c r="Q671" s="261"/>
      <c r="R671" s="92"/>
    </row>
    <row r="672" spans="3:18" x14ac:dyDescent="0.25">
      <c r="C672" s="263"/>
      <c r="D672" s="157"/>
      <c r="E672" s="44"/>
      <c r="F672" s="127"/>
      <c r="G672" s="1"/>
      <c r="H672" s="161"/>
      <c r="I672" s="37"/>
      <c r="J672" s="135"/>
      <c r="K672" s="112"/>
      <c r="L672" s="37"/>
      <c r="M672" s="37"/>
      <c r="N672" s="37"/>
      <c r="O672" s="130"/>
      <c r="P672" s="132"/>
      <c r="Q672" s="261"/>
      <c r="R672" s="92"/>
    </row>
    <row r="673" spans="3:18" x14ac:dyDescent="0.25">
      <c r="C673" s="263"/>
      <c r="D673" s="157"/>
      <c r="E673" s="44"/>
      <c r="F673" s="127"/>
      <c r="G673" s="1"/>
      <c r="H673" s="161"/>
      <c r="I673" s="37"/>
      <c r="J673" s="135"/>
      <c r="K673" s="112"/>
      <c r="L673" s="37"/>
      <c r="M673" s="37"/>
      <c r="N673" s="37"/>
      <c r="O673" s="130"/>
      <c r="P673" s="132"/>
      <c r="Q673" s="261"/>
      <c r="R673" s="92"/>
    </row>
    <row r="674" spans="3:18" x14ac:dyDescent="0.25">
      <c r="C674" s="263"/>
      <c r="D674" s="157"/>
      <c r="E674" s="44"/>
      <c r="F674" s="127"/>
      <c r="G674" s="1"/>
      <c r="H674" s="161"/>
      <c r="I674" s="37"/>
      <c r="J674" s="135"/>
      <c r="K674" s="112"/>
      <c r="L674" s="37"/>
      <c r="M674" s="37"/>
      <c r="N674" s="37"/>
      <c r="O674" s="130"/>
      <c r="P674" s="132"/>
      <c r="Q674" s="261"/>
      <c r="R674" s="92"/>
    </row>
    <row r="675" spans="3:18" x14ac:dyDescent="0.25">
      <c r="C675" s="263"/>
      <c r="D675" s="157"/>
      <c r="E675" s="44"/>
      <c r="F675" s="127"/>
      <c r="G675" s="1"/>
      <c r="H675" s="161"/>
      <c r="I675" s="37"/>
      <c r="J675" s="135"/>
      <c r="K675" s="112"/>
      <c r="L675" s="37"/>
      <c r="M675" s="37"/>
      <c r="N675" s="37"/>
      <c r="O675" s="130"/>
      <c r="P675" s="132"/>
      <c r="Q675" s="261"/>
      <c r="R675" s="92"/>
    </row>
    <row r="676" spans="3:18" x14ac:dyDescent="0.25">
      <c r="C676" s="263"/>
      <c r="D676" s="157"/>
      <c r="E676" s="44"/>
      <c r="F676" s="127"/>
      <c r="G676" s="1"/>
      <c r="H676" s="161"/>
      <c r="I676" s="37"/>
      <c r="J676" s="135"/>
      <c r="K676" s="112"/>
      <c r="L676" s="37"/>
      <c r="M676" s="37"/>
      <c r="N676" s="37"/>
      <c r="O676" s="130"/>
      <c r="P676" s="132"/>
      <c r="Q676" s="261"/>
      <c r="R676" s="92"/>
    </row>
    <row r="677" spans="3:18" x14ac:dyDescent="0.25">
      <c r="C677" s="263"/>
      <c r="D677" s="157"/>
      <c r="E677" s="44"/>
      <c r="F677" s="127"/>
      <c r="G677" s="1"/>
      <c r="H677" s="161"/>
      <c r="I677" s="37"/>
      <c r="J677" s="135"/>
      <c r="K677" s="112"/>
      <c r="L677" s="37"/>
      <c r="M677" s="37"/>
      <c r="N677" s="37"/>
      <c r="O677" s="130"/>
      <c r="P677" s="132"/>
      <c r="Q677" s="261"/>
      <c r="R677" s="92"/>
    </row>
    <row r="678" spans="3:18" x14ac:dyDescent="0.25">
      <c r="C678" s="263"/>
      <c r="D678" s="157"/>
      <c r="E678" s="44"/>
      <c r="F678" s="127"/>
      <c r="G678" s="1"/>
      <c r="H678" s="161"/>
      <c r="I678" s="37"/>
      <c r="J678" s="135"/>
      <c r="K678" s="112"/>
      <c r="L678" s="37"/>
      <c r="M678" s="37"/>
      <c r="N678" s="37"/>
      <c r="O678" s="130"/>
      <c r="P678" s="132"/>
      <c r="Q678" s="261"/>
      <c r="R678" s="92"/>
    </row>
    <row r="679" spans="3:18" x14ac:dyDescent="0.25">
      <c r="C679" s="263"/>
      <c r="D679" s="157"/>
      <c r="E679" s="44"/>
      <c r="F679" s="127"/>
      <c r="G679" s="1"/>
      <c r="H679" s="161"/>
      <c r="I679" s="37"/>
      <c r="J679" s="135"/>
      <c r="K679" s="112"/>
      <c r="L679" s="37"/>
      <c r="M679" s="37"/>
      <c r="N679" s="37"/>
      <c r="O679" s="130"/>
      <c r="P679" s="132"/>
      <c r="Q679" s="261"/>
      <c r="R679" s="92"/>
    </row>
    <row r="680" spans="3:18" x14ac:dyDescent="0.25">
      <c r="C680" s="263"/>
      <c r="D680" s="157"/>
      <c r="E680" s="44"/>
      <c r="F680" s="127"/>
      <c r="G680" s="1"/>
      <c r="H680" s="161"/>
      <c r="I680" s="37"/>
      <c r="J680" s="135"/>
      <c r="K680" s="112"/>
      <c r="L680" s="37"/>
      <c r="M680" s="37"/>
      <c r="N680" s="37"/>
      <c r="O680" s="130"/>
      <c r="P680" s="132"/>
      <c r="Q680" s="261"/>
      <c r="R680" s="92"/>
    </row>
    <row r="681" spans="3:18" x14ac:dyDescent="0.25">
      <c r="C681" s="263"/>
      <c r="D681" s="157"/>
      <c r="E681" s="44"/>
      <c r="F681" s="127"/>
      <c r="G681" s="1"/>
      <c r="H681" s="161"/>
      <c r="I681" s="37"/>
      <c r="J681" s="135"/>
      <c r="K681" s="112"/>
      <c r="L681" s="37"/>
      <c r="M681" s="37"/>
      <c r="N681" s="37"/>
      <c r="O681" s="130"/>
      <c r="P681" s="132"/>
      <c r="Q681" s="261"/>
      <c r="R681" s="92"/>
    </row>
    <row r="682" spans="3:18" x14ac:dyDescent="0.25">
      <c r="C682" s="263"/>
      <c r="D682" s="157"/>
      <c r="E682" s="44"/>
      <c r="F682" s="127"/>
      <c r="G682" s="1"/>
      <c r="H682" s="161"/>
      <c r="I682" s="37"/>
      <c r="J682" s="135"/>
      <c r="K682" s="112"/>
      <c r="L682" s="37"/>
      <c r="M682" s="37"/>
      <c r="N682" s="37"/>
      <c r="O682" s="130"/>
      <c r="P682" s="132"/>
      <c r="Q682" s="261"/>
      <c r="R682" s="92"/>
    </row>
    <row r="683" spans="3:18" x14ac:dyDescent="0.25">
      <c r="C683" s="263"/>
      <c r="D683" s="157"/>
      <c r="E683" s="44"/>
      <c r="F683" s="127"/>
      <c r="G683" s="1"/>
      <c r="H683" s="161"/>
      <c r="I683" s="37"/>
      <c r="J683" s="135"/>
      <c r="K683" s="112"/>
      <c r="L683" s="37"/>
      <c r="M683" s="37"/>
      <c r="N683" s="37"/>
      <c r="O683" s="130"/>
      <c r="P683" s="132"/>
      <c r="Q683" s="261"/>
      <c r="R683" s="92"/>
    </row>
    <row r="684" spans="3:18" x14ac:dyDescent="0.25">
      <c r="C684" s="263"/>
      <c r="D684" s="157"/>
      <c r="E684" s="44"/>
      <c r="F684" s="127"/>
      <c r="G684" s="1"/>
      <c r="H684" s="161"/>
      <c r="I684" s="37"/>
      <c r="J684" s="135"/>
      <c r="K684" s="112"/>
      <c r="L684" s="37"/>
      <c r="M684" s="37"/>
      <c r="N684" s="37"/>
      <c r="O684" s="130"/>
      <c r="P684" s="132"/>
      <c r="Q684" s="261"/>
      <c r="R684" s="92"/>
    </row>
    <row r="685" spans="3:18" x14ac:dyDescent="0.25">
      <c r="C685" s="263"/>
      <c r="D685" s="157"/>
      <c r="E685" s="44"/>
      <c r="F685" s="127"/>
      <c r="G685" s="1"/>
      <c r="H685" s="161"/>
      <c r="I685" s="37"/>
      <c r="J685" s="135"/>
      <c r="K685" s="112"/>
      <c r="L685" s="37"/>
      <c r="M685" s="37"/>
      <c r="N685" s="37"/>
      <c r="O685" s="130"/>
      <c r="P685" s="132"/>
      <c r="Q685" s="261"/>
      <c r="R685" s="92"/>
    </row>
    <row r="686" spans="3:18" x14ac:dyDescent="0.25">
      <c r="C686" s="263"/>
      <c r="D686" s="157"/>
      <c r="E686" s="44"/>
      <c r="F686" s="127"/>
      <c r="G686" s="1"/>
      <c r="H686" s="161"/>
      <c r="I686" s="37"/>
      <c r="J686" s="135"/>
      <c r="K686" s="112"/>
      <c r="L686" s="37"/>
      <c r="M686" s="37"/>
      <c r="N686" s="37"/>
      <c r="O686" s="130"/>
      <c r="P686" s="132"/>
      <c r="Q686" s="261"/>
      <c r="R686" s="92"/>
    </row>
    <row r="687" spans="3:18" x14ac:dyDescent="0.25">
      <c r="C687" s="263"/>
      <c r="D687" s="157"/>
      <c r="E687" s="44"/>
      <c r="F687" s="127"/>
      <c r="G687" s="1"/>
      <c r="H687" s="161"/>
      <c r="I687" s="37"/>
      <c r="J687" s="135"/>
      <c r="K687" s="112"/>
      <c r="L687" s="37"/>
      <c r="M687" s="37"/>
      <c r="N687" s="37"/>
      <c r="O687" s="130"/>
      <c r="P687" s="132"/>
      <c r="Q687" s="261"/>
      <c r="R687" s="92"/>
    </row>
    <row r="688" spans="3:18" x14ac:dyDescent="0.25">
      <c r="C688" s="263"/>
      <c r="D688" s="157"/>
      <c r="E688" s="44"/>
      <c r="F688" s="127"/>
      <c r="G688" s="1"/>
      <c r="H688" s="161"/>
      <c r="I688" s="37"/>
      <c r="J688" s="135"/>
      <c r="K688" s="112"/>
      <c r="L688" s="37"/>
      <c r="M688" s="37"/>
      <c r="N688" s="37"/>
      <c r="O688" s="130"/>
      <c r="P688" s="132"/>
      <c r="Q688" s="261"/>
      <c r="R688" s="92"/>
    </row>
    <row r="689" spans="3:18" x14ac:dyDescent="0.25">
      <c r="C689" s="263"/>
      <c r="D689" s="157"/>
      <c r="E689" s="44"/>
      <c r="F689" s="127"/>
      <c r="G689" s="1"/>
      <c r="H689" s="161"/>
      <c r="I689" s="37"/>
      <c r="J689" s="135"/>
      <c r="K689" s="112"/>
      <c r="L689" s="37"/>
      <c r="M689" s="37"/>
      <c r="N689" s="37"/>
      <c r="O689" s="130"/>
      <c r="P689" s="132"/>
      <c r="Q689" s="261"/>
      <c r="R689" s="92"/>
    </row>
    <row r="690" spans="3:18" x14ac:dyDescent="0.25">
      <c r="C690" s="263"/>
      <c r="D690" s="157"/>
      <c r="E690" s="44"/>
      <c r="F690" s="127"/>
      <c r="G690" s="1"/>
      <c r="H690" s="161"/>
      <c r="I690" s="37"/>
      <c r="J690" s="135"/>
      <c r="K690" s="112"/>
      <c r="L690" s="37"/>
      <c r="M690" s="37"/>
      <c r="N690" s="37"/>
      <c r="O690" s="130"/>
      <c r="P690" s="132"/>
      <c r="Q690" s="261"/>
      <c r="R690" s="92"/>
    </row>
    <row r="691" spans="3:18" x14ac:dyDescent="0.25">
      <c r="C691" s="263"/>
      <c r="D691" s="157"/>
      <c r="E691" s="44"/>
      <c r="F691" s="127"/>
      <c r="G691" s="1"/>
      <c r="H691" s="161"/>
      <c r="I691" s="37"/>
      <c r="J691" s="135"/>
      <c r="K691" s="112"/>
      <c r="L691" s="37"/>
      <c r="M691" s="37"/>
      <c r="N691" s="37"/>
      <c r="O691" s="130"/>
      <c r="P691" s="132"/>
      <c r="Q691" s="261"/>
      <c r="R691" s="92"/>
    </row>
    <row r="692" spans="3:18" x14ac:dyDescent="0.25">
      <c r="C692" s="263"/>
      <c r="D692" s="157"/>
      <c r="E692" s="44"/>
      <c r="F692" s="127"/>
      <c r="G692" s="1"/>
      <c r="H692" s="161"/>
      <c r="I692" s="37"/>
      <c r="J692" s="135"/>
      <c r="K692" s="112"/>
      <c r="L692" s="37"/>
      <c r="M692" s="37"/>
      <c r="N692" s="37"/>
      <c r="O692" s="130"/>
      <c r="P692" s="132"/>
      <c r="Q692" s="261"/>
      <c r="R692" s="92"/>
    </row>
    <row r="693" spans="3:18" x14ac:dyDescent="0.25">
      <c r="C693" s="263"/>
      <c r="D693" s="157"/>
      <c r="E693" s="44"/>
      <c r="F693" s="127"/>
      <c r="G693" s="1"/>
      <c r="H693" s="161"/>
      <c r="I693" s="37"/>
      <c r="J693" s="135"/>
      <c r="K693" s="112"/>
      <c r="L693" s="37"/>
      <c r="M693" s="37"/>
      <c r="N693" s="37"/>
      <c r="O693" s="130"/>
      <c r="P693" s="132"/>
      <c r="Q693" s="261"/>
      <c r="R693" s="92"/>
    </row>
    <row r="694" spans="3:18" x14ac:dyDescent="0.25">
      <c r="C694" s="263"/>
      <c r="D694" s="157"/>
      <c r="E694" s="44"/>
      <c r="F694" s="127"/>
      <c r="G694" s="1"/>
      <c r="H694" s="161"/>
      <c r="I694" s="37"/>
      <c r="J694" s="135"/>
      <c r="K694" s="112"/>
      <c r="L694" s="37"/>
      <c r="M694" s="37"/>
      <c r="N694" s="37"/>
      <c r="O694" s="130"/>
      <c r="P694" s="132"/>
      <c r="Q694" s="261"/>
      <c r="R694" s="92"/>
    </row>
    <row r="695" spans="3:18" x14ac:dyDescent="0.25">
      <c r="C695" s="263"/>
      <c r="D695" s="157"/>
      <c r="E695" s="44"/>
      <c r="F695" s="127"/>
      <c r="G695" s="1"/>
      <c r="H695" s="161"/>
      <c r="I695" s="37"/>
      <c r="J695" s="135"/>
      <c r="K695" s="112"/>
      <c r="L695" s="37"/>
      <c r="M695" s="37"/>
      <c r="N695" s="37"/>
      <c r="O695" s="130"/>
      <c r="P695" s="132"/>
      <c r="Q695" s="261"/>
      <c r="R695" s="92"/>
    </row>
    <row r="696" spans="3:18" x14ac:dyDescent="0.25">
      <c r="C696" s="263"/>
      <c r="D696" s="157"/>
      <c r="E696" s="44"/>
      <c r="F696" s="127"/>
      <c r="G696" s="1"/>
      <c r="H696" s="161"/>
      <c r="I696" s="37"/>
      <c r="J696" s="135"/>
      <c r="K696" s="112"/>
      <c r="L696" s="37"/>
      <c r="M696" s="37"/>
      <c r="N696" s="37"/>
      <c r="O696" s="130"/>
      <c r="P696" s="132"/>
      <c r="Q696" s="261"/>
      <c r="R696" s="92"/>
    </row>
    <row r="697" spans="3:18" x14ac:dyDescent="0.25">
      <c r="C697" s="263"/>
      <c r="D697" s="157"/>
      <c r="E697" s="44"/>
      <c r="F697" s="127"/>
      <c r="G697" s="1"/>
      <c r="H697" s="161"/>
      <c r="I697" s="37"/>
      <c r="J697" s="135"/>
      <c r="K697" s="112"/>
      <c r="L697" s="37"/>
      <c r="M697" s="37"/>
      <c r="N697" s="37"/>
      <c r="O697" s="130"/>
      <c r="P697" s="132"/>
      <c r="Q697" s="261"/>
      <c r="R697" s="92"/>
    </row>
    <row r="698" spans="3:18" x14ac:dyDescent="0.25">
      <c r="C698" s="263"/>
      <c r="D698" s="157"/>
      <c r="E698" s="44"/>
      <c r="F698" s="127"/>
      <c r="G698" s="1"/>
      <c r="H698" s="161"/>
      <c r="I698" s="37"/>
      <c r="J698" s="135"/>
      <c r="K698" s="112"/>
      <c r="L698" s="37"/>
      <c r="M698" s="37"/>
      <c r="N698" s="37"/>
      <c r="O698" s="130"/>
      <c r="P698" s="132"/>
      <c r="Q698" s="261"/>
      <c r="R698" s="92"/>
    </row>
    <row r="699" spans="3:18" x14ac:dyDescent="0.25">
      <c r="C699" s="263"/>
      <c r="D699" s="157"/>
      <c r="E699" s="44"/>
      <c r="F699" s="127"/>
      <c r="G699" s="1"/>
      <c r="H699" s="161"/>
      <c r="I699" s="37"/>
      <c r="J699" s="135"/>
      <c r="K699" s="112"/>
      <c r="L699" s="37"/>
      <c r="M699" s="37"/>
      <c r="N699" s="37"/>
      <c r="O699" s="130"/>
      <c r="P699" s="132"/>
      <c r="Q699" s="261"/>
      <c r="R699" s="92"/>
    </row>
    <row r="700" spans="3:18" x14ac:dyDescent="0.25">
      <c r="C700" s="263"/>
      <c r="D700" s="157"/>
      <c r="E700" s="44"/>
      <c r="F700" s="127"/>
      <c r="G700" s="1"/>
      <c r="H700" s="161"/>
      <c r="I700" s="37"/>
      <c r="J700" s="135"/>
      <c r="K700" s="112"/>
      <c r="L700" s="37"/>
      <c r="M700" s="37"/>
      <c r="N700" s="37"/>
      <c r="O700" s="130"/>
      <c r="P700" s="132"/>
      <c r="Q700" s="261"/>
      <c r="R700" s="92"/>
    </row>
    <row r="701" spans="3:18" x14ac:dyDescent="0.25">
      <c r="C701" s="263"/>
      <c r="D701" s="157"/>
      <c r="E701" s="44"/>
      <c r="F701" s="127"/>
      <c r="G701" s="1"/>
      <c r="H701" s="161"/>
      <c r="I701" s="37"/>
      <c r="J701" s="135"/>
      <c r="K701" s="112"/>
      <c r="L701" s="37"/>
      <c r="M701" s="37"/>
      <c r="N701" s="37"/>
      <c r="O701" s="130"/>
      <c r="P701" s="132"/>
      <c r="Q701" s="261"/>
      <c r="R701" s="92"/>
    </row>
    <row r="702" spans="3:18" x14ac:dyDescent="0.25">
      <c r="C702" s="263"/>
      <c r="D702" s="157"/>
      <c r="E702" s="44"/>
      <c r="F702" s="127"/>
      <c r="G702" s="1"/>
      <c r="H702" s="161"/>
      <c r="I702" s="37"/>
      <c r="J702" s="135"/>
      <c r="K702" s="112"/>
      <c r="L702" s="37"/>
      <c r="M702" s="37"/>
      <c r="N702" s="37"/>
      <c r="O702" s="130"/>
      <c r="P702" s="132"/>
      <c r="Q702" s="261"/>
      <c r="R702" s="92"/>
    </row>
    <row r="703" spans="3:18" x14ac:dyDescent="0.25">
      <c r="C703" s="263"/>
      <c r="D703" s="157"/>
      <c r="E703" s="44"/>
      <c r="F703" s="127"/>
      <c r="G703" s="1"/>
      <c r="H703" s="161"/>
      <c r="I703" s="37"/>
      <c r="J703" s="135"/>
      <c r="K703" s="112"/>
      <c r="L703" s="37"/>
      <c r="M703" s="37"/>
      <c r="N703" s="37"/>
      <c r="O703" s="130"/>
      <c r="P703" s="132"/>
      <c r="Q703" s="261"/>
      <c r="R703" s="92"/>
    </row>
    <row r="704" spans="3:18" x14ac:dyDescent="0.25">
      <c r="C704" s="263"/>
      <c r="D704" s="157"/>
      <c r="E704" s="44"/>
      <c r="F704" s="127"/>
      <c r="G704" s="1"/>
      <c r="H704" s="161"/>
      <c r="I704" s="37"/>
      <c r="J704" s="135"/>
      <c r="K704" s="112"/>
      <c r="L704" s="37"/>
      <c r="M704" s="37"/>
      <c r="N704" s="37"/>
      <c r="O704" s="130"/>
      <c r="P704" s="132"/>
      <c r="Q704" s="261"/>
      <c r="R704" s="92"/>
    </row>
    <row r="705" spans="3:18" x14ac:dyDescent="0.25">
      <c r="C705" s="263"/>
      <c r="D705" s="157"/>
      <c r="E705" s="44"/>
      <c r="F705" s="127"/>
      <c r="G705" s="1"/>
      <c r="H705" s="161"/>
      <c r="I705" s="37"/>
      <c r="J705" s="135"/>
      <c r="K705" s="112"/>
      <c r="L705" s="37"/>
      <c r="M705" s="37"/>
      <c r="N705" s="37"/>
      <c r="O705" s="130"/>
      <c r="P705" s="132"/>
      <c r="Q705" s="261"/>
      <c r="R705" s="92"/>
    </row>
    <row r="706" spans="3:18" x14ac:dyDescent="0.25">
      <c r="C706" s="263"/>
      <c r="D706" s="157"/>
      <c r="E706" s="44"/>
      <c r="F706" s="127"/>
      <c r="G706" s="1"/>
      <c r="H706" s="161"/>
      <c r="I706" s="37"/>
      <c r="J706" s="135"/>
      <c r="K706" s="112"/>
      <c r="L706" s="37"/>
      <c r="M706" s="37"/>
      <c r="N706" s="37"/>
      <c r="O706" s="130"/>
      <c r="P706" s="132"/>
      <c r="Q706" s="261"/>
      <c r="R706" s="92"/>
    </row>
    <row r="707" spans="3:18" x14ac:dyDescent="0.25">
      <c r="C707" s="263"/>
      <c r="D707" s="157"/>
      <c r="E707" s="44"/>
      <c r="F707" s="127"/>
      <c r="G707" s="1"/>
      <c r="H707" s="161"/>
      <c r="I707" s="37"/>
      <c r="J707" s="135"/>
      <c r="K707" s="112"/>
      <c r="L707" s="37"/>
      <c r="M707" s="37"/>
      <c r="N707" s="37"/>
      <c r="O707" s="130"/>
      <c r="P707" s="132"/>
      <c r="Q707" s="261"/>
      <c r="R707" s="92"/>
    </row>
    <row r="708" spans="3:18" x14ac:dyDescent="0.25">
      <c r="C708" s="263"/>
      <c r="D708" s="157"/>
      <c r="E708" s="44"/>
      <c r="F708" s="127"/>
      <c r="G708" s="1"/>
      <c r="H708" s="161"/>
      <c r="I708" s="37"/>
      <c r="J708" s="135"/>
      <c r="K708" s="112"/>
      <c r="L708" s="37"/>
      <c r="M708" s="37"/>
      <c r="N708" s="37"/>
      <c r="O708" s="130"/>
      <c r="P708" s="132"/>
      <c r="Q708" s="261"/>
      <c r="R708" s="92"/>
    </row>
    <row r="709" spans="3:18" x14ac:dyDescent="0.25">
      <c r="C709" s="263"/>
      <c r="D709" s="157"/>
      <c r="E709" s="44"/>
      <c r="F709" s="127"/>
      <c r="G709" s="1"/>
      <c r="H709" s="161"/>
      <c r="I709" s="37"/>
      <c r="J709" s="135"/>
      <c r="K709" s="112"/>
      <c r="L709" s="37"/>
      <c r="M709" s="37"/>
      <c r="N709" s="37"/>
      <c r="O709" s="130"/>
      <c r="P709" s="132"/>
      <c r="Q709" s="261"/>
      <c r="R709" s="92"/>
    </row>
    <row r="710" spans="3:18" x14ac:dyDescent="0.25">
      <c r="C710" s="263"/>
      <c r="D710" s="157"/>
      <c r="E710" s="44"/>
      <c r="F710" s="127"/>
      <c r="G710" s="1"/>
      <c r="H710" s="161"/>
      <c r="I710" s="37"/>
      <c r="J710" s="135"/>
      <c r="K710" s="112"/>
      <c r="L710" s="37"/>
      <c r="M710" s="37"/>
      <c r="N710" s="37"/>
      <c r="O710" s="130"/>
      <c r="P710" s="132"/>
      <c r="Q710" s="261"/>
      <c r="R710" s="92"/>
    </row>
    <row r="711" spans="3:18" x14ac:dyDescent="0.25">
      <c r="C711" s="263"/>
      <c r="D711" s="157"/>
      <c r="E711" s="44"/>
      <c r="F711" s="127"/>
      <c r="G711" s="1"/>
      <c r="H711" s="161"/>
      <c r="I711" s="37"/>
      <c r="J711" s="135"/>
      <c r="K711" s="112"/>
      <c r="L711" s="37"/>
      <c r="M711" s="37"/>
      <c r="N711" s="37"/>
      <c r="O711" s="130"/>
      <c r="P711" s="132"/>
      <c r="Q711" s="261"/>
      <c r="R711" s="92"/>
    </row>
    <row r="712" spans="3:18" x14ac:dyDescent="0.25">
      <c r="C712" s="263"/>
      <c r="D712" s="157"/>
      <c r="E712" s="44"/>
      <c r="F712" s="127"/>
      <c r="G712" s="1"/>
      <c r="H712" s="161"/>
      <c r="I712" s="37"/>
      <c r="J712" s="135"/>
      <c r="K712" s="112"/>
      <c r="L712" s="37"/>
      <c r="M712" s="37"/>
      <c r="N712" s="37"/>
      <c r="O712" s="130"/>
      <c r="P712" s="132"/>
      <c r="Q712" s="261"/>
      <c r="R712" s="92"/>
    </row>
    <row r="713" spans="3:18" x14ac:dyDescent="0.25">
      <c r="C713" s="263"/>
      <c r="D713" s="157"/>
      <c r="E713" s="44"/>
      <c r="F713" s="127"/>
      <c r="G713" s="1"/>
      <c r="H713" s="161"/>
      <c r="I713" s="37"/>
      <c r="J713" s="135"/>
      <c r="K713" s="112"/>
      <c r="L713" s="37"/>
      <c r="M713" s="37"/>
      <c r="N713" s="37"/>
      <c r="O713" s="130"/>
      <c r="P713" s="132"/>
      <c r="Q713" s="261"/>
      <c r="R713" s="92"/>
    </row>
    <row r="714" spans="3:18" x14ac:dyDescent="0.25">
      <c r="C714" s="263"/>
      <c r="D714" s="157"/>
      <c r="E714" s="44"/>
      <c r="F714" s="127"/>
      <c r="G714" s="1"/>
      <c r="H714" s="161"/>
      <c r="I714" s="37"/>
      <c r="J714" s="135"/>
      <c r="K714" s="112"/>
      <c r="L714" s="37"/>
      <c r="M714" s="37"/>
      <c r="N714" s="37"/>
      <c r="O714" s="130"/>
      <c r="P714" s="132"/>
      <c r="Q714" s="261"/>
      <c r="R714" s="92"/>
    </row>
    <row r="715" spans="3:18" x14ac:dyDescent="0.25">
      <c r="C715" s="263"/>
      <c r="D715" s="157"/>
      <c r="E715" s="44"/>
      <c r="F715" s="127"/>
      <c r="G715" s="1"/>
      <c r="H715" s="161"/>
      <c r="I715" s="37"/>
      <c r="J715" s="135"/>
      <c r="K715" s="112"/>
      <c r="L715" s="37"/>
      <c r="M715" s="37"/>
      <c r="N715" s="37"/>
      <c r="O715" s="130"/>
      <c r="P715" s="132"/>
      <c r="Q715" s="261"/>
      <c r="R715" s="92"/>
    </row>
    <row r="716" spans="3:18" x14ac:dyDescent="0.25">
      <c r="C716" s="263"/>
      <c r="D716" s="157"/>
      <c r="E716" s="44"/>
      <c r="F716" s="127"/>
      <c r="G716" s="1"/>
      <c r="H716" s="161"/>
      <c r="I716" s="37"/>
      <c r="J716" s="135"/>
      <c r="K716" s="112"/>
      <c r="L716" s="37"/>
      <c r="M716" s="37"/>
      <c r="N716" s="37"/>
      <c r="O716" s="130"/>
      <c r="P716" s="132"/>
      <c r="Q716" s="261"/>
      <c r="R716" s="92"/>
    </row>
    <row r="717" spans="3:18" x14ac:dyDescent="0.25">
      <c r="C717" s="263"/>
      <c r="D717" s="157"/>
      <c r="E717" s="44"/>
      <c r="F717" s="127"/>
      <c r="G717" s="1"/>
      <c r="H717" s="161"/>
      <c r="I717" s="37"/>
      <c r="J717" s="135"/>
      <c r="K717" s="112"/>
      <c r="L717" s="37"/>
      <c r="M717" s="37"/>
      <c r="N717" s="37"/>
      <c r="O717" s="130"/>
      <c r="P717" s="132"/>
      <c r="Q717" s="261"/>
      <c r="R717" s="92"/>
    </row>
    <row r="718" spans="3:18" x14ac:dyDescent="0.25">
      <c r="C718" s="263"/>
      <c r="D718" s="157"/>
      <c r="E718" s="44"/>
      <c r="F718" s="127"/>
      <c r="G718" s="1"/>
      <c r="H718" s="161"/>
      <c r="I718" s="37"/>
      <c r="J718" s="135"/>
      <c r="K718" s="112"/>
      <c r="L718" s="37"/>
      <c r="M718" s="37"/>
      <c r="N718" s="37"/>
      <c r="O718" s="130"/>
      <c r="P718" s="132"/>
      <c r="Q718" s="261"/>
      <c r="R718" s="92"/>
    </row>
    <row r="719" spans="3:18" x14ac:dyDescent="0.25">
      <c r="C719" s="263"/>
      <c r="D719" s="157"/>
      <c r="E719" s="44"/>
      <c r="F719" s="127"/>
      <c r="G719" s="1"/>
      <c r="H719" s="161"/>
      <c r="I719" s="37"/>
      <c r="J719" s="135"/>
      <c r="K719" s="112"/>
      <c r="L719" s="37"/>
      <c r="M719" s="37"/>
      <c r="N719" s="37"/>
      <c r="O719" s="130"/>
      <c r="P719" s="132"/>
      <c r="Q719" s="261"/>
      <c r="R719" s="92"/>
    </row>
    <row r="720" spans="3:18" x14ac:dyDescent="0.25">
      <c r="C720" s="263"/>
      <c r="D720" s="157"/>
      <c r="E720" s="44"/>
      <c r="F720" s="127"/>
      <c r="G720" s="1"/>
      <c r="H720" s="161"/>
      <c r="I720" s="37"/>
      <c r="J720" s="135"/>
      <c r="K720" s="112"/>
      <c r="L720" s="37"/>
      <c r="M720" s="37"/>
      <c r="N720" s="37"/>
      <c r="O720" s="130"/>
      <c r="P720" s="132"/>
      <c r="Q720" s="261"/>
      <c r="R720" s="92"/>
    </row>
    <row r="721" spans="3:18" x14ac:dyDescent="0.25">
      <c r="C721" s="263"/>
      <c r="D721" s="157"/>
      <c r="E721" s="44"/>
      <c r="F721" s="127"/>
      <c r="G721" s="1"/>
      <c r="H721" s="161"/>
      <c r="I721" s="37"/>
      <c r="J721" s="135"/>
      <c r="K721" s="112"/>
      <c r="L721" s="37"/>
      <c r="M721" s="37"/>
      <c r="N721" s="37"/>
      <c r="O721" s="130"/>
      <c r="P721" s="132"/>
      <c r="Q721" s="261"/>
      <c r="R721" s="92"/>
    </row>
    <row r="722" spans="3:18" x14ac:dyDescent="0.25">
      <c r="C722" s="263"/>
      <c r="D722" s="157"/>
      <c r="E722" s="44"/>
      <c r="F722" s="127"/>
      <c r="G722" s="1"/>
      <c r="H722" s="161"/>
      <c r="I722" s="37"/>
      <c r="J722" s="135"/>
      <c r="K722" s="112"/>
      <c r="L722" s="37"/>
      <c r="M722" s="37"/>
      <c r="N722" s="37"/>
      <c r="O722" s="130"/>
      <c r="P722" s="132"/>
      <c r="Q722" s="261"/>
      <c r="R722" s="92"/>
    </row>
    <row r="723" spans="3:18" x14ac:dyDescent="0.25">
      <c r="C723" s="263"/>
      <c r="D723" s="157"/>
      <c r="E723" s="44"/>
      <c r="F723" s="127"/>
      <c r="G723" s="1"/>
      <c r="H723" s="161"/>
      <c r="I723" s="37"/>
      <c r="J723" s="135"/>
      <c r="K723" s="112"/>
      <c r="L723" s="37"/>
      <c r="M723" s="37"/>
      <c r="N723" s="37"/>
      <c r="O723" s="130"/>
      <c r="P723" s="132"/>
      <c r="Q723" s="261"/>
      <c r="R723" s="92"/>
    </row>
    <row r="724" spans="3:18" x14ac:dyDescent="0.25">
      <c r="C724" s="263"/>
      <c r="D724" s="157"/>
      <c r="E724" s="44"/>
      <c r="F724" s="127"/>
      <c r="G724" s="1"/>
      <c r="H724" s="161"/>
      <c r="I724" s="37"/>
      <c r="J724" s="135"/>
      <c r="K724" s="112"/>
      <c r="L724" s="37"/>
      <c r="M724" s="37"/>
      <c r="N724" s="37"/>
      <c r="O724" s="130"/>
      <c r="P724" s="132"/>
      <c r="Q724" s="261"/>
      <c r="R724" s="92"/>
    </row>
    <row r="725" spans="3:18" x14ac:dyDescent="0.25">
      <c r="C725" s="263"/>
      <c r="D725" s="157"/>
      <c r="E725" s="44"/>
      <c r="F725" s="127"/>
      <c r="G725" s="1"/>
      <c r="H725" s="161"/>
      <c r="I725" s="37"/>
      <c r="J725" s="135"/>
      <c r="K725" s="112"/>
      <c r="L725" s="37"/>
      <c r="M725" s="37"/>
      <c r="N725" s="37"/>
      <c r="O725" s="130"/>
      <c r="P725" s="132"/>
      <c r="Q725" s="261"/>
      <c r="R725" s="92"/>
    </row>
    <row r="726" spans="3:18" x14ac:dyDescent="0.25">
      <c r="C726" s="263"/>
      <c r="D726" s="157"/>
      <c r="E726" s="44"/>
      <c r="F726" s="127"/>
      <c r="G726" s="1"/>
      <c r="H726" s="161"/>
      <c r="I726" s="37"/>
      <c r="J726" s="135"/>
      <c r="K726" s="112"/>
      <c r="L726" s="37"/>
      <c r="M726" s="37"/>
      <c r="N726" s="37"/>
      <c r="O726" s="130"/>
      <c r="P726" s="132"/>
      <c r="Q726" s="261"/>
      <c r="R726" s="92"/>
    </row>
    <row r="727" spans="3:18" x14ac:dyDescent="0.25">
      <c r="C727" s="263"/>
      <c r="D727" s="157"/>
      <c r="E727" s="44"/>
      <c r="F727" s="127"/>
      <c r="G727" s="1"/>
      <c r="H727" s="161"/>
      <c r="I727" s="37"/>
      <c r="J727" s="135"/>
      <c r="K727" s="112"/>
      <c r="L727" s="37"/>
      <c r="M727" s="37"/>
      <c r="N727" s="37"/>
      <c r="O727" s="130"/>
      <c r="P727" s="132"/>
      <c r="Q727" s="261"/>
      <c r="R727" s="92"/>
    </row>
    <row r="728" spans="3:18" x14ac:dyDescent="0.25">
      <c r="C728" s="263"/>
      <c r="D728" s="157"/>
      <c r="E728" s="44"/>
      <c r="F728" s="127"/>
      <c r="G728" s="1"/>
      <c r="H728" s="161"/>
      <c r="I728" s="37"/>
      <c r="J728" s="135"/>
      <c r="K728" s="112"/>
      <c r="L728" s="37"/>
      <c r="M728" s="37"/>
      <c r="N728" s="37"/>
      <c r="O728" s="130"/>
      <c r="P728" s="132"/>
      <c r="Q728" s="261"/>
      <c r="R728" s="92"/>
    </row>
    <row r="729" spans="3:18" x14ac:dyDescent="0.25">
      <c r="C729" s="263"/>
      <c r="D729" s="157"/>
      <c r="E729" s="44"/>
      <c r="F729" s="127"/>
      <c r="G729" s="1"/>
      <c r="H729" s="161"/>
      <c r="I729" s="37"/>
      <c r="J729" s="135"/>
      <c r="K729" s="112"/>
      <c r="L729" s="37"/>
      <c r="M729" s="37"/>
      <c r="N729" s="37"/>
      <c r="O729" s="130"/>
      <c r="P729" s="132"/>
      <c r="Q729" s="261"/>
      <c r="R729" s="92"/>
    </row>
    <row r="730" spans="3:18" x14ac:dyDescent="0.25">
      <c r="C730" s="263"/>
      <c r="D730" s="157"/>
      <c r="E730" s="44"/>
      <c r="F730" s="127"/>
      <c r="G730" s="1"/>
      <c r="H730" s="161"/>
      <c r="I730" s="37"/>
      <c r="J730" s="135"/>
      <c r="K730" s="112"/>
      <c r="L730" s="37"/>
      <c r="M730" s="37"/>
      <c r="N730" s="37"/>
      <c r="O730" s="130"/>
      <c r="P730" s="132"/>
      <c r="Q730" s="261"/>
      <c r="R730" s="92"/>
    </row>
    <row r="731" spans="3:18" x14ac:dyDescent="0.25">
      <c r="C731" s="263"/>
      <c r="D731" s="157"/>
      <c r="E731" s="44"/>
      <c r="F731" s="127"/>
      <c r="G731" s="1"/>
      <c r="H731" s="161"/>
      <c r="I731" s="37"/>
      <c r="J731" s="135"/>
      <c r="K731" s="112"/>
      <c r="L731" s="37"/>
      <c r="M731" s="37"/>
      <c r="N731" s="37"/>
      <c r="O731" s="130"/>
      <c r="P731" s="132"/>
      <c r="Q731" s="261"/>
      <c r="R731" s="92"/>
    </row>
    <row r="732" spans="3:18" x14ac:dyDescent="0.25">
      <c r="C732" s="263"/>
      <c r="D732" s="157"/>
      <c r="E732" s="44"/>
      <c r="F732" s="127"/>
      <c r="G732" s="1"/>
      <c r="H732" s="161"/>
      <c r="I732" s="37"/>
      <c r="J732" s="135"/>
      <c r="K732" s="112"/>
      <c r="L732" s="37"/>
      <c r="M732" s="37"/>
      <c r="N732" s="37"/>
      <c r="O732" s="130"/>
      <c r="P732" s="132"/>
      <c r="Q732" s="261"/>
      <c r="R732" s="92"/>
    </row>
    <row r="733" spans="3:18" x14ac:dyDescent="0.25">
      <c r="C733" s="263"/>
      <c r="D733" s="157"/>
      <c r="E733" s="44"/>
      <c r="F733" s="127"/>
      <c r="G733" s="1"/>
      <c r="H733" s="161"/>
      <c r="I733" s="37"/>
      <c r="J733" s="135"/>
      <c r="K733" s="112"/>
      <c r="L733" s="37"/>
      <c r="M733" s="37"/>
      <c r="N733" s="37"/>
      <c r="O733" s="130"/>
      <c r="P733" s="132"/>
      <c r="Q733" s="261"/>
      <c r="R733" s="92"/>
    </row>
    <row r="734" spans="3:18" x14ac:dyDescent="0.25">
      <c r="C734" s="263"/>
      <c r="D734" s="157"/>
      <c r="E734" s="44"/>
      <c r="F734" s="127"/>
      <c r="G734" s="1"/>
      <c r="H734" s="161"/>
      <c r="I734" s="37"/>
      <c r="J734" s="135"/>
      <c r="K734" s="112"/>
      <c r="L734" s="37"/>
      <c r="M734" s="37"/>
      <c r="N734" s="37"/>
      <c r="O734" s="130"/>
      <c r="P734" s="132"/>
      <c r="Q734" s="261"/>
      <c r="R734" s="92"/>
    </row>
    <row r="735" spans="3:18" x14ac:dyDescent="0.25">
      <c r="C735" s="263"/>
      <c r="D735" s="157"/>
      <c r="E735" s="44"/>
      <c r="F735" s="127"/>
      <c r="G735" s="1"/>
      <c r="H735" s="161"/>
      <c r="I735" s="37"/>
      <c r="J735" s="135"/>
      <c r="K735" s="112"/>
      <c r="L735" s="37"/>
      <c r="M735" s="37"/>
      <c r="N735" s="37"/>
      <c r="O735" s="130"/>
      <c r="P735" s="132"/>
      <c r="Q735" s="261"/>
      <c r="R735" s="92"/>
    </row>
    <row r="736" spans="3:18" x14ac:dyDescent="0.25">
      <c r="C736" s="263"/>
      <c r="D736" s="157"/>
      <c r="E736" s="44"/>
      <c r="F736" s="127"/>
      <c r="G736" s="1"/>
      <c r="H736" s="161"/>
      <c r="I736" s="37"/>
      <c r="J736" s="135"/>
      <c r="K736" s="112"/>
      <c r="L736" s="37"/>
      <c r="M736" s="37"/>
      <c r="N736" s="37"/>
      <c r="O736" s="130"/>
      <c r="P736" s="132"/>
      <c r="Q736" s="261"/>
      <c r="R736" s="92"/>
    </row>
    <row r="737" spans="3:18" x14ac:dyDescent="0.25">
      <c r="C737" s="263"/>
      <c r="D737" s="157"/>
      <c r="E737" s="44"/>
      <c r="F737" s="127"/>
      <c r="G737" s="1"/>
      <c r="H737" s="161"/>
      <c r="I737" s="37"/>
      <c r="J737" s="135"/>
      <c r="K737" s="112"/>
      <c r="L737" s="37"/>
      <c r="M737" s="37"/>
      <c r="N737" s="37"/>
      <c r="O737" s="130"/>
      <c r="P737" s="132"/>
      <c r="Q737" s="261"/>
      <c r="R737" s="92"/>
    </row>
    <row r="738" spans="3:18" x14ac:dyDescent="0.25">
      <c r="C738" s="263"/>
      <c r="D738" s="157"/>
      <c r="E738" s="44"/>
      <c r="F738" s="127"/>
      <c r="G738" s="1"/>
      <c r="H738" s="161"/>
      <c r="I738" s="37"/>
      <c r="J738" s="135"/>
      <c r="K738" s="112"/>
      <c r="L738" s="37"/>
      <c r="M738" s="37"/>
      <c r="N738" s="37"/>
      <c r="O738" s="130"/>
      <c r="P738" s="132"/>
      <c r="Q738" s="261"/>
      <c r="R738" s="92"/>
    </row>
    <row r="739" spans="3:18" x14ac:dyDescent="0.25">
      <c r="C739" s="263"/>
      <c r="D739" s="157"/>
      <c r="E739" s="44"/>
      <c r="F739" s="127"/>
      <c r="G739" s="1"/>
      <c r="H739" s="161"/>
      <c r="I739" s="37"/>
      <c r="J739" s="135"/>
      <c r="K739" s="112"/>
      <c r="L739" s="37"/>
      <c r="M739" s="37"/>
      <c r="N739" s="37"/>
      <c r="O739" s="130"/>
      <c r="P739" s="132"/>
      <c r="Q739" s="261"/>
      <c r="R739" s="92"/>
    </row>
    <row r="740" spans="3:18" x14ac:dyDescent="0.25">
      <c r="C740" s="263"/>
      <c r="D740" s="157"/>
      <c r="E740" s="44"/>
      <c r="F740" s="127"/>
      <c r="G740" s="1"/>
      <c r="H740" s="161"/>
      <c r="I740" s="37"/>
      <c r="J740" s="135"/>
      <c r="K740" s="112"/>
      <c r="L740" s="37"/>
      <c r="M740" s="37"/>
      <c r="N740" s="37"/>
      <c r="O740" s="130"/>
      <c r="P740" s="132"/>
      <c r="Q740" s="261"/>
      <c r="R740" s="92"/>
    </row>
    <row r="741" spans="3:18" x14ac:dyDescent="0.25">
      <c r="C741" s="263"/>
      <c r="D741" s="157"/>
      <c r="E741" s="44"/>
      <c r="F741" s="127"/>
      <c r="G741" s="1"/>
      <c r="H741" s="161"/>
      <c r="I741" s="37"/>
      <c r="J741" s="135"/>
      <c r="K741" s="112"/>
      <c r="L741" s="37"/>
      <c r="M741" s="37"/>
      <c r="N741" s="37"/>
      <c r="O741" s="130"/>
      <c r="P741" s="132"/>
      <c r="Q741" s="261"/>
      <c r="R741" s="92"/>
    </row>
    <row r="742" spans="3:18" x14ac:dyDescent="0.25">
      <c r="C742" s="263"/>
      <c r="D742" s="157"/>
      <c r="E742" s="44"/>
      <c r="F742" s="127"/>
      <c r="G742" s="1"/>
      <c r="H742" s="161"/>
      <c r="I742" s="37"/>
      <c r="J742" s="135"/>
      <c r="K742" s="112"/>
      <c r="L742" s="37"/>
      <c r="M742" s="37"/>
      <c r="N742" s="37"/>
      <c r="O742" s="130"/>
      <c r="P742" s="132"/>
      <c r="Q742" s="261"/>
      <c r="R742" s="92"/>
    </row>
    <row r="743" spans="3:18" x14ac:dyDescent="0.25">
      <c r="C743" s="263"/>
      <c r="D743" s="157"/>
      <c r="E743" s="44"/>
      <c r="F743" s="127"/>
      <c r="G743" s="1"/>
      <c r="H743" s="161"/>
      <c r="I743" s="37"/>
      <c r="J743" s="135"/>
      <c r="K743" s="112"/>
      <c r="L743" s="37"/>
      <c r="M743" s="37"/>
      <c r="N743" s="37"/>
      <c r="O743" s="130"/>
      <c r="P743" s="132"/>
      <c r="Q743" s="261"/>
      <c r="R743" s="92"/>
    </row>
    <row r="744" spans="3:18" x14ac:dyDescent="0.25">
      <c r="C744" s="263"/>
      <c r="D744" s="157"/>
      <c r="E744" s="44"/>
      <c r="F744" s="127"/>
      <c r="G744" s="1"/>
      <c r="H744" s="161"/>
      <c r="I744" s="37"/>
      <c r="J744" s="135"/>
      <c r="K744" s="112"/>
      <c r="L744" s="37"/>
      <c r="M744" s="37"/>
      <c r="N744" s="37"/>
      <c r="O744" s="130"/>
      <c r="P744" s="132"/>
      <c r="Q744" s="261"/>
      <c r="R744" s="92"/>
    </row>
    <row r="745" spans="3:18" x14ac:dyDescent="0.25">
      <c r="C745" s="263"/>
      <c r="D745" s="157"/>
      <c r="E745" s="44"/>
      <c r="F745" s="127"/>
      <c r="G745" s="1"/>
      <c r="H745" s="161"/>
      <c r="I745" s="37"/>
      <c r="J745" s="135"/>
      <c r="K745" s="112"/>
      <c r="L745" s="37"/>
      <c r="M745" s="37"/>
      <c r="N745" s="37"/>
      <c r="O745" s="130"/>
      <c r="P745" s="132"/>
      <c r="Q745" s="261"/>
      <c r="R745" s="92"/>
    </row>
    <row r="746" spans="3:18" x14ac:dyDescent="0.25">
      <c r="C746" s="263"/>
      <c r="D746" s="157"/>
      <c r="E746" s="44"/>
      <c r="F746" s="127"/>
      <c r="G746" s="1"/>
      <c r="H746" s="161"/>
      <c r="I746" s="37"/>
      <c r="J746" s="135"/>
      <c r="K746" s="112"/>
      <c r="L746" s="37"/>
      <c r="M746" s="37"/>
      <c r="N746" s="37"/>
      <c r="O746" s="130"/>
      <c r="P746" s="132"/>
      <c r="Q746" s="261"/>
      <c r="R746" s="92"/>
    </row>
    <row r="747" spans="3:18" x14ac:dyDescent="0.25">
      <c r="C747" s="263"/>
      <c r="D747" s="157"/>
      <c r="E747" s="44"/>
      <c r="F747" s="127"/>
      <c r="G747" s="1"/>
      <c r="H747" s="161"/>
      <c r="I747" s="37"/>
      <c r="J747" s="135"/>
      <c r="K747" s="112"/>
      <c r="L747" s="37"/>
      <c r="M747" s="37"/>
      <c r="N747" s="37"/>
      <c r="O747" s="130"/>
      <c r="P747" s="132"/>
      <c r="Q747" s="261"/>
      <c r="R747" s="92"/>
    </row>
    <row r="748" spans="3:18" x14ac:dyDescent="0.25">
      <c r="C748" s="263"/>
      <c r="D748" s="157"/>
      <c r="E748" s="44"/>
      <c r="F748" s="127"/>
      <c r="G748" s="1"/>
      <c r="H748" s="161"/>
      <c r="I748" s="37"/>
      <c r="J748" s="135"/>
      <c r="K748" s="112"/>
      <c r="L748" s="37"/>
      <c r="M748" s="37"/>
      <c r="N748" s="37"/>
      <c r="O748" s="130"/>
      <c r="P748" s="132"/>
      <c r="Q748" s="261"/>
      <c r="R748" s="92"/>
    </row>
    <row r="749" spans="3:18" x14ac:dyDescent="0.25">
      <c r="C749" s="263"/>
      <c r="D749" s="157"/>
      <c r="E749" s="44"/>
      <c r="F749" s="127"/>
      <c r="G749" s="1"/>
      <c r="H749" s="161"/>
      <c r="I749" s="37"/>
      <c r="J749" s="135"/>
      <c r="K749" s="112"/>
      <c r="L749" s="37"/>
      <c r="M749" s="37"/>
      <c r="N749" s="37"/>
      <c r="O749" s="130"/>
      <c r="P749" s="132"/>
      <c r="Q749" s="261"/>
      <c r="R749" s="92"/>
    </row>
    <row r="750" spans="3:18" x14ac:dyDescent="0.25">
      <c r="C750" s="263"/>
      <c r="D750" s="157"/>
      <c r="E750" s="44"/>
      <c r="F750" s="127"/>
      <c r="G750" s="1"/>
      <c r="H750" s="161"/>
      <c r="I750" s="37"/>
      <c r="J750" s="135"/>
      <c r="K750" s="112"/>
      <c r="L750" s="37"/>
      <c r="M750" s="37"/>
      <c r="N750" s="37"/>
      <c r="O750" s="130"/>
      <c r="P750" s="132"/>
      <c r="Q750" s="261"/>
      <c r="R750" s="92"/>
    </row>
    <row r="751" spans="3:18" x14ac:dyDescent="0.25">
      <c r="C751" s="263"/>
      <c r="D751" s="157"/>
      <c r="E751" s="44"/>
      <c r="F751" s="127"/>
      <c r="G751" s="1"/>
      <c r="H751" s="161"/>
      <c r="I751" s="37"/>
      <c r="J751" s="135"/>
      <c r="K751" s="112"/>
      <c r="L751" s="37"/>
      <c r="M751" s="37"/>
      <c r="N751" s="37"/>
      <c r="O751" s="130"/>
      <c r="P751" s="132"/>
      <c r="Q751" s="261"/>
      <c r="R751" s="92"/>
    </row>
    <row r="752" spans="3:18" x14ac:dyDescent="0.25">
      <c r="C752" s="263"/>
      <c r="D752" s="157"/>
      <c r="E752" s="44"/>
      <c r="F752" s="127"/>
      <c r="G752" s="1"/>
      <c r="H752" s="161"/>
      <c r="I752" s="37"/>
      <c r="J752" s="135"/>
      <c r="K752" s="112"/>
      <c r="L752" s="37"/>
      <c r="M752" s="37"/>
      <c r="N752" s="37"/>
      <c r="O752" s="130"/>
      <c r="P752" s="132"/>
      <c r="Q752" s="261"/>
      <c r="R752" s="92"/>
    </row>
    <row r="753" spans="3:18" x14ac:dyDescent="0.25">
      <c r="C753" s="263"/>
      <c r="D753" s="157"/>
      <c r="E753" s="44"/>
      <c r="F753" s="127"/>
      <c r="G753" s="1"/>
      <c r="H753" s="161"/>
      <c r="I753" s="37"/>
      <c r="J753" s="135"/>
      <c r="K753" s="112"/>
      <c r="L753" s="37"/>
      <c r="M753" s="37"/>
      <c r="N753" s="37"/>
      <c r="O753" s="130"/>
      <c r="P753" s="132"/>
      <c r="Q753" s="261"/>
      <c r="R753" s="92"/>
    </row>
    <row r="754" spans="3:18" x14ac:dyDescent="0.25">
      <c r="C754" s="263"/>
      <c r="D754" s="157"/>
      <c r="E754" s="44"/>
      <c r="F754" s="127"/>
      <c r="G754" s="1"/>
      <c r="H754" s="161"/>
      <c r="I754" s="37"/>
      <c r="J754" s="135"/>
      <c r="K754" s="112"/>
      <c r="L754" s="37"/>
      <c r="M754" s="37"/>
      <c r="N754" s="37"/>
      <c r="O754" s="130"/>
      <c r="P754" s="132"/>
      <c r="Q754" s="261"/>
      <c r="R754" s="92"/>
    </row>
    <row r="755" spans="3:18" x14ac:dyDescent="0.25">
      <c r="C755" s="263"/>
      <c r="D755" s="157"/>
      <c r="E755" s="44"/>
      <c r="F755" s="127"/>
      <c r="G755" s="1"/>
      <c r="H755" s="161"/>
      <c r="I755" s="37"/>
      <c r="J755" s="135"/>
      <c r="K755" s="112"/>
      <c r="L755" s="37"/>
      <c r="M755" s="37"/>
      <c r="N755" s="37"/>
      <c r="O755" s="130"/>
      <c r="P755" s="132"/>
      <c r="Q755" s="261"/>
      <c r="R755" s="92"/>
    </row>
    <row r="756" spans="3:18" x14ac:dyDescent="0.25">
      <c r="C756" s="263"/>
      <c r="D756" s="157"/>
      <c r="E756" s="44"/>
      <c r="F756" s="127"/>
      <c r="G756" s="1"/>
      <c r="H756" s="161"/>
      <c r="I756" s="37"/>
      <c r="J756" s="135"/>
      <c r="K756" s="112"/>
      <c r="L756" s="37"/>
      <c r="M756" s="37"/>
      <c r="N756" s="37"/>
      <c r="O756" s="130"/>
      <c r="P756" s="132"/>
      <c r="Q756" s="261"/>
      <c r="R756" s="92"/>
    </row>
    <row r="757" spans="3:18" x14ac:dyDescent="0.25">
      <c r="C757" s="263"/>
      <c r="D757" s="157"/>
      <c r="E757" s="44"/>
      <c r="F757" s="127"/>
      <c r="G757" s="1"/>
      <c r="H757" s="161"/>
      <c r="I757" s="37"/>
      <c r="J757" s="135"/>
      <c r="K757" s="112"/>
      <c r="L757" s="37"/>
      <c r="M757" s="37"/>
      <c r="N757" s="37"/>
      <c r="O757" s="130"/>
      <c r="P757" s="132"/>
      <c r="Q757" s="261"/>
      <c r="R757" s="92"/>
    </row>
    <row r="758" spans="3:18" x14ac:dyDescent="0.25">
      <c r="C758" s="263"/>
      <c r="D758" s="157"/>
      <c r="E758" s="44"/>
      <c r="F758" s="127"/>
      <c r="G758" s="1"/>
      <c r="H758" s="161"/>
      <c r="I758" s="37"/>
      <c r="J758" s="135"/>
      <c r="K758" s="112"/>
      <c r="L758" s="37"/>
      <c r="M758" s="37"/>
      <c r="N758" s="37"/>
      <c r="O758" s="130"/>
      <c r="P758" s="132"/>
      <c r="Q758" s="261"/>
      <c r="R758" s="92"/>
    </row>
    <row r="759" spans="3:18" x14ac:dyDescent="0.25">
      <c r="C759" s="263"/>
      <c r="D759" s="157"/>
      <c r="E759" s="44"/>
      <c r="F759" s="127"/>
      <c r="G759" s="1"/>
      <c r="H759" s="161"/>
      <c r="I759" s="37"/>
      <c r="J759" s="135"/>
      <c r="K759" s="112"/>
      <c r="L759" s="37"/>
      <c r="M759" s="37"/>
      <c r="N759" s="37"/>
      <c r="O759" s="130"/>
      <c r="P759" s="132"/>
      <c r="Q759" s="261"/>
      <c r="R759" s="92"/>
    </row>
    <row r="760" spans="3:18" x14ac:dyDescent="0.25">
      <c r="C760" s="263"/>
      <c r="D760" s="157"/>
      <c r="E760" s="44"/>
      <c r="F760" s="127"/>
      <c r="G760" s="1"/>
      <c r="H760" s="161"/>
      <c r="I760" s="37"/>
      <c r="J760" s="135"/>
      <c r="K760" s="112"/>
      <c r="L760" s="37"/>
      <c r="M760" s="37"/>
      <c r="N760" s="37"/>
      <c r="O760" s="130"/>
      <c r="P760" s="132"/>
      <c r="Q760" s="261"/>
      <c r="R760" s="92"/>
    </row>
    <row r="761" spans="3:18" x14ac:dyDescent="0.25">
      <c r="C761" s="263"/>
      <c r="D761" s="157"/>
      <c r="E761" s="44"/>
      <c r="F761" s="127"/>
      <c r="G761" s="1"/>
      <c r="H761" s="161"/>
      <c r="I761" s="37"/>
      <c r="J761" s="135"/>
      <c r="K761" s="112"/>
      <c r="L761" s="37"/>
      <c r="M761" s="37"/>
      <c r="N761" s="37"/>
      <c r="O761" s="130"/>
      <c r="P761" s="132"/>
      <c r="Q761" s="261"/>
      <c r="R761" s="92"/>
    </row>
    <row r="762" spans="3:18" x14ac:dyDescent="0.25">
      <c r="C762" s="263"/>
      <c r="D762" s="157"/>
      <c r="E762" s="44"/>
      <c r="F762" s="127"/>
      <c r="G762" s="1"/>
      <c r="H762" s="161"/>
      <c r="I762" s="37"/>
      <c r="J762" s="135"/>
      <c r="K762" s="112"/>
      <c r="L762" s="37"/>
      <c r="M762" s="37"/>
      <c r="N762" s="37"/>
      <c r="O762" s="130"/>
      <c r="P762" s="132"/>
      <c r="Q762" s="261"/>
      <c r="R762" s="92"/>
    </row>
    <row r="763" spans="3:18" x14ac:dyDescent="0.25">
      <c r="C763" s="263"/>
      <c r="D763" s="157"/>
      <c r="E763" s="44"/>
      <c r="F763" s="127"/>
      <c r="G763" s="1"/>
      <c r="H763" s="161"/>
      <c r="I763" s="37"/>
      <c r="J763" s="135"/>
      <c r="K763" s="112"/>
      <c r="L763" s="37"/>
      <c r="M763" s="37"/>
      <c r="N763" s="37"/>
      <c r="O763" s="130"/>
      <c r="P763" s="132"/>
      <c r="Q763" s="261"/>
      <c r="R763" s="92"/>
    </row>
    <row r="764" spans="3:18" x14ac:dyDescent="0.25">
      <c r="C764" s="263"/>
      <c r="D764" s="157"/>
      <c r="E764" s="44"/>
      <c r="F764" s="127"/>
      <c r="G764" s="1"/>
      <c r="H764" s="161"/>
      <c r="I764" s="37"/>
      <c r="J764" s="135"/>
      <c r="K764" s="112"/>
      <c r="L764" s="37"/>
      <c r="M764" s="37"/>
      <c r="N764" s="37"/>
      <c r="O764" s="130"/>
      <c r="P764" s="132"/>
      <c r="Q764" s="261"/>
      <c r="R764" s="92"/>
    </row>
    <row r="765" spans="3:18" x14ac:dyDescent="0.25">
      <c r="C765" s="263"/>
      <c r="D765" s="157"/>
      <c r="E765" s="44"/>
      <c r="F765" s="127"/>
      <c r="G765" s="1"/>
      <c r="H765" s="161"/>
      <c r="I765" s="37"/>
      <c r="J765" s="135"/>
      <c r="K765" s="112"/>
      <c r="L765" s="37"/>
      <c r="M765" s="37"/>
      <c r="N765" s="37"/>
      <c r="O765" s="130"/>
      <c r="P765" s="132"/>
      <c r="Q765" s="261"/>
      <c r="R765" s="92"/>
    </row>
    <row r="766" spans="3:18" x14ac:dyDescent="0.25">
      <c r="C766" s="263"/>
      <c r="D766" s="157"/>
      <c r="E766" s="44"/>
      <c r="F766" s="127"/>
      <c r="G766" s="1"/>
      <c r="H766" s="161"/>
      <c r="I766" s="37"/>
      <c r="J766" s="135"/>
      <c r="K766" s="112"/>
      <c r="L766" s="37"/>
      <c r="M766" s="37"/>
      <c r="N766" s="37"/>
      <c r="O766" s="130"/>
      <c r="P766" s="132"/>
      <c r="Q766" s="261"/>
      <c r="R766" s="92"/>
    </row>
    <row r="767" spans="3:18" x14ac:dyDescent="0.25">
      <c r="C767" s="263"/>
      <c r="D767" s="157"/>
      <c r="E767" s="44"/>
      <c r="F767" s="127"/>
      <c r="G767" s="1"/>
      <c r="H767" s="161"/>
      <c r="I767" s="37"/>
      <c r="J767" s="135"/>
      <c r="K767" s="112"/>
      <c r="L767" s="37"/>
      <c r="M767" s="37"/>
      <c r="N767" s="37"/>
      <c r="O767" s="130"/>
      <c r="P767" s="132"/>
      <c r="Q767" s="261"/>
      <c r="R767" s="92"/>
    </row>
    <row r="768" spans="3:18" x14ac:dyDescent="0.25">
      <c r="C768" s="263"/>
      <c r="D768" s="157"/>
      <c r="E768" s="44"/>
      <c r="F768" s="127"/>
      <c r="G768" s="1"/>
      <c r="H768" s="161"/>
      <c r="I768" s="37"/>
      <c r="J768" s="135"/>
      <c r="K768" s="112"/>
      <c r="L768" s="37"/>
      <c r="M768" s="37"/>
      <c r="N768" s="37"/>
      <c r="O768" s="130"/>
      <c r="P768" s="132"/>
      <c r="Q768" s="261"/>
      <c r="R768" s="92"/>
    </row>
    <row r="769" spans="3:18" x14ac:dyDescent="0.25">
      <c r="C769" s="263"/>
      <c r="D769" s="157"/>
      <c r="E769" s="44"/>
      <c r="F769" s="127"/>
      <c r="G769" s="1"/>
      <c r="H769" s="161"/>
      <c r="I769" s="37"/>
      <c r="J769" s="135"/>
      <c r="K769" s="112"/>
      <c r="L769" s="37"/>
      <c r="M769" s="37"/>
      <c r="N769" s="37"/>
      <c r="O769" s="130"/>
      <c r="P769" s="132"/>
      <c r="Q769" s="261"/>
      <c r="R769" s="92"/>
    </row>
    <row r="770" spans="3:18" x14ac:dyDescent="0.25">
      <c r="C770" s="263"/>
      <c r="D770" s="157"/>
      <c r="E770" s="44"/>
      <c r="F770" s="127"/>
      <c r="G770" s="1"/>
      <c r="H770" s="161"/>
      <c r="I770" s="37"/>
      <c r="J770" s="135"/>
      <c r="K770" s="112"/>
      <c r="L770" s="37"/>
      <c r="M770" s="37"/>
      <c r="N770" s="37"/>
      <c r="O770" s="130"/>
      <c r="P770" s="132"/>
      <c r="Q770" s="261"/>
      <c r="R770" s="92"/>
    </row>
    <row r="771" spans="3:18" x14ac:dyDescent="0.25">
      <c r="C771" s="263"/>
      <c r="D771" s="157"/>
      <c r="E771" s="44"/>
      <c r="F771" s="127"/>
      <c r="G771" s="1"/>
      <c r="H771" s="161"/>
      <c r="I771" s="37"/>
      <c r="J771" s="135"/>
      <c r="K771" s="112"/>
      <c r="L771" s="37"/>
      <c r="M771" s="37"/>
      <c r="N771" s="37"/>
      <c r="O771" s="130"/>
      <c r="P771" s="132"/>
      <c r="Q771" s="261"/>
      <c r="R771" s="92"/>
    </row>
    <row r="772" spans="3:18" x14ac:dyDescent="0.25">
      <c r="C772" s="263"/>
      <c r="D772" s="157"/>
      <c r="E772" s="44"/>
      <c r="F772" s="127"/>
      <c r="G772" s="1"/>
      <c r="H772" s="161"/>
      <c r="I772" s="37"/>
      <c r="J772" s="135"/>
      <c r="K772" s="112"/>
      <c r="L772" s="37"/>
      <c r="M772" s="37"/>
      <c r="N772" s="37"/>
      <c r="O772" s="130"/>
      <c r="P772" s="132"/>
      <c r="Q772" s="261"/>
      <c r="R772" s="92"/>
    </row>
    <row r="773" spans="3:18" x14ac:dyDescent="0.25">
      <c r="C773" s="263"/>
      <c r="D773" s="157"/>
      <c r="E773" s="44"/>
      <c r="F773" s="127"/>
      <c r="G773" s="1"/>
      <c r="H773" s="161"/>
      <c r="I773" s="37"/>
      <c r="J773" s="135"/>
      <c r="K773" s="112"/>
      <c r="L773" s="37"/>
      <c r="M773" s="37"/>
      <c r="N773" s="37"/>
      <c r="O773" s="130"/>
      <c r="P773" s="132"/>
      <c r="Q773" s="261"/>
      <c r="R773" s="92"/>
    </row>
    <row r="774" spans="3:18" x14ac:dyDescent="0.25">
      <c r="C774" s="263"/>
      <c r="D774" s="157"/>
      <c r="E774" s="44"/>
      <c r="F774" s="127"/>
      <c r="G774" s="1"/>
      <c r="H774" s="161"/>
      <c r="I774" s="37"/>
      <c r="J774" s="135"/>
      <c r="K774" s="112"/>
      <c r="L774" s="37"/>
      <c r="M774" s="37"/>
      <c r="N774" s="37"/>
      <c r="O774" s="130"/>
      <c r="P774" s="132"/>
      <c r="Q774" s="261"/>
      <c r="R774" s="92"/>
    </row>
    <row r="775" spans="3:18" x14ac:dyDescent="0.25">
      <c r="C775" s="263"/>
      <c r="D775" s="157"/>
      <c r="E775" s="44"/>
      <c r="F775" s="127"/>
      <c r="G775" s="1"/>
      <c r="H775" s="161"/>
      <c r="I775" s="37"/>
      <c r="J775" s="135"/>
      <c r="K775" s="112"/>
      <c r="L775" s="37"/>
      <c r="M775" s="37"/>
      <c r="N775" s="37"/>
      <c r="O775" s="130"/>
      <c r="P775" s="132"/>
      <c r="Q775" s="261"/>
      <c r="R775" s="92"/>
    </row>
    <row r="776" spans="3:18" x14ac:dyDescent="0.25">
      <c r="C776" s="263"/>
      <c r="D776" s="157"/>
      <c r="E776" s="44"/>
      <c r="F776" s="127"/>
      <c r="G776" s="1"/>
      <c r="H776" s="161"/>
      <c r="I776" s="37"/>
      <c r="J776" s="135"/>
      <c r="K776" s="112"/>
      <c r="L776" s="37"/>
      <c r="M776" s="37"/>
      <c r="N776" s="37"/>
      <c r="O776" s="130"/>
      <c r="P776" s="132"/>
      <c r="Q776" s="261"/>
      <c r="R776" s="92"/>
    </row>
    <row r="777" spans="3:18" x14ac:dyDescent="0.25">
      <c r="C777" s="263"/>
      <c r="D777" s="157"/>
      <c r="E777" s="44"/>
      <c r="F777" s="127"/>
      <c r="G777" s="1"/>
      <c r="H777" s="161"/>
      <c r="I777" s="37"/>
      <c r="J777" s="135"/>
      <c r="K777" s="112"/>
      <c r="L777" s="37"/>
      <c r="M777" s="37"/>
      <c r="N777" s="37"/>
      <c r="O777" s="130"/>
      <c r="P777" s="132"/>
      <c r="Q777" s="261"/>
      <c r="R777" s="92"/>
    </row>
    <row r="778" spans="3:18" x14ac:dyDescent="0.25">
      <c r="C778" s="263"/>
      <c r="D778" s="157"/>
      <c r="E778" s="44"/>
      <c r="F778" s="127"/>
      <c r="G778" s="1"/>
      <c r="H778" s="161"/>
      <c r="I778" s="37"/>
      <c r="J778" s="135"/>
      <c r="K778" s="112"/>
      <c r="L778" s="37"/>
      <c r="M778" s="37"/>
      <c r="N778" s="37"/>
      <c r="O778" s="130"/>
      <c r="P778" s="132"/>
      <c r="Q778" s="261"/>
      <c r="R778" s="92"/>
    </row>
    <row r="779" spans="3:18" x14ac:dyDescent="0.25">
      <c r="C779" s="263"/>
      <c r="D779" s="157"/>
      <c r="E779" s="44"/>
      <c r="F779" s="127"/>
      <c r="G779" s="1"/>
      <c r="H779" s="161"/>
      <c r="I779" s="37"/>
      <c r="J779" s="135"/>
      <c r="K779" s="112"/>
      <c r="L779" s="37"/>
      <c r="M779" s="37"/>
      <c r="N779" s="37"/>
      <c r="O779" s="130"/>
      <c r="P779" s="132"/>
      <c r="Q779" s="261"/>
      <c r="R779" s="92"/>
    </row>
    <row r="780" spans="3:18" x14ac:dyDescent="0.25">
      <c r="C780" s="263"/>
      <c r="D780" s="157"/>
      <c r="E780" s="44"/>
      <c r="F780" s="127"/>
      <c r="G780" s="1"/>
      <c r="H780" s="161"/>
      <c r="I780" s="37"/>
      <c r="J780" s="135"/>
      <c r="K780" s="112"/>
      <c r="L780" s="37"/>
      <c r="M780" s="37"/>
      <c r="N780" s="37"/>
      <c r="O780" s="130"/>
      <c r="P780" s="132"/>
      <c r="Q780" s="261"/>
      <c r="R780" s="92"/>
    </row>
    <row r="781" spans="3:18" x14ac:dyDescent="0.25">
      <c r="C781" s="263"/>
      <c r="D781" s="157"/>
      <c r="E781" s="44"/>
      <c r="F781" s="127"/>
      <c r="G781" s="1"/>
      <c r="H781" s="161"/>
      <c r="I781" s="37"/>
      <c r="J781" s="135"/>
      <c r="K781" s="112"/>
      <c r="L781" s="37"/>
      <c r="M781" s="37"/>
      <c r="N781" s="37"/>
      <c r="O781" s="130"/>
      <c r="P781" s="132"/>
      <c r="Q781" s="261"/>
      <c r="R781" s="92"/>
    </row>
    <row r="782" spans="3:18" x14ac:dyDescent="0.25">
      <c r="C782" s="263"/>
      <c r="D782" s="157"/>
      <c r="E782" s="44"/>
      <c r="F782" s="127"/>
      <c r="G782" s="1"/>
      <c r="H782" s="161"/>
      <c r="I782" s="37"/>
      <c r="J782" s="135"/>
      <c r="K782" s="112"/>
      <c r="L782" s="37"/>
      <c r="M782" s="37"/>
      <c r="N782" s="37"/>
      <c r="O782" s="130"/>
      <c r="P782" s="132"/>
      <c r="Q782" s="261"/>
      <c r="R782" s="92"/>
    </row>
    <row r="783" spans="3:18" x14ac:dyDescent="0.25">
      <c r="C783" s="263"/>
      <c r="D783" s="157"/>
      <c r="E783" s="44"/>
      <c r="F783" s="127"/>
      <c r="G783" s="1"/>
      <c r="H783" s="161"/>
      <c r="I783" s="37"/>
      <c r="J783" s="135"/>
      <c r="K783" s="112"/>
      <c r="L783" s="37"/>
      <c r="M783" s="37"/>
      <c r="N783" s="37"/>
      <c r="O783" s="130"/>
      <c r="P783" s="132"/>
      <c r="Q783" s="261"/>
      <c r="R783" s="92"/>
    </row>
    <row r="784" spans="3:18" x14ac:dyDescent="0.25">
      <c r="C784" s="263"/>
      <c r="D784" s="157"/>
      <c r="E784" s="44"/>
      <c r="F784" s="127"/>
      <c r="G784" s="1"/>
      <c r="H784" s="161"/>
      <c r="I784" s="37"/>
      <c r="J784" s="135"/>
      <c r="K784" s="112"/>
      <c r="L784" s="37"/>
      <c r="M784" s="37"/>
      <c r="N784" s="37"/>
      <c r="O784" s="130"/>
      <c r="P784" s="132"/>
      <c r="Q784" s="261"/>
      <c r="R784" s="92"/>
    </row>
    <row r="785" spans="3:18" x14ac:dyDescent="0.25">
      <c r="C785" s="263"/>
      <c r="D785" s="157"/>
      <c r="E785" s="44"/>
      <c r="F785" s="127"/>
      <c r="G785" s="1"/>
      <c r="H785" s="161"/>
      <c r="I785" s="37"/>
      <c r="J785" s="135"/>
      <c r="K785" s="112"/>
      <c r="L785" s="37"/>
      <c r="M785" s="37"/>
      <c r="N785" s="37"/>
      <c r="O785" s="130"/>
      <c r="P785" s="132"/>
      <c r="Q785" s="261"/>
      <c r="R785" s="92"/>
    </row>
    <row r="786" spans="3:18" x14ac:dyDescent="0.25">
      <c r="C786" s="263"/>
      <c r="D786" s="157"/>
      <c r="E786" s="44"/>
      <c r="F786" s="127"/>
      <c r="G786" s="1"/>
      <c r="H786" s="161"/>
      <c r="I786" s="37"/>
      <c r="J786" s="135"/>
      <c r="K786" s="112"/>
      <c r="L786" s="37"/>
      <c r="M786" s="37"/>
      <c r="N786" s="37"/>
      <c r="O786" s="130"/>
      <c r="P786" s="132"/>
      <c r="Q786" s="261"/>
      <c r="R786" s="92"/>
    </row>
    <row r="787" spans="3:18" x14ac:dyDescent="0.25">
      <c r="C787" s="263"/>
      <c r="D787" s="157"/>
      <c r="E787" s="44"/>
      <c r="F787" s="127"/>
      <c r="G787" s="1"/>
      <c r="H787" s="161"/>
      <c r="I787" s="37"/>
      <c r="J787" s="135"/>
      <c r="K787" s="112"/>
      <c r="L787" s="37"/>
      <c r="M787" s="37"/>
      <c r="N787" s="37"/>
      <c r="O787" s="130"/>
      <c r="P787" s="132"/>
      <c r="Q787" s="261"/>
      <c r="R787" s="92"/>
    </row>
    <row r="788" spans="3:18" x14ac:dyDescent="0.25">
      <c r="C788" s="263"/>
      <c r="D788" s="157"/>
      <c r="E788" s="44"/>
      <c r="F788" s="127"/>
      <c r="G788" s="1"/>
      <c r="H788" s="161"/>
      <c r="I788" s="37"/>
      <c r="J788" s="135"/>
      <c r="K788" s="112"/>
      <c r="L788" s="37"/>
      <c r="M788" s="37"/>
      <c r="N788" s="37"/>
      <c r="O788" s="130"/>
      <c r="P788" s="132"/>
      <c r="Q788" s="261"/>
      <c r="R788" s="92"/>
    </row>
    <row r="789" spans="3:18" x14ac:dyDescent="0.25">
      <c r="C789" s="263"/>
      <c r="D789" s="157"/>
      <c r="E789" s="44"/>
      <c r="F789" s="127"/>
      <c r="G789" s="1"/>
      <c r="H789" s="161"/>
      <c r="I789" s="37"/>
      <c r="J789" s="135"/>
      <c r="K789" s="112"/>
      <c r="L789" s="37"/>
      <c r="M789" s="37"/>
      <c r="N789" s="37"/>
      <c r="O789" s="130"/>
      <c r="P789" s="132"/>
      <c r="Q789" s="261"/>
      <c r="R789" s="92"/>
    </row>
    <row r="790" spans="3:18" ht="12" thickBot="1" x14ac:dyDescent="0.3">
      <c r="C790" s="263"/>
      <c r="D790" s="157"/>
      <c r="E790" s="44"/>
      <c r="F790" s="127"/>
      <c r="G790" s="1"/>
      <c r="H790" s="161"/>
      <c r="I790" s="37"/>
      <c r="J790" s="135"/>
      <c r="K790" s="112"/>
      <c r="L790" s="37"/>
      <c r="M790" s="37"/>
      <c r="N790" s="37"/>
      <c r="O790" s="130"/>
      <c r="P790" s="132"/>
      <c r="Q790" s="261"/>
      <c r="R790" s="92"/>
    </row>
    <row r="791" spans="3:18" ht="12" thickBot="1" x14ac:dyDescent="0.3">
      <c r="P791" s="279">
        <f>SUM(P22:P790)</f>
        <v>103173609.36993566</v>
      </c>
    </row>
  </sheetData>
  <conditionalFormatting sqref="F22:F163">
    <cfRule type="containsText" dxfId="34" priority="17" operator="containsText" text="ERROR">
      <formula>NOT(ISERROR(SEARCH("ERROR",F22)))</formula>
    </cfRule>
  </conditionalFormatting>
  <conditionalFormatting sqref="J22:J653">
    <cfRule type="cellIs" dxfId="33" priority="14" operator="equal">
      <formula>1</formula>
    </cfRule>
  </conditionalFormatting>
  <conditionalFormatting sqref="F347:F649">
    <cfRule type="containsText" dxfId="32" priority="7" operator="containsText" text="ERROR">
      <formula>NOT(ISERROR(SEARCH("ERROR",F347)))</formula>
    </cfRule>
  </conditionalFormatting>
  <conditionalFormatting sqref="J23:J653">
    <cfRule type="cellIs" dxfId="31" priority="6" operator="equal">
      <formula>1</formula>
    </cfRule>
  </conditionalFormatting>
  <conditionalFormatting sqref="J218">
    <cfRule type="cellIs" dxfId="30" priority="10" operator="equal">
      <formula>1</formula>
    </cfRule>
  </conditionalFormatting>
  <conditionalFormatting sqref="F726:F790">
    <cfRule type="containsText" dxfId="29" priority="3" operator="containsText" text="ERROR">
      <formula>NOT(ISERROR(SEARCH("ERROR",F726)))</formula>
    </cfRule>
  </conditionalFormatting>
  <conditionalFormatting sqref="J726:J790">
    <cfRule type="cellIs" dxfId="28" priority="2" operator="equal">
      <formula>1</formula>
    </cfRule>
  </conditionalFormatting>
  <conditionalFormatting sqref="F650:F725">
    <cfRule type="containsText" dxfId="27" priority="5" operator="containsText" text="ERROR">
      <formula>NOT(ISERROR(SEARCH("ERROR",F650)))</formula>
    </cfRule>
  </conditionalFormatting>
  <conditionalFormatting sqref="J650:J725">
    <cfRule type="cellIs" dxfId="26" priority="4" operator="equal">
      <formula>1</formula>
    </cfRule>
  </conditionalFormatting>
  <conditionalFormatting sqref="F164:F346">
    <cfRule type="containsText" dxfId="25" priority="1" operator="containsText" text="ERROR">
      <formula>NOT(ISERROR(SEARCH("ERROR",F164)))</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R3049"/>
  <sheetViews>
    <sheetView showGridLines="0" zoomScale="115" zoomScaleNormal="115" workbookViewId="0">
      <pane ySplit="21" topLeftCell="A22" activePane="bottomLeft" state="frozen"/>
      <selection activeCell="N21" sqref="N21:P21"/>
      <selection pane="bottomLeft" activeCell="C14" sqref="C14"/>
    </sheetView>
  </sheetViews>
  <sheetFormatPr defaultRowHeight="11.5" outlineLevelRow="1" x14ac:dyDescent="0.25"/>
  <cols>
    <col min="1" max="1" width="7.19921875" style="353" customWidth="1"/>
    <col min="2" max="2" width="12" style="353" bestFit="1" customWidth="1"/>
    <col min="3" max="3" width="15.09765625" customWidth="1"/>
    <col min="4" max="4" width="50.69921875" customWidth="1"/>
    <col min="5" max="5" width="15.69921875" customWidth="1"/>
    <col min="6" max="6" width="25.8984375" bestFit="1" customWidth="1"/>
    <col min="7" max="7" width="2.69921875" customWidth="1"/>
    <col min="8" max="8" width="16.5" customWidth="1"/>
    <col min="9" max="10" width="15.69921875" customWidth="1"/>
    <col min="11" max="11" width="2.69921875" customWidth="1"/>
    <col min="12" max="13" width="15.69921875" customWidth="1"/>
    <col min="14" max="14" width="18" customWidth="1"/>
    <col min="15" max="16" width="15.69921875" customWidth="1"/>
    <col min="17" max="17" width="11.8984375" customWidth="1"/>
    <col min="18" max="18" width="9.09765625" customWidth="1"/>
  </cols>
  <sheetData>
    <row r="1" spans="3:18" x14ac:dyDescent="0.25">
      <c r="E1" s="42"/>
    </row>
    <row r="2" spans="3:18" x14ac:dyDescent="0.25">
      <c r="E2" s="42"/>
    </row>
    <row r="3" spans="3:18" ht="20" x14ac:dyDescent="0.4">
      <c r="C3" s="70" t="s">
        <v>203</v>
      </c>
    </row>
    <row r="4" spans="3:18" hidden="1" outlineLevel="1" x14ac:dyDescent="0.25"/>
    <row r="5" spans="3:18" hidden="1" outlineLevel="1" x14ac:dyDescent="0.25">
      <c r="D5" s="42"/>
    </row>
    <row r="6" spans="3:18" ht="12" hidden="1" customHeight="1" outlineLevel="1" x14ac:dyDescent="0.25">
      <c r="C6" s="147"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2"/>
      <c r="E6" s="92"/>
      <c r="F6" s="92"/>
      <c r="G6" s="92"/>
      <c r="H6" s="92"/>
      <c r="I6" s="92"/>
      <c r="J6" s="92"/>
      <c r="K6" s="92"/>
      <c r="L6" s="92"/>
      <c r="M6" s="92"/>
      <c r="N6" s="92"/>
      <c r="O6" s="92"/>
      <c r="P6" s="92"/>
      <c r="Q6" s="92"/>
      <c r="R6" s="92"/>
    </row>
    <row r="7" spans="3:18" hidden="1" outlineLevel="1" x14ac:dyDescent="0.25">
      <c r="C7" s="210" t="str">
        <f ca="1">"Hyperlink to the '"&amp;MID(CELL("filename",'Asset exclusions'!A1),FIND("]",CELL("filename",'Asset exclusions'!A1))+1,255)&amp;"' worksheet:"</f>
        <v>Hyperlink to the 'Asset exclusions' worksheet:</v>
      </c>
      <c r="E7" s="211" t="s">
        <v>188</v>
      </c>
      <c r="F7" s="92"/>
      <c r="G7" s="92"/>
      <c r="H7" s="92"/>
      <c r="I7" s="92"/>
      <c r="J7" s="92"/>
      <c r="K7" s="92"/>
      <c r="L7" s="92"/>
      <c r="M7" s="92"/>
      <c r="N7" s="92"/>
      <c r="O7" s="92"/>
      <c r="P7" s="92"/>
      <c r="Q7" s="92"/>
      <c r="R7" s="92"/>
    </row>
    <row r="8" spans="3:18" hidden="1" outlineLevel="1" x14ac:dyDescent="0.25">
      <c r="C8" s="210"/>
      <c r="E8" s="211"/>
      <c r="F8" s="92"/>
      <c r="G8" s="92"/>
      <c r="H8" s="92"/>
      <c r="I8" s="92"/>
      <c r="J8" s="92"/>
      <c r="K8" s="92"/>
      <c r="L8" s="92"/>
      <c r="M8" s="92"/>
      <c r="N8" s="92"/>
      <c r="O8" s="92"/>
      <c r="P8" s="92"/>
      <c r="Q8" s="92"/>
      <c r="R8" s="92"/>
    </row>
    <row r="9" spans="3:18" hidden="1" outlineLevel="1" x14ac:dyDescent="0.25">
      <c r="C9" s="210" t="s">
        <v>243</v>
      </c>
      <c r="E9" s="211"/>
      <c r="F9" s="92"/>
      <c r="G9" s="92"/>
      <c r="H9" s="92"/>
      <c r="I9" s="92"/>
      <c r="J9" s="92"/>
      <c r="K9" s="92"/>
      <c r="L9" s="92"/>
      <c r="M9" s="92"/>
      <c r="N9" s="92"/>
      <c r="O9" s="92"/>
      <c r="P9" s="92"/>
      <c r="Q9" s="92"/>
      <c r="R9" s="92"/>
    </row>
    <row r="10" spans="3:18" hidden="1" outlineLevel="1" x14ac:dyDescent="0.25">
      <c r="C10" s="210" t="s">
        <v>246</v>
      </c>
      <c r="E10" s="211"/>
      <c r="F10" s="92"/>
      <c r="G10" s="92"/>
      <c r="H10" s="92"/>
      <c r="I10" s="92"/>
      <c r="J10" s="92"/>
      <c r="K10" s="92"/>
      <c r="L10" s="92"/>
      <c r="M10" s="92"/>
      <c r="N10" s="92"/>
      <c r="O10" s="92"/>
      <c r="P10" s="92"/>
      <c r="Q10" s="92"/>
      <c r="R10" s="92"/>
    </row>
    <row r="11" spans="3:18" hidden="1" outlineLevel="1" x14ac:dyDescent="0.25">
      <c r="C11" s="210" t="s">
        <v>245</v>
      </c>
      <c r="E11" s="211"/>
      <c r="F11" s="92"/>
      <c r="G11" s="92"/>
      <c r="H11" s="92"/>
      <c r="I11" s="92"/>
      <c r="J11" s="92"/>
      <c r="K11" s="92"/>
      <c r="L11" s="92"/>
      <c r="M11" s="92"/>
      <c r="N11" s="92"/>
      <c r="O11" s="92"/>
      <c r="P11" s="92"/>
      <c r="Q11" s="92"/>
      <c r="R11" s="92"/>
    </row>
    <row r="12" spans="3:18" hidden="1" outlineLevel="1" x14ac:dyDescent="0.25">
      <c r="C12" s="210" t="s">
        <v>244</v>
      </c>
      <c r="E12" s="211"/>
      <c r="F12" s="92"/>
      <c r="G12" s="92"/>
      <c r="H12" s="92"/>
      <c r="I12" s="92"/>
      <c r="J12" s="92"/>
      <c r="K12" s="92"/>
      <c r="L12" s="92"/>
      <c r="M12" s="92"/>
      <c r="N12" s="92"/>
      <c r="O12" s="92"/>
      <c r="P12" s="92"/>
      <c r="Q12" s="92"/>
      <c r="R12" s="92"/>
    </row>
    <row r="13" spans="3:18" collapsed="1" x14ac:dyDescent="0.25">
      <c r="C13" s="92"/>
      <c r="D13" s="92"/>
      <c r="E13" s="92"/>
      <c r="F13" s="92"/>
      <c r="G13" s="92"/>
      <c r="H13" s="92"/>
      <c r="I13" s="92"/>
      <c r="J13" s="92"/>
      <c r="K13" s="92"/>
      <c r="L13" s="92"/>
      <c r="M13" s="92"/>
      <c r="N13" s="92"/>
      <c r="O13" s="92"/>
      <c r="P13" s="92"/>
      <c r="Q13" s="92"/>
      <c r="R13" s="92"/>
    </row>
    <row r="14" spans="3:18" x14ac:dyDescent="0.25">
      <c r="C14" s="122" t="s">
        <v>54</v>
      </c>
      <c r="D14" s="92"/>
      <c r="E14" s="92"/>
      <c r="F14" s="92"/>
      <c r="G14" s="92"/>
      <c r="H14" s="92"/>
      <c r="I14" s="92"/>
      <c r="J14" s="92"/>
      <c r="K14" s="92"/>
      <c r="L14" s="92"/>
      <c r="M14" s="92"/>
      <c r="N14" s="92"/>
      <c r="O14" s="92"/>
      <c r="P14" s="92"/>
      <c r="Q14" s="92"/>
      <c r="R14" s="92"/>
    </row>
    <row r="15" spans="3:18" ht="12" x14ac:dyDescent="0.3">
      <c r="C15" s="123" t="s">
        <v>58</v>
      </c>
      <c r="D15" s="92"/>
      <c r="E15" s="124">
        <f>'General inputs'!$H$24+1</f>
        <v>35065</v>
      </c>
      <c r="F15" s="92"/>
      <c r="G15" s="92"/>
      <c r="H15" s="264" t="s">
        <v>273</v>
      </c>
      <c r="I15" s="91"/>
      <c r="J15" s="92"/>
      <c r="K15" s="92"/>
      <c r="L15" s="272" t="s">
        <v>286</v>
      </c>
      <c r="M15" s="272"/>
      <c r="N15" s="272"/>
      <c r="O15" s="91"/>
      <c r="P15" s="92"/>
      <c r="Q15" s="92"/>
      <c r="R15" s="92"/>
    </row>
    <row r="16" spans="3:18" ht="12" x14ac:dyDescent="0.3">
      <c r="C16" s="123" t="s">
        <v>59</v>
      </c>
      <c r="D16" s="92"/>
      <c r="E16" s="125">
        <f>'General inputs'!$H$18</f>
        <v>44377</v>
      </c>
      <c r="F16" s="92"/>
      <c r="G16" s="92"/>
      <c r="H16" s="265" t="s">
        <v>285</v>
      </c>
      <c r="I16" s="266">
        <f>SUMIF($B$22:$B$3034,H16,$P$22:$P$3034)/$J$22</f>
        <v>140731685.56281397</v>
      </c>
      <c r="K16" s="92"/>
      <c r="L16" s="266">
        <f>I16+'Pre-1996 assets'!I16</f>
        <v>302928637.56027734</v>
      </c>
      <c r="M16" s="268"/>
      <c r="N16" s="271"/>
      <c r="O16" s="352"/>
      <c r="P16" s="92"/>
      <c r="Q16" s="92"/>
      <c r="R16" s="92"/>
    </row>
    <row r="17" spans="1:18" ht="12" x14ac:dyDescent="0.3">
      <c r="C17" s="92"/>
      <c r="D17" s="92"/>
      <c r="E17" s="92"/>
      <c r="F17" s="92"/>
      <c r="G17" s="92"/>
      <c r="H17" s="267" t="s">
        <v>287</v>
      </c>
      <c r="I17" s="268">
        <f>SUMIF($B$22:$B$3034,H17,$P$22:$P$3034)/$J$22</f>
        <v>58819834.059415676</v>
      </c>
      <c r="K17" s="92"/>
      <c r="L17" s="268">
        <f>I17+'Pre-1996 assets'!I17</f>
        <v>62424955.549501821</v>
      </c>
      <c r="M17" s="268"/>
      <c r="N17" s="271"/>
      <c r="O17" s="91"/>
      <c r="P17" s="92"/>
      <c r="Q17" s="92"/>
      <c r="R17" s="92"/>
    </row>
    <row r="18" spans="1:18" ht="15.5" x14ac:dyDescent="0.35">
      <c r="C18" s="231" t="s">
        <v>209</v>
      </c>
      <c r="E18" s="92"/>
      <c r="F18" s="92"/>
      <c r="G18" s="92"/>
      <c r="H18" s="269" t="s">
        <v>284</v>
      </c>
      <c r="I18" s="270">
        <f>SUMIF($B$22:$B$3034,H18,$P$22:$P$3034)/$J$22</f>
        <v>81071597.603577778</v>
      </c>
      <c r="K18" s="92"/>
      <c r="L18" s="270">
        <f>I18+'Pre-1996 assets'!I18</f>
        <v>87687053.116221309</v>
      </c>
      <c r="M18" s="268"/>
      <c r="N18" s="271"/>
      <c r="O18" s="91"/>
      <c r="P18" s="92"/>
      <c r="Q18" s="92"/>
      <c r="R18" s="92"/>
    </row>
    <row r="19" spans="1:18" ht="12" x14ac:dyDescent="0.3">
      <c r="C19" s="92"/>
      <c r="D19" s="92"/>
      <c r="E19" s="92"/>
      <c r="F19" s="92"/>
      <c r="G19" s="92"/>
      <c r="H19" s="269" t="s">
        <v>478</v>
      </c>
      <c r="I19" s="270">
        <f>SUMIF($B$22:$B$3034,H19,$P$22:$P$3034)/$J$22</f>
        <v>217350709.8819831</v>
      </c>
      <c r="K19" s="92"/>
      <c r="L19" s="270">
        <f>I19</f>
        <v>217350709.8819831</v>
      </c>
      <c r="M19" s="268"/>
      <c r="N19" s="271"/>
      <c r="O19" s="91"/>
      <c r="P19" s="92"/>
      <c r="Q19" s="92"/>
      <c r="R19" s="92"/>
    </row>
    <row r="20" spans="1:18" x14ac:dyDescent="0.25">
      <c r="C20" s="122" t="s">
        <v>16</v>
      </c>
      <c r="D20" s="92"/>
      <c r="E20" s="92"/>
      <c r="F20" s="92"/>
      <c r="G20" s="92"/>
      <c r="H20" s="122" t="s">
        <v>17</v>
      </c>
      <c r="I20" s="92"/>
      <c r="J20" s="92"/>
      <c r="K20" s="92"/>
      <c r="L20" s="122" t="s">
        <v>18</v>
      </c>
      <c r="M20" s="122"/>
      <c r="N20" s="92"/>
      <c r="O20" s="92"/>
      <c r="P20" s="92"/>
      <c r="Q20" s="92"/>
      <c r="R20" s="92"/>
    </row>
    <row r="21" spans="1:18" ht="46" x14ac:dyDescent="0.25">
      <c r="C21" s="35" t="s">
        <v>13</v>
      </c>
      <c r="D21" s="35" t="s">
        <v>12</v>
      </c>
      <c r="E21" s="35" t="s">
        <v>14</v>
      </c>
      <c r="F21" s="35" t="s">
        <v>25</v>
      </c>
      <c r="G21" s="92"/>
      <c r="H21" s="35" t="s">
        <v>30</v>
      </c>
      <c r="I21" s="35" t="s">
        <v>90</v>
      </c>
      <c r="J21" s="35" t="s">
        <v>88</v>
      </c>
      <c r="K21" s="92"/>
      <c r="L21" s="35" t="s">
        <v>89</v>
      </c>
      <c r="M21" s="35" t="s">
        <v>114</v>
      </c>
      <c r="N21" s="35" t="s">
        <v>540</v>
      </c>
      <c r="O21" s="35" t="s">
        <v>541</v>
      </c>
      <c r="P21" s="35" t="s">
        <v>542</v>
      </c>
      <c r="Q21" s="259" t="s">
        <v>281</v>
      </c>
      <c r="R21" s="92"/>
    </row>
    <row r="22" spans="1:18" x14ac:dyDescent="0.25">
      <c r="A22" s="353">
        <v>2004</v>
      </c>
      <c r="B22" s="353" t="s">
        <v>285</v>
      </c>
      <c r="C22" s="263" t="s">
        <v>433</v>
      </c>
      <c r="D22" s="157" t="s">
        <v>457</v>
      </c>
      <c r="E22" s="44">
        <f>IF(VALUE(A22)&lt;2022,DATEVALUE("30 Jun "&amp;A22),A22)</f>
        <v>38168</v>
      </c>
      <c r="F22" s="146" t="str">
        <f>IF(E22="","-",IF(OR(E22&lt;$E$15,E22&gt;$E$16),"ERROR - date outside of range",IF(MONTH(E22)&gt;=7,YEAR(E22)&amp;"-"&amp;IF(YEAR(E22)=1999,"00",IF(AND(YEAR(E22)&gt;=2000,YEAR(E22)&lt;2009),"0","")&amp;RIGHT(YEAR(E22),2)+1),RIGHT(YEAR(E22),4)-1&amp;"-"&amp;RIGHT(YEAR(E22),2))))</f>
        <v>2003-04</v>
      </c>
      <c r="G22" s="1"/>
      <c r="H22" s="161" t="s">
        <v>538</v>
      </c>
      <c r="I22" s="37"/>
      <c r="J22" s="134">
        <f>'ET inputs'!AP21</f>
        <v>0.76382508261777382</v>
      </c>
      <c r="K22" s="112"/>
      <c r="L22" s="37">
        <v>10.3131863166</v>
      </c>
      <c r="M22" s="37" t="s">
        <v>288</v>
      </c>
      <c r="N22" s="37">
        <v>634.59447171129227</v>
      </c>
      <c r="O22" s="130">
        <f>IF(N22="","-",L22*N22)</f>
        <v>6544.6910222429051</v>
      </c>
      <c r="P22" s="132">
        <f>IF(O22="-","-",IF(OR(E22&lt;$E$15,E22&gt;$E$16),0,O22*J22))*Q22</f>
        <v>1499.6997482317468</v>
      </c>
      <c r="Q22" s="261">
        <v>0.3</v>
      </c>
      <c r="R22" s="92"/>
    </row>
    <row r="23" spans="1:18" x14ac:dyDescent="0.25">
      <c r="A23" s="353">
        <v>2004</v>
      </c>
      <c r="B23" s="353" t="s">
        <v>285</v>
      </c>
      <c r="C23" s="263" t="s">
        <v>433</v>
      </c>
      <c r="D23" s="157" t="s">
        <v>457</v>
      </c>
      <c r="E23" s="44">
        <f t="shared" ref="E23:E86" si="0">IF(VALUE(A23)&lt;2022,DATEVALUE("30 Jun "&amp;A23),A23)</f>
        <v>38168</v>
      </c>
      <c r="F23" s="146" t="str">
        <f>IF(E23="","-",IF(OR(E23&lt;$E$15,E23&gt;$E$16),"ERROR - date outside of range",IF(MONTH(E23)&gt;=7,YEAR(E23)&amp;"-"&amp;IF(YEAR(E23)=1999,"00",IF(AND(YEAR(E23)&gt;=2000,YEAR(E23)&lt;2009),"0","")&amp;RIGHT(YEAR(E23),2)+1),RIGHT(YEAR(E23),4)-1&amp;"-"&amp;RIGHT(YEAR(E23),2))))</f>
        <v>2003-04</v>
      </c>
      <c r="G23" s="1"/>
      <c r="H23" s="161"/>
      <c r="I23" s="37"/>
      <c r="J23" s="135">
        <f>J22</f>
        <v>0.76382508261777382</v>
      </c>
      <c r="K23" s="112"/>
      <c r="L23" s="37">
        <v>3</v>
      </c>
      <c r="M23" s="37" t="s">
        <v>288</v>
      </c>
      <c r="N23" s="37">
        <v>827.87197578579753</v>
      </c>
      <c r="O23" s="130">
        <f>IF(N23="","-",L23*N23)</f>
        <v>2483.6159273573926</v>
      </c>
      <c r="P23" s="132">
        <f t="shared" ref="P23:P86" si="1">IF(O23="-","-",IF(OR(E23&lt;$E$15,E23&gt;$E$16),0,O23*J23))*Q23</f>
        <v>569.11444227137383</v>
      </c>
      <c r="Q23" s="261">
        <v>0.3</v>
      </c>
      <c r="R23" s="92"/>
    </row>
    <row r="24" spans="1:18" x14ac:dyDescent="0.25">
      <c r="A24" s="353">
        <v>2004</v>
      </c>
      <c r="B24" s="353" t="s">
        <v>285</v>
      </c>
      <c r="C24" s="263" t="s">
        <v>434</v>
      </c>
      <c r="D24" s="157" t="s">
        <v>458</v>
      </c>
      <c r="E24" s="44">
        <f t="shared" si="0"/>
        <v>38168</v>
      </c>
      <c r="F24" s="146" t="str">
        <f t="shared" ref="F24:F87" si="2">IF(E24="","-",IF(OR(E24&lt;$E$15,E24&gt;$E$16),"ERROR - date outside of range",IF(MONTH(E24)&gt;=7,YEAR(E24)&amp;"-"&amp;IF(YEAR(E24)=1999,"00",IF(AND(YEAR(E24)&gt;=2000,YEAR(E24)&lt;2009),"0","")&amp;RIGHT(YEAR(E24),2)+1),RIGHT(YEAR(E24),4)-1&amp;"-"&amp;RIGHT(YEAR(E24),2))))</f>
        <v>2003-04</v>
      </c>
      <c r="G24" s="1"/>
      <c r="H24" s="161"/>
      <c r="I24" s="37"/>
      <c r="J24" s="135">
        <f>J23</f>
        <v>0.76382508261777382</v>
      </c>
      <c r="K24" s="112"/>
      <c r="L24" s="37">
        <v>141</v>
      </c>
      <c r="M24" s="37" t="s">
        <v>288</v>
      </c>
      <c r="N24" s="37">
        <v>3860.7181438882421</v>
      </c>
      <c r="O24" s="130">
        <f t="shared" ref="O24:O87" si="3">IF(N24="","-",L24*N24)</f>
        <v>544361.25828824216</v>
      </c>
      <c r="P24" s="132">
        <f t="shared" si="1"/>
        <v>415796.78308593191</v>
      </c>
      <c r="Q24" s="261">
        <v>1</v>
      </c>
      <c r="R24" s="92"/>
    </row>
    <row r="25" spans="1:18" x14ac:dyDescent="0.25">
      <c r="A25" s="353">
        <v>2004</v>
      </c>
      <c r="B25" s="353" t="s">
        <v>285</v>
      </c>
      <c r="C25" s="263" t="s">
        <v>434</v>
      </c>
      <c r="D25" s="157" t="s">
        <v>458</v>
      </c>
      <c r="E25" s="44">
        <f t="shared" si="0"/>
        <v>38168</v>
      </c>
      <c r="F25" s="146" t="str">
        <f t="shared" si="2"/>
        <v>2003-04</v>
      </c>
      <c r="G25" s="1"/>
      <c r="H25" s="161"/>
      <c r="I25" s="37"/>
      <c r="J25" s="135">
        <f t="shared" ref="J25:J88" si="4">J24</f>
        <v>0.76382508261777382</v>
      </c>
      <c r="K25" s="112"/>
      <c r="L25" s="37">
        <v>302</v>
      </c>
      <c r="M25" s="37" t="s">
        <v>288</v>
      </c>
      <c r="N25" s="37">
        <v>4957.5679795110591</v>
      </c>
      <c r="O25" s="130">
        <f t="shared" si="3"/>
        <v>1497185.5298123399</v>
      </c>
      <c r="P25" s="132">
        <f t="shared" si="1"/>
        <v>1143587.8610030459</v>
      </c>
      <c r="Q25" s="261">
        <v>1</v>
      </c>
      <c r="R25" s="92"/>
    </row>
    <row r="26" spans="1:18" x14ac:dyDescent="0.25">
      <c r="A26" s="353">
        <v>2004</v>
      </c>
      <c r="B26" s="353" t="s">
        <v>285</v>
      </c>
      <c r="C26" s="263" t="s">
        <v>434</v>
      </c>
      <c r="D26" s="157" t="s">
        <v>458</v>
      </c>
      <c r="E26" s="44">
        <f t="shared" si="0"/>
        <v>38168</v>
      </c>
      <c r="F26" s="146" t="str">
        <f t="shared" si="2"/>
        <v>2003-04</v>
      </c>
      <c r="G26" s="1"/>
      <c r="H26" s="161"/>
      <c r="I26" s="37"/>
      <c r="J26" s="135">
        <f t="shared" si="4"/>
        <v>0.76382508261777382</v>
      </c>
      <c r="K26" s="112"/>
      <c r="L26" s="37">
        <v>93</v>
      </c>
      <c r="M26" s="37" t="s">
        <v>288</v>
      </c>
      <c r="N26" s="37">
        <v>5018.7725224679862</v>
      </c>
      <c r="O26" s="130">
        <f t="shared" si="3"/>
        <v>466745.84458952269</v>
      </c>
      <c r="P26" s="132">
        <f t="shared" si="1"/>
        <v>356512.18330509478</v>
      </c>
      <c r="Q26" s="261">
        <v>1</v>
      </c>
      <c r="R26" s="92"/>
    </row>
    <row r="27" spans="1:18" x14ac:dyDescent="0.25">
      <c r="A27" s="353">
        <v>2004</v>
      </c>
      <c r="B27" s="353" t="s">
        <v>285</v>
      </c>
      <c r="C27" s="263" t="s">
        <v>434</v>
      </c>
      <c r="D27" s="157" t="s">
        <v>458</v>
      </c>
      <c r="E27" s="44">
        <f t="shared" si="0"/>
        <v>38168</v>
      </c>
      <c r="F27" s="146" t="str">
        <f t="shared" si="2"/>
        <v>2003-04</v>
      </c>
      <c r="G27" s="1"/>
      <c r="H27" s="161"/>
      <c r="I27" s="37"/>
      <c r="J27" s="135">
        <f t="shared" si="4"/>
        <v>0.76382508261777382</v>
      </c>
      <c r="K27" s="112"/>
      <c r="L27" s="37">
        <v>69</v>
      </c>
      <c r="M27" s="37" t="s">
        <v>288</v>
      </c>
      <c r="N27" s="37">
        <v>2641.459222351572</v>
      </c>
      <c r="O27" s="130">
        <f t="shared" si="3"/>
        <v>182260.68634225847</v>
      </c>
      <c r="P27" s="132">
        <f t="shared" si="1"/>
        <v>139215.28380334773</v>
      </c>
      <c r="Q27" s="261">
        <v>1</v>
      </c>
      <c r="R27" s="92"/>
    </row>
    <row r="28" spans="1:18" x14ac:dyDescent="0.25">
      <c r="A28" s="353">
        <v>2004</v>
      </c>
      <c r="B28" s="353" t="s">
        <v>285</v>
      </c>
      <c r="C28" s="263" t="s">
        <v>434</v>
      </c>
      <c r="D28" s="157" t="s">
        <v>458</v>
      </c>
      <c r="E28" s="44">
        <f t="shared" si="0"/>
        <v>38168</v>
      </c>
      <c r="F28" s="146" t="str">
        <f t="shared" si="2"/>
        <v>2003-04</v>
      </c>
      <c r="G28" s="1"/>
      <c r="H28" s="161"/>
      <c r="I28" s="37"/>
      <c r="J28" s="135">
        <f t="shared" si="4"/>
        <v>0.76382508261777382</v>
      </c>
      <c r="K28" s="112"/>
      <c r="L28" s="37">
        <v>123</v>
      </c>
      <c r="M28" s="37" t="s">
        <v>288</v>
      </c>
      <c r="N28" s="37">
        <v>5577.6666384167638</v>
      </c>
      <c r="O28" s="130">
        <f t="shared" si="3"/>
        <v>686052.9965252619</v>
      </c>
      <c r="P28" s="132">
        <f t="shared" si="1"/>
        <v>524024.48675107944</v>
      </c>
      <c r="Q28" s="261">
        <v>1</v>
      </c>
      <c r="R28" s="92"/>
    </row>
    <row r="29" spans="1:18" x14ac:dyDescent="0.25">
      <c r="A29" s="353">
        <v>2004</v>
      </c>
      <c r="B29" s="353" t="s">
        <v>285</v>
      </c>
      <c r="C29" s="263" t="s">
        <v>435</v>
      </c>
      <c r="D29" s="157" t="s">
        <v>459</v>
      </c>
      <c r="E29" s="44">
        <f t="shared" si="0"/>
        <v>38168</v>
      </c>
      <c r="F29" s="146" t="str">
        <f t="shared" si="2"/>
        <v>2003-04</v>
      </c>
      <c r="G29" s="1"/>
      <c r="H29" s="161"/>
      <c r="I29" s="37"/>
      <c r="J29" s="135">
        <f t="shared" si="4"/>
        <v>0.76382508261777382</v>
      </c>
      <c r="K29" s="112"/>
      <c r="L29" s="37">
        <v>17.989090383099999</v>
      </c>
      <c r="M29" s="37" t="s">
        <v>288</v>
      </c>
      <c r="N29" s="37">
        <v>827.87197578579753</v>
      </c>
      <c r="O29" s="130">
        <f t="shared" si="3"/>
        <v>14892.663798046286</v>
      </c>
      <c r="P29" s="132">
        <f t="shared" si="1"/>
        <v>11375.390155941433</v>
      </c>
      <c r="Q29" s="261">
        <v>1</v>
      </c>
      <c r="R29" s="92"/>
    </row>
    <row r="30" spans="1:18" x14ac:dyDescent="0.25">
      <c r="A30" s="353">
        <v>2002</v>
      </c>
      <c r="B30" s="353" t="s">
        <v>285</v>
      </c>
      <c r="C30" s="263" t="s">
        <v>436</v>
      </c>
      <c r="D30" s="157" t="s">
        <v>460</v>
      </c>
      <c r="E30" s="44">
        <f t="shared" si="0"/>
        <v>37437</v>
      </c>
      <c r="F30" s="146" t="str">
        <f t="shared" si="2"/>
        <v>2001-02</v>
      </c>
      <c r="G30" s="1"/>
      <c r="H30" s="161"/>
      <c r="I30" s="37"/>
      <c r="J30" s="135">
        <f t="shared" si="4"/>
        <v>0.76382508261777382</v>
      </c>
      <c r="K30" s="112"/>
      <c r="L30" s="37">
        <v>32.192812975000002</v>
      </c>
      <c r="M30" s="37" t="s">
        <v>288</v>
      </c>
      <c r="N30" s="37">
        <v>771.49937043073351</v>
      </c>
      <c r="O30" s="130">
        <f t="shared" si="3"/>
        <v>24836.73494260685</v>
      </c>
      <c r="P30" s="132">
        <f t="shared" si="1"/>
        <v>10244.297404525912</v>
      </c>
      <c r="Q30" s="261">
        <v>0.54</v>
      </c>
      <c r="R30" s="92"/>
    </row>
    <row r="31" spans="1:18" x14ac:dyDescent="0.25">
      <c r="A31" s="353">
        <v>2002</v>
      </c>
      <c r="B31" s="353" t="s">
        <v>285</v>
      </c>
      <c r="C31" s="263" t="s">
        <v>437</v>
      </c>
      <c r="D31" s="157" t="s">
        <v>461</v>
      </c>
      <c r="E31" s="44">
        <f t="shared" si="0"/>
        <v>37437</v>
      </c>
      <c r="F31" s="146" t="str">
        <f t="shared" si="2"/>
        <v>2001-02</v>
      </c>
      <c r="G31" s="1"/>
      <c r="H31" s="161"/>
      <c r="I31" s="37"/>
      <c r="J31" s="135">
        <f t="shared" si="4"/>
        <v>0.76382508261777382</v>
      </c>
      <c r="K31" s="112"/>
      <c r="L31" s="37">
        <v>40</v>
      </c>
      <c r="M31" s="37" t="s">
        <v>288</v>
      </c>
      <c r="N31" s="37">
        <v>563.72605355064024</v>
      </c>
      <c r="O31" s="130">
        <f t="shared" si="3"/>
        <v>22549.04214202561</v>
      </c>
      <c r="P31" s="132">
        <f t="shared" si="1"/>
        <v>3961.4105147294067</v>
      </c>
      <c r="Q31" s="261">
        <v>0.23</v>
      </c>
      <c r="R31" s="92"/>
    </row>
    <row r="32" spans="1:18" x14ac:dyDescent="0.25">
      <c r="A32" s="353">
        <v>2002</v>
      </c>
      <c r="B32" s="353" t="s">
        <v>285</v>
      </c>
      <c r="C32" s="263" t="s">
        <v>437</v>
      </c>
      <c r="D32" s="157" t="s">
        <v>461</v>
      </c>
      <c r="E32" s="44">
        <f t="shared" si="0"/>
        <v>37437</v>
      </c>
      <c r="F32" s="146" t="str">
        <f t="shared" si="2"/>
        <v>2001-02</v>
      </c>
      <c r="G32" s="1"/>
      <c r="H32" s="161"/>
      <c r="I32" s="37"/>
      <c r="J32" s="135">
        <f t="shared" si="4"/>
        <v>0.76382508261777382</v>
      </c>
      <c r="K32" s="112"/>
      <c r="L32" s="37">
        <v>15.4539073376</v>
      </c>
      <c r="M32" s="37" t="s">
        <v>288</v>
      </c>
      <c r="N32" s="37">
        <v>563.72605355064024</v>
      </c>
      <c r="O32" s="130">
        <f t="shared" si="3"/>
        <v>8711.7701953625292</v>
      </c>
      <c r="P32" s="132">
        <f t="shared" si="1"/>
        <v>1530.481775520564</v>
      </c>
      <c r="Q32" s="261">
        <v>0.23</v>
      </c>
      <c r="R32" s="92"/>
    </row>
    <row r="33" spans="1:18" x14ac:dyDescent="0.25">
      <c r="A33" s="353">
        <v>2002</v>
      </c>
      <c r="B33" s="353" t="s">
        <v>285</v>
      </c>
      <c r="C33" s="263" t="s">
        <v>438</v>
      </c>
      <c r="D33" s="157" t="s">
        <v>462</v>
      </c>
      <c r="E33" s="44">
        <f t="shared" si="0"/>
        <v>37437</v>
      </c>
      <c r="F33" s="146" t="str">
        <f t="shared" si="2"/>
        <v>2001-02</v>
      </c>
      <c r="G33" s="1"/>
      <c r="H33" s="161"/>
      <c r="I33" s="37"/>
      <c r="J33" s="135">
        <f t="shared" si="4"/>
        <v>0.76382508261777382</v>
      </c>
      <c r="K33" s="112"/>
      <c r="L33" s="37">
        <v>60</v>
      </c>
      <c r="M33" s="37" t="s">
        <v>288</v>
      </c>
      <c r="N33" s="37">
        <v>971.21945797438889</v>
      </c>
      <c r="O33" s="130">
        <f t="shared" si="3"/>
        <v>58273.167478463336</v>
      </c>
      <c r="P33" s="132">
        <f t="shared" si="1"/>
        <v>4896.1557660000299</v>
      </c>
      <c r="Q33" s="261">
        <v>0.11</v>
      </c>
      <c r="R33" s="92"/>
    </row>
    <row r="34" spans="1:18" x14ac:dyDescent="0.25">
      <c r="A34" s="353">
        <v>2002</v>
      </c>
      <c r="B34" s="353" t="s">
        <v>285</v>
      </c>
      <c r="C34" s="263" t="s">
        <v>438</v>
      </c>
      <c r="D34" s="157" t="s">
        <v>462</v>
      </c>
      <c r="E34" s="44">
        <f t="shared" si="0"/>
        <v>37437</v>
      </c>
      <c r="F34" s="146" t="str">
        <f t="shared" si="2"/>
        <v>2001-02</v>
      </c>
      <c r="G34" s="1"/>
      <c r="H34" s="161"/>
      <c r="I34" s="37"/>
      <c r="J34" s="135">
        <f t="shared" si="4"/>
        <v>0.76382508261777382</v>
      </c>
      <c r="K34" s="112"/>
      <c r="L34" s="37">
        <v>59</v>
      </c>
      <c r="M34" s="37" t="s">
        <v>288</v>
      </c>
      <c r="N34" s="37">
        <v>1066.2475641443541</v>
      </c>
      <c r="O34" s="130">
        <f t="shared" si="3"/>
        <v>62908.606284516893</v>
      </c>
      <c r="P34" s="132">
        <f t="shared" si="1"/>
        <v>5285.6288531904129</v>
      </c>
      <c r="Q34" s="261">
        <v>0.11</v>
      </c>
      <c r="R34" s="92"/>
    </row>
    <row r="35" spans="1:18" x14ac:dyDescent="0.25">
      <c r="A35" s="353">
        <v>2002</v>
      </c>
      <c r="B35" s="353" t="s">
        <v>285</v>
      </c>
      <c r="C35" s="263" t="s">
        <v>438</v>
      </c>
      <c r="D35" s="157" t="s">
        <v>463</v>
      </c>
      <c r="E35" s="44">
        <f t="shared" si="0"/>
        <v>37437</v>
      </c>
      <c r="F35" s="146" t="str">
        <f t="shared" si="2"/>
        <v>2001-02</v>
      </c>
      <c r="G35" s="1"/>
      <c r="H35" s="161"/>
      <c r="I35" s="37"/>
      <c r="J35" s="135">
        <f t="shared" si="4"/>
        <v>0.76382508261777382</v>
      </c>
      <c r="K35" s="112"/>
      <c r="L35" s="37">
        <v>59</v>
      </c>
      <c r="M35" s="37" t="s">
        <v>288</v>
      </c>
      <c r="N35" s="37">
        <v>893.90845634458674</v>
      </c>
      <c r="O35" s="130">
        <f t="shared" si="3"/>
        <v>52740.598924330618</v>
      </c>
      <c r="P35" s="132">
        <f t="shared" si="1"/>
        <v>4431.305156375648</v>
      </c>
      <c r="Q35" s="261">
        <v>0.11</v>
      </c>
      <c r="R35" s="92"/>
    </row>
    <row r="36" spans="1:18" x14ac:dyDescent="0.25">
      <c r="A36" s="353">
        <v>2002</v>
      </c>
      <c r="B36" s="353" t="s">
        <v>285</v>
      </c>
      <c r="C36" s="263" t="s">
        <v>438</v>
      </c>
      <c r="D36" s="157" t="s">
        <v>463</v>
      </c>
      <c r="E36" s="44">
        <f t="shared" si="0"/>
        <v>37437</v>
      </c>
      <c r="F36" s="146" t="str">
        <f t="shared" si="2"/>
        <v>2001-02</v>
      </c>
      <c r="G36" s="1"/>
      <c r="H36" s="161"/>
      <c r="I36" s="37"/>
      <c r="J36" s="135">
        <f t="shared" si="4"/>
        <v>0.76382508261777382</v>
      </c>
      <c r="K36" s="112"/>
      <c r="L36" s="37">
        <v>12.395421045699999</v>
      </c>
      <c r="M36" s="37" t="s">
        <v>288</v>
      </c>
      <c r="N36" s="37">
        <v>563.72605355064024</v>
      </c>
      <c r="O36" s="130">
        <f t="shared" si="3"/>
        <v>6987.6217881910106</v>
      </c>
      <c r="P36" s="132">
        <f t="shared" si="1"/>
        <v>587.10528686334305</v>
      </c>
      <c r="Q36" s="261">
        <v>0.11</v>
      </c>
      <c r="R36" s="92"/>
    </row>
    <row r="37" spans="1:18" x14ac:dyDescent="0.25">
      <c r="A37" s="353">
        <v>2002</v>
      </c>
      <c r="B37" s="353" t="s">
        <v>285</v>
      </c>
      <c r="C37" s="263" t="s">
        <v>438</v>
      </c>
      <c r="D37" s="157" t="s">
        <v>463</v>
      </c>
      <c r="E37" s="44">
        <f t="shared" si="0"/>
        <v>37437</v>
      </c>
      <c r="F37" s="146" t="str">
        <f t="shared" si="2"/>
        <v>2001-02</v>
      </c>
      <c r="G37" s="1"/>
      <c r="H37" s="161"/>
      <c r="I37" s="37"/>
      <c r="J37" s="135">
        <f t="shared" si="4"/>
        <v>0.76382508261777382</v>
      </c>
      <c r="K37" s="112"/>
      <c r="L37" s="37">
        <v>61</v>
      </c>
      <c r="M37" s="37" t="s">
        <v>288</v>
      </c>
      <c r="N37" s="37">
        <v>864.91683073341096</v>
      </c>
      <c r="O37" s="130">
        <f t="shared" si="3"/>
        <v>52759.926674738068</v>
      </c>
      <c r="P37" s="132">
        <f t="shared" si="1"/>
        <v>4432.9290886363442</v>
      </c>
      <c r="Q37" s="261">
        <v>0.11</v>
      </c>
      <c r="R37" s="92"/>
    </row>
    <row r="38" spans="1:18" x14ac:dyDescent="0.25">
      <c r="A38" s="353">
        <v>42399</v>
      </c>
      <c r="B38" s="353" t="s">
        <v>285</v>
      </c>
      <c r="C38" s="263" t="s">
        <v>439</v>
      </c>
      <c r="D38" s="157" t="s">
        <v>464</v>
      </c>
      <c r="E38" s="44">
        <f t="shared" si="0"/>
        <v>42399</v>
      </c>
      <c r="F38" s="146" t="str">
        <f t="shared" si="2"/>
        <v>2015-16</v>
      </c>
      <c r="G38" s="1"/>
      <c r="H38" s="161"/>
      <c r="I38" s="37"/>
      <c r="J38" s="135">
        <f t="shared" si="4"/>
        <v>0.76382508261777382</v>
      </c>
      <c r="K38" s="112"/>
      <c r="L38" s="37">
        <v>102.82091384500001</v>
      </c>
      <c r="M38" s="37" t="s">
        <v>288</v>
      </c>
      <c r="N38" s="37">
        <v>3875.3912195121943</v>
      </c>
      <c r="O38" s="130">
        <f t="shared" si="3"/>
        <v>398471.26669713284</v>
      </c>
      <c r="P38" s="132">
        <f t="shared" si="1"/>
        <v>283793.18410120578</v>
      </c>
      <c r="Q38" s="261">
        <v>0.93241882832814738</v>
      </c>
      <c r="R38" s="92"/>
    </row>
    <row r="39" spans="1:18" x14ac:dyDescent="0.25">
      <c r="A39" s="353">
        <v>42399</v>
      </c>
      <c r="B39" s="353" t="s">
        <v>285</v>
      </c>
      <c r="C39" s="263" t="s">
        <v>439</v>
      </c>
      <c r="D39" s="157" t="s">
        <v>464</v>
      </c>
      <c r="E39" s="44">
        <f t="shared" si="0"/>
        <v>42399</v>
      </c>
      <c r="F39" s="146" t="str">
        <f t="shared" si="2"/>
        <v>2015-16</v>
      </c>
      <c r="G39" s="1"/>
      <c r="H39" s="161"/>
      <c r="I39" s="37"/>
      <c r="J39" s="135">
        <f t="shared" si="4"/>
        <v>0.76382508261777382</v>
      </c>
      <c r="K39" s="112"/>
      <c r="L39" s="37">
        <v>117.491251291</v>
      </c>
      <c r="M39" s="37" t="s">
        <v>288</v>
      </c>
      <c r="N39" s="37">
        <v>3875.3912195121943</v>
      </c>
      <c r="O39" s="130">
        <f t="shared" si="3"/>
        <v>455324.56362264213</v>
      </c>
      <c r="P39" s="132">
        <f t="shared" si="1"/>
        <v>324284.38010356401</v>
      </c>
      <c r="Q39" s="261">
        <v>0.93241882832814738</v>
      </c>
      <c r="R39" s="92"/>
    </row>
    <row r="40" spans="1:18" x14ac:dyDescent="0.25">
      <c r="A40" s="353">
        <v>42399</v>
      </c>
      <c r="B40" s="353" t="s">
        <v>285</v>
      </c>
      <c r="C40" s="263" t="s">
        <v>439</v>
      </c>
      <c r="D40" s="157" t="s">
        <v>464</v>
      </c>
      <c r="E40" s="44">
        <f t="shared" si="0"/>
        <v>42399</v>
      </c>
      <c r="F40" s="146" t="str">
        <f t="shared" si="2"/>
        <v>2015-16</v>
      </c>
      <c r="G40" s="1"/>
      <c r="H40" s="161"/>
      <c r="I40" s="37"/>
      <c r="J40" s="135">
        <f t="shared" si="4"/>
        <v>0.76382508261777382</v>
      </c>
      <c r="K40" s="112"/>
      <c r="L40" s="37">
        <v>50.865359882699998</v>
      </c>
      <c r="M40" s="37" t="s">
        <v>288</v>
      </c>
      <c r="N40" s="37">
        <v>1162.6195121951216</v>
      </c>
      <c r="O40" s="130">
        <f t="shared" si="3"/>
        <v>59137.059894453982</v>
      </c>
      <c r="P40" s="132">
        <f t="shared" si="1"/>
        <v>42117.70315320346</v>
      </c>
      <c r="Q40" s="261">
        <v>0.93241882832814738</v>
      </c>
      <c r="R40" s="92"/>
    </row>
    <row r="41" spans="1:18" x14ac:dyDescent="0.25">
      <c r="A41" s="353">
        <v>42399</v>
      </c>
      <c r="B41" s="353" t="s">
        <v>285</v>
      </c>
      <c r="C41" s="263" t="s">
        <v>439</v>
      </c>
      <c r="D41" s="157" t="s">
        <v>464</v>
      </c>
      <c r="E41" s="44">
        <f t="shared" si="0"/>
        <v>42399</v>
      </c>
      <c r="F41" s="146" t="str">
        <f t="shared" si="2"/>
        <v>2015-16</v>
      </c>
      <c r="G41" s="1"/>
      <c r="H41" s="161"/>
      <c r="I41" s="37"/>
      <c r="J41" s="135">
        <f t="shared" si="4"/>
        <v>0.76382508261777382</v>
      </c>
      <c r="K41" s="112"/>
      <c r="L41" s="37">
        <v>87.257511776900003</v>
      </c>
      <c r="M41" s="37" t="s">
        <v>288</v>
      </c>
      <c r="N41" s="37">
        <v>3875.3912195121943</v>
      </c>
      <c r="O41" s="130">
        <f t="shared" si="3"/>
        <v>338156.99497668014</v>
      </c>
      <c r="P41" s="132">
        <f t="shared" si="1"/>
        <v>240837.06493062933</v>
      </c>
      <c r="Q41" s="261">
        <v>0.93241882832814738</v>
      </c>
      <c r="R41" s="92"/>
    </row>
    <row r="42" spans="1:18" x14ac:dyDescent="0.25">
      <c r="A42" s="353">
        <v>42399</v>
      </c>
      <c r="B42" s="353" t="s">
        <v>285</v>
      </c>
      <c r="C42" s="263" t="s">
        <v>439</v>
      </c>
      <c r="D42" s="157" t="s">
        <v>464</v>
      </c>
      <c r="E42" s="44">
        <f t="shared" si="0"/>
        <v>42399</v>
      </c>
      <c r="F42" s="146" t="str">
        <f t="shared" si="2"/>
        <v>2015-16</v>
      </c>
      <c r="G42" s="1"/>
      <c r="H42" s="161"/>
      <c r="I42" s="37"/>
      <c r="J42" s="135">
        <f t="shared" si="4"/>
        <v>0.76382508261777382</v>
      </c>
      <c r="K42" s="112"/>
      <c r="L42" s="37">
        <v>80.989055166100002</v>
      </c>
      <c r="M42" s="37" t="s">
        <v>288</v>
      </c>
      <c r="N42" s="37">
        <v>3875.3912195121943</v>
      </c>
      <c r="O42" s="130">
        <f t="shared" si="3"/>
        <v>313864.27326729265</v>
      </c>
      <c r="P42" s="132">
        <f t="shared" si="1"/>
        <v>223535.66977223867</v>
      </c>
      <c r="Q42" s="261">
        <v>0.93241882832814738</v>
      </c>
      <c r="R42" s="92"/>
    </row>
    <row r="43" spans="1:18" x14ac:dyDescent="0.25">
      <c r="A43" s="353">
        <v>42399</v>
      </c>
      <c r="B43" s="353" t="s">
        <v>285</v>
      </c>
      <c r="C43" s="263" t="s">
        <v>439</v>
      </c>
      <c r="D43" s="157" t="s">
        <v>464</v>
      </c>
      <c r="E43" s="44">
        <f t="shared" si="0"/>
        <v>42399</v>
      </c>
      <c r="F43" s="146" t="str">
        <f t="shared" si="2"/>
        <v>2015-16</v>
      </c>
      <c r="G43" s="1"/>
      <c r="H43" s="161"/>
      <c r="I43" s="37"/>
      <c r="J43" s="135">
        <f t="shared" si="4"/>
        <v>0.76382508261777382</v>
      </c>
      <c r="K43" s="112"/>
      <c r="L43" s="37">
        <v>11.836796400400001</v>
      </c>
      <c r="M43" s="37" t="s">
        <v>288</v>
      </c>
      <c r="N43" s="37">
        <v>3875.3912195121943</v>
      </c>
      <c r="O43" s="130">
        <f t="shared" si="3"/>
        <v>45872.21683726371</v>
      </c>
      <c r="P43" s="132">
        <f t="shared" si="1"/>
        <v>32670.417081598021</v>
      </c>
      <c r="Q43" s="261">
        <v>0.93241882832814738</v>
      </c>
      <c r="R43" s="92"/>
    </row>
    <row r="44" spans="1:18" x14ac:dyDescent="0.25">
      <c r="A44" s="353">
        <v>42399</v>
      </c>
      <c r="B44" s="353" t="s">
        <v>285</v>
      </c>
      <c r="C44" s="263" t="s">
        <v>439</v>
      </c>
      <c r="D44" s="157" t="s">
        <v>464</v>
      </c>
      <c r="E44" s="44">
        <f t="shared" si="0"/>
        <v>42399</v>
      </c>
      <c r="F44" s="146" t="str">
        <f t="shared" si="2"/>
        <v>2015-16</v>
      </c>
      <c r="G44" s="1"/>
      <c r="H44" s="161"/>
      <c r="I44" s="37"/>
      <c r="J44" s="135">
        <f t="shared" si="4"/>
        <v>0.76382508261777382</v>
      </c>
      <c r="K44" s="112"/>
      <c r="L44" s="37">
        <v>79.910509859499996</v>
      </c>
      <c r="M44" s="37" t="s">
        <v>288</v>
      </c>
      <c r="N44" s="37">
        <v>1162.6195121951216</v>
      </c>
      <c r="O44" s="130">
        <f t="shared" si="3"/>
        <v>92905.517992115347</v>
      </c>
      <c r="P44" s="132">
        <f t="shared" si="1"/>
        <v>66167.764090238197</v>
      </c>
      <c r="Q44" s="261">
        <v>0.93241882832814738</v>
      </c>
      <c r="R44" s="92"/>
    </row>
    <row r="45" spans="1:18" x14ac:dyDescent="0.25">
      <c r="A45" s="353">
        <v>42399</v>
      </c>
      <c r="B45" s="353" t="s">
        <v>285</v>
      </c>
      <c r="C45" s="263" t="s">
        <v>439</v>
      </c>
      <c r="D45" s="157" t="s">
        <v>464</v>
      </c>
      <c r="E45" s="44">
        <f t="shared" si="0"/>
        <v>42399</v>
      </c>
      <c r="F45" s="146" t="str">
        <f t="shared" si="2"/>
        <v>2015-16</v>
      </c>
      <c r="G45" s="1"/>
      <c r="H45" s="161"/>
      <c r="I45" s="37"/>
      <c r="J45" s="135">
        <f t="shared" si="4"/>
        <v>0.76382508261777382</v>
      </c>
      <c r="K45" s="112"/>
      <c r="L45" s="37">
        <v>31.292505892000001</v>
      </c>
      <c r="M45" s="37" t="s">
        <v>288</v>
      </c>
      <c r="N45" s="37">
        <v>1162.6195121951216</v>
      </c>
      <c r="O45" s="130">
        <f t="shared" si="3"/>
        <v>36381.277935520011</v>
      </c>
      <c r="P45" s="132">
        <f t="shared" si="1"/>
        <v>25910.923998541988</v>
      </c>
      <c r="Q45" s="261">
        <v>0.93241882832814738</v>
      </c>
      <c r="R45" s="92"/>
    </row>
    <row r="46" spans="1:18" x14ac:dyDescent="0.25">
      <c r="A46" s="353">
        <v>42352</v>
      </c>
      <c r="B46" s="353" t="s">
        <v>285</v>
      </c>
      <c r="C46" s="263" t="s">
        <v>440</v>
      </c>
      <c r="D46" s="157" t="s">
        <v>465</v>
      </c>
      <c r="E46" s="44">
        <f t="shared" si="0"/>
        <v>42352</v>
      </c>
      <c r="F46" s="146" t="str">
        <f t="shared" si="2"/>
        <v>2015-16</v>
      </c>
      <c r="G46" s="1"/>
      <c r="H46" s="161"/>
      <c r="I46" s="37"/>
      <c r="J46" s="135">
        <f t="shared" si="4"/>
        <v>0.76382508261777382</v>
      </c>
      <c r="K46" s="112"/>
      <c r="L46" s="37">
        <v>17.9878571542</v>
      </c>
      <c r="M46" s="37" t="s">
        <v>288</v>
      </c>
      <c r="N46" s="37">
        <v>812.22926829268283</v>
      </c>
      <c r="O46" s="130">
        <f t="shared" si="3"/>
        <v>14610.264054509167</v>
      </c>
      <c r="P46" s="132">
        <f t="shared" si="1"/>
        <v>11159.686148502955</v>
      </c>
      <c r="Q46" s="261">
        <v>1</v>
      </c>
      <c r="R46" s="92"/>
    </row>
    <row r="47" spans="1:18" x14ac:dyDescent="0.25">
      <c r="A47" s="353">
        <v>42352</v>
      </c>
      <c r="B47" s="353" t="s">
        <v>285</v>
      </c>
      <c r="C47" s="263" t="s">
        <v>440</v>
      </c>
      <c r="D47" s="157" t="s">
        <v>465</v>
      </c>
      <c r="E47" s="44">
        <f t="shared" si="0"/>
        <v>42352</v>
      </c>
      <c r="F47" s="146" t="str">
        <f t="shared" si="2"/>
        <v>2015-16</v>
      </c>
      <c r="G47" s="1"/>
      <c r="H47" s="161"/>
      <c r="I47" s="37"/>
      <c r="J47" s="135">
        <f t="shared" si="4"/>
        <v>0.76382508261777382</v>
      </c>
      <c r="K47" s="112"/>
      <c r="L47" s="37">
        <v>9.3289144584399999</v>
      </c>
      <c r="M47" s="37" t="s">
        <v>288</v>
      </c>
      <c r="N47" s="37">
        <v>1361.4565853658535</v>
      </c>
      <c r="O47" s="130">
        <f t="shared" si="3"/>
        <v>12700.912023757863</v>
      </c>
      <c r="P47" s="132">
        <f t="shared" si="1"/>
        <v>9701.275175867926</v>
      </c>
      <c r="Q47" s="261">
        <v>1</v>
      </c>
      <c r="R47" s="92"/>
    </row>
    <row r="48" spans="1:18" x14ac:dyDescent="0.25">
      <c r="A48" s="353">
        <v>42352</v>
      </c>
      <c r="B48" s="353" t="s">
        <v>285</v>
      </c>
      <c r="C48" s="263" t="s">
        <v>440</v>
      </c>
      <c r="D48" s="157" t="s">
        <v>465</v>
      </c>
      <c r="E48" s="44">
        <f t="shared" si="0"/>
        <v>42352</v>
      </c>
      <c r="F48" s="146" t="str">
        <f t="shared" si="2"/>
        <v>2015-16</v>
      </c>
      <c r="G48" s="1"/>
      <c r="H48" s="161"/>
      <c r="I48" s="37"/>
      <c r="J48" s="135">
        <f t="shared" si="4"/>
        <v>0.76382508261777382</v>
      </c>
      <c r="K48" s="112"/>
      <c r="L48" s="37">
        <v>6.59979886057</v>
      </c>
      <c r="M48" s="37" t="s">
        <v>288</v>
      </c>
      <c r="N48" s="37">
        <v>1361.4565853658535</v>
      </c>
      <c r="O48" s="130">
        <f t="shared" si="3"/>
        <v>8985.3396208130835</v>
      </c>
      <c r="P48" s="132">
        <f t="shared" si="1"/>
        <v>6863.2277782163101</v>
      </c>
      <c r="Q48" s="261">
        <v>1</v>
      </c>
      <c r="R48" s="92"/>
    </row>
    <row r="49" spans="1:18" x14ac:dyDescent="0.25">
      <c r="A49" s="353">
        <v>42352</v>
      </c>
      <c r="B49" s="353" t="s">
        <v>285</v>
      </c>
      <c r="C49" s="263" t="s">
        <v>440</v>
      </c>
      <c r="D49" s="157" t="s">
        <v>465</v>
      </c>
      <c r="E49" s="44">
        <f t="shared" si="0"/>
        <v>42352</v>
      </c>
      <c r="F49" s="146" t="str">
        <f t="shared" si="2"/>
        <v>2015-16</v>
      </c>
      <c r="G49" s="1"/>
      <c r="H49" s="161"/>
      <c r="I49" s="37"/>
      <c r="J49" s="135">
        <f t="shared" si="4"/>
        <v>0.76382508261777382</v>
      </c>
      <c r="K49" s="112"/>
      <c r="L49" s="37">
        <v>2.5946099899599999</v>
      </c>
      <c r="M49" s="37" t="s">
        <v>288</v>
      </c>
      <c r="N49" s="37">
        <v>1361.4565853658535</v>
      </c>
      <c r="O49" s="130">
        <f t="shared" si="3"/>
        <v>3532.4488572870728</v>
      </c>
      <c r="P49" s="132">
        <f t="shared" si="1"/>
        <v>2698.1730402603589</v>
      </c>
      <c r="Q49" s="261">
        <v>1</v>
      </c>
      <c r="R49" s="92"/>
    </row>
    <row r="50" spans="1:18" x14ac:dyDescent="0.25">
      <c r="A50" s="353">
        <v>42399</v>
      </c>
      <c r="B50" s="353" t="s">
        <v>285</v>
      </c>
      <c r="C50" s="263" t="s">
        <v>439</v>
      </c>
      <c r="D50" s="157" t="s">
        <v>464</v>
      </c>
      <c r="E50" s="44">
        <f t="shared" si="0"/>
        <v>42399</v>
      </c>
      <c r="F50" s="146" t="str">
        <f t="shared" si="2"/>
        <v>2015-16</v>
      </c>
      <c r="G50" s="1"/>
      <c r="H50" s="161"/>
      <c r="I50" s="37"/>
      <c r="J50" s="135">
        <f t="shared" si="4"/>
        <v>0.76382508261777382</v>
      </c>
      <c r="K50" s="112"/>
      <c r="L50" s="37">
        <v>12.032956827</v>
      </c>
      <c r="M50" s="37" t="s">
        <v>288</v>
      </c>
      <c r="N50" s="37">
        <v>1162.6195121951216</v>
      </c>
      <c r="O50" s="130">
        <f t="shared" si="3"/>
        <v>13989.750396471698</v>
      </c>
      <c r="P50" s="132">
        <f t="shared" si="1"/>
        <v>9963.5686224107267</v>
      </c>
      <c r="Q50" s="261">
        <v>0.93241882832814738</v>
      </c>
      <c r="R50" s="92"/>
    </row>
    <row r="51" spans="1:18" x14ac:dyDescent="0.25">
      <c r="A51" s="353">
        <v>42399</v>
      </c>
      <c r="B51" s="353" t="s">
        <v>285</v>
      </c>
      <c r="C51" s="263" t="s">
        <v>439</v>
      </c>
      <c r="D51" s="157" t="s">
        <v>464</v>
      </c>
      <c r="E51" s="44">
        <f t="shared" si="0"/>
        <v>42399</v>
      </c>
      <c r="F51" s="146" t="str">
        <f t="shared" si="2"/>
        <v>2015-16</v>
      </c>
      <c r="G51" s="1"/>
      <c r="H51" s="161"/>
      <c r="I51" s="37"/>
      <c r="J51" s="135">
        <f t="shared" si="4"/>
        <v>0.76382508261777382</v>
      </c>
      <c r="K51" s="112"/>
      <c r="L51" s="37">
        <v>105.363740447</v>
      </c>
      <c r="M51" s="37" t="s">
        <v>288</v>
      </c>
      <c r="N51" s="37">
        <v>3875.3912195121943</v>
      </c>
      <c r="O51" s="130">
        <f t="shared" si="3"/>
        <v>408325.71458326565</v>
      </c>
      <c r="P51" s="132">
        <f t="shared" si="1"/>
        <v>290811.57005998725</v>
      </c>
      <c r="Q51" s="261">
        <v>0.93241882832814738</v>
      </c>
      <c r="R51" s="92"/>
    </row>
    <row r="52" spans="1:18" x14ac:dyDescent="0.25">
      <c r="A52" s="353">
        <v>43501</v>
      </c>
      <c r="B52" s="353" t="s">
        <v>285</v>
      </c>
      <c r="C52" s="263" t="s">
        <v>441</v>
      </c>
      <c r="D52" s="157" t="s">
        <v>464</v>
      </c>
      <c r="E52" s="44">
        <f t="shared" si="0"/>
        <v>43501</v>
      </c>
      <c r="F52" s="146" t="str">
        <f t="shared" si="2"/>
        <v>2018-19</v>
      </c>
      <c r="G52" s="1"/>
      <c r="H52" s="161"/>
      <c r="I52" s="37"/>
      <c r="J52" s="135">
        <f t="shared" si="4"/>
        <v>0.76382508261777382</v>
      </c>
      <c r="K52" s="112"/>
      <c r="L52" s="37">
        <v>7.1486415492699997</v>
      </c>
      <c r="M52" s="37" t="s">
        <v>288</v>
      </c>
      <c r="N52" s="37">
        <v>1162.6195121951216</v>
      </c>
      <c r="O52" s="130">
        <f t="shared" si="3"/>
        <v>8311.1501508700658</v>
      </c>
      <c r="P52" s="132">
        <f t="shared" si="1"/>
        <v>6348.2649506370517</v>
      </c>
      <c r="Q52" s="261">
        <v>1</v>
      </c>
      <c r="R52" s="92"/>
    </row>
    <row r="53" spans="1:18" x14ac:dyDescent="0.25">
      <c r="A53" s="353">
        <v>43501</v>
      </c>
      <c r="B53" s="353" t="s">
        <v>285</v>
      </c>
      <c r="C53" s="263" t="s">
        <v>441</v>
      </c>
      <c r="D53" s="157" t="s">
        <v>464</v>
      </c>
      <c r="E53" s="44">
        <f t="shared" si="0"/>
        <v>43501</v>
      </c>
      <c r="F53" s="146" t="str">
        <f t="shared" si="2"/>
        <v>2018-19</v>
      </c>
      <c r="G53" s="1"/>
      <c r="H53" s="161"/>
      <c r="I53" s="37"/>
      <c r="J53" s="135">
        <f t="shared" si="4"/>
        <v>0.76382508261777382</v>
      </c>
      <c r="K53" s="112"/>
      <c r="L53" s="37">
        <v>38.131461721299999</v>
      </c>
      <c r="M53" s="37" t="s">
        <v>288</v>
      </c>
      <c r="N53" s="37">
        <v>1162.6195121951216</v>
      </c>
      <c r="O53" s="130">
        <f t="shared" si="3"/>
        <v>44332.381425704756</v>
      </c>
      <c r="P53" s="132">
        <f t="shared" si="1"/>
        <v>33862.184905131595</v>
      </c>
      <c r="Q53" s="261">
        <v>1</v>
      </c>
      <c r="R53" s="92"/>
    </row>
    <row r="54" spans="1:18" x14ac:dyDescent="0.25">
      <c r="A54" s="353">
        <v>42230</v>
      </c>
      <c r="B54" s="353" t="s">
        <v>285</v>
      </c>
      <c r="C54" s="263" t="s">
        <v>442</v>
      </c>
      <c r="D54" s="157" t="s">
        <v>464</v>
      </c>
      <c r="E54" s="44">
        <f t="shared" si="0"/>
        <v>42230</v>
      </c>
      <c r="F54" s="146" t="str">
        <f t="shared" si="2"/>
        <v>2015-16</v>
      </c>
      <c r="G54" s="1"/>
      <c r="H54" s="161"/>
      <c r="I54" s="37"/>
      <c r="J54" s="135">
        <f t="shared" si="4"/>
        <v>0.76382508261777382</v>
      </c>
      <c r="K54" s="112"/>
      <c r="L54" s="37">
        <v>38.474098585699998</v>
      </c>
      <c r="M54" s="37" t="s">
        <v>288</v>
      </c>
      <c r="N54" s="37">
        <v>1162.6195121951216</v>
      </c>
      <c r="O54" s="130">
        <f t="shared" si="3"/>
        <v>44730.73772985355</v>
      </c>
      <c r="P54" s="132">
        <f t="shared" si="1"/>
        <v>28458.265256887924</v>
      </c>
      <c r="Q54" s="261">
        <v>0.8329298885987414</v>
      </c>
      <c r="R54" s="92"/>
    </row>
    <row r="55" spans="1:18" x14ac:dyDescent="0.25">
      <c r="A55" s="353">
        <v>42230</v>
      </c>
      <c r="B55" s="353" t="s">
        <v>285</v>
      </c>
      <c r="C55" s="263" t="s">
        <v>442</v>
      </c>
      <c r="D55" s="157" t="s">
        <v>464</v>
      </c>
      <c r="E55" s="44">
        <f t="shared" si="0"/>
        <v>42230</v>
      </c>
      <c r="F55" s="146" t="str">
        <f t="shared" si="2"/>
        <v>2015-16</v>
      </c>
      <c r="G55" s="1"/>
      <c r="H55" s="161"/>
      <c r="I55" s="37"/>
      <c r="J55" s="135">
        <f t="shared" si="4"/>
        <v>0.76382508261777382</v>
      </c>
      <c r="K55" s="112"/>
      <c r="L55" s="37">
        <v>56.5770437985</v>
      </c>
      <c r="M55" s="37" t="s">
        <v>288</v>
      </c>
      <c r="N55" s="37">
        <v>1162.6195121951216</v>
      </c>
      <c r="O55" s="130">
        <f t="shared" si="3"/>
        <v>65777.575062454096</v>
      </c>
      <c r="P55" s="132">
        <f t="shared" si="1"/>
        <v>41848.531325090291</v>
      </c>
      <c r="Q55" s="261">
        <v>0.8329298885987414</v>
      </c>
      <c r="R55" s="92"/>
    </row>
    <row r="56" spans="1:18" x14ac:dyDescent="0.25">
      <c r="A56" s="353">
        <v>42230</v>
      </c>
      <c r="B56" s="353" t="s">
        <v>285</v>
      </c>
      <c r="C56" s="263" t="s">
        <v>442</v>
      </c>
      <c r="D56" s="157" t="s">
        <v>464</v>
      </c>
      <c r="E56" s="44">
        <f t="shared" si="0"/>
        <v>42230</v>
      </c>
      <c r="F56" s="146" t="str">
        <f t="shared" si="2"/>
        <v>2015-16</v>
      </c>
      <c r="G56" s="1"/>
      <c r="H56" s="161"/>
      <c r="I56" s="37"/>
      <c r="J56" s="135">
        <f t="shared" si="4"/>
        <v>0.76382508261777382</v>
      </c>
      <c r="K56" s="112"/>
      <c r="L56" s="37">
        <v>6.1715257432800001</v>
      </c>
      <c r="M56" s="37" t="s">
        <v>288</v>
      </c>
      <c r="N56" s="37">
        <v>1162.6195121951216</v>
      </c>
      <c r="O56" s="130">
        <f t="shared" si="3"/>
        <v>7175.1362491518294</v>
      </c>
      <c r="P56" s="132">
        <f t="shared" si="1"/>
        <v>4564.9130999329736</v>
      </c>
      <c r="Q56" s="261">
        <v>0.8329298885987414</v>
      </c>
      <c r="R56" s="92"/>
    </row>
    <row r="57" spans="1:18" x14ac:dyDescent="0.25">
      <c r="A57" s="353">
        <v>42230</v>
      </c>
      <c r="B57" s="353" t="s">
        <v>285</v>
      </c>
      <c r="C57" s="263" t="s">
        <v>442</v>
      </c>
      <c r="D57" s="157" t="s">
        <v>464</v>
      </c>
      <c r="E57" s="44">
        <f t="shared" si="0"/>
        <v>42230</v>
      </c>
      <c r="F57" s="146" t="str">
        <f t="shared" si="2"/>
        <v>2015-16</v>
      </c>
      <c r="G57" s="1"/>
      <c r="H57" s="161"/>
      <c r="I57" s="37"/>
      <c r="J57" s="135">
        <f t="shared" si="4"/>
        <v>0.76382508261777382</v>
      </c>
      <c r="K57" s="112"/>
      <c r="L57" s="37">
        <v>4.62889706086</v>
      </c>
      <c r="M57" s="37" t="s">
        <v>288</v>
      </c>
      <c r="N57" s="37">
        <v>3875.3912195121943</v>
      </c>
      <c r="O57" s="130">
        <f t="shared" si="3"/>
        <v>17938.787025682646</v>
      </c>
      <c r="P57" s="132">
        <f t="shared" si="1"/>
        <v>11412.884863353844</v>
      </c>
      <c r="Q57" s="261">
        <v>0.8329298885987414</v>
      </c>
      <c r="R57" s="92"/>
    </row>
    <row r="58" spans="1:18" x14ac:dyDescent="0.25">
      <c r="A58" s="353">
        <v>42230</v>
      </c>
      <c r="B58" s="353" t="s">
        <v>285</v>
      </c>
      <c r="C58" s="263" t="s">
        <v>442</v>
      </c>
      <c r="D58" s="157" t="s">
        <v>464</v>
      </c>
      <c r="E58" s="44">
        <f t="shared" si="0"/>
        <v>42230</v>
      </c>
      <c r="F58" s="146" t="str">
        <f t="shared" si="2"/>
        <v>2015-16</v>
      </c>
      <c r="G58" s="1"/>
      <c r="H58" s="161"/>
      <c r="I58" s="37"/>
      <c r="J58" s="135">
        <f t="shared" si="4"/>
        <v>0.76382508261777382</v>
      </c>
      <c r="K58" s="112"/>
      <c r="L58" s="37">
        <v>22.334220607799999</v>
      </c>
      <c r="M58" s="37" t="s">
        <v>288</v>
      </c>
      <c r="N58" s="37">
        <v>3875.3912195121943</v>
      </c>
      <c r="O58" s="130">
        <f t="shared" si="3"/>
        <v>86553.842438116422</v>
      </c>
      <c r="P58" s="132">
        <f t="shared" si="1"/>
        <v>55066.657339363854</v>
      </c>
      <c r="Q58" s="261">
        <v>0.8329298885987414</v>
      </c>
      <c r="R58" s="92"/>
    </row>
    <row r="59" spans="1:18" x14ac:dyDescent="0.25">
      <c r="A59" s="353">
        <v>42230</v>
      </c>
      <c r="B59" s="353" t="s">
        <v>285</v>
      </c>
      <c r="C59" s="263" t="s">
        <v>442</v>
      </c>
      <c r="D59" s="157" t="s">
        <v>464</v>
      </c>
      <c r="E59" s="44">
        <f t="shared" si="0"/>
        <v>42230</v>
      </c>
      <c r="F59" s="146" t="str">
        <f t="shared" si="2"/>
        <v>2015-16</v>
      </c>
      <c r="G59" s="1"/>
      <c r="H59" s="161"/>
      <c r="I59" s="37"/>
      <c r="J59" s="135">
        <f t="shared" si="4"/>
        <v>0.76382508261777382</v>
      </c>
      <c r="K59" s="112"/>
      <c r="L59" s="37">
        <v>39.994189220800003</v>
      </c>
      <c r="M59" s="37" t="s">
        <v>288</v>
      </c>
      <c r="N59" s="37">
        <v>1162.6195121951216</v>
      </c>
      <c r="O59" s="130">
        <f t="shared" si="3"/>
        <v>46498.024762525893</v>
      </c>
      <c r="P59" s="132">
        <f t="shared" si="1"/>
        <v>29582.635784031751</v>
      </c>
      <c r="Q59" s="261">
        <v>0.8329298885987414</v>
      </c>
      <c r="R59" s="92"/>
    </row>
    <row r="60" spans="1:18" x14ac:dyDescent="0.25">
      <c r="A60" s="353">
        <v>42230</v>
      </c>
      <c r="B60" s="353" t="s">
        <v>285</v>
      </c>
      <c r="C60" s="263" t="s">
        <v>442</v>
      </c>
      <c r="D60" s="157" t="s">
        <v>464</v>
      </c>
      <c r="E60" s="44">
        <f t="shared" si="0"/>
        <v>42230</v>
      </c>
      <c r="F60" s="146" t="str">
        <f t="shared" si="2"/>
        <v>2015-16</v>
      </c>
      <c r="G60" s="1"/>
      <c r="H60" s="161"/>
      <c r="I60" s="37"/>
      <c r="J60" s="135">
        <f t="shared" si="4"/>
        <v>0.76382508261777382</v>
      </c>
      <c r="K60" s="112"/>
      <c r="L60" s="37">
        <v>39.4458204389</v>
      </c>
      <c r="M60" s="37" t="s">
        <v>288</v>
      </c>
      <c r="N60" s="37">
        <v>1162.6195121951216</v>
      </c>
      <c r="O60" s="130">
        <f t="shared" si="3"/>
        <v>45860.480516810276</v>
      </c>
      <c r="P60" s="132">
        <f t="shared" si="1"/>
        <v>29177.022011972975</v>
      </c>
      <c r="Q60" s="261">
        <v>0.8329298885987414</v>
      </c>
      <c r="R60" s="92"/>
    </row>
    <row r="61" spans="1:18" x14ac:dyDescent="0.25">
      <c r="A61" s="353">
        <v>42230</v>
      </c>
      <c r="B61" s="353" t="s">
        <v>285</v>
      </c>
      <c r="C61" s="263" t="s">
        <v>442</v>
      </c>
      <c r="D61" s="157" t="s">
        <v>464</v>
      </c>
      <c r="E61" s="44">
        <f t="shared" si="0"/>
        <v>42230</v>
      </c>
      <c r="F61" s="146" t="str">
        <f t="shared" si="2"/>
        <v>2015-16</v>
      </c>
      <c r="G61" s="1"/>
      <c r="H61" s="161"/>
      <c r="I61" s="37"/>
      <c r="J61" s="135">
        <f t="shared" si="4"/>
        <v>0.76382508261777382</v>
      </c>
      <c r="K61" s="112"/>
      <c r="L61" s="37">
        <v>41.983840342100002</v>
      </c>
      <c r="M61" s="37" t="s">
        <v>288</v>
      </c>
      <c r="N61" s="37">
        <v>1162.6195121951216</v>
      </c>
      <c r="O61" s="130">
        <f t="shared" si="3"/>
        <v>48811.231978610173</v>
      </c>
      <c r="P61" s="132">
        <f t="shared" si="1"/>
        <v>31054.327687416979</v>
      </c>
      <c r="Q61" s="261">
        <v>0.8329298885987414</v>
      </c>
      <c r="R61" s="92"/>
    </row>
    <row r="62" spans="1:18" x14ac:dyDescent="0.25">
      <c r="A62" s="353">
        <v>42230</v>
      </c>
      <c r="B62" s="353" t="s">
        <v>285</v>
      </c>
      <c r="C62" s="263" t="s">
        <v>442</v>
      </c>
      <c r="D62" s="157" t="s">
        <v>464</v>
      </c>
      <c r="E62" s="44">
        <f t="shared" si="0"/>
        <v>42230</v>
      </c>
      <c r="F62" s="146" t="str">
        <f t="shared" si="2"/>
        <v>2015-16</v>
      </c>
      <c r="G62" s="1"/>
      <c r="H62" s="161"/>
      <c r="I62" s="37"/>
      <c r="J62" s="135">
        <f t="shared" si="4"/>
        <v>0.76382508261777382</v>
      </c>
      <c r="K62" s="112"/>
      <c r="L62" s="37">
        <v>17.377188226000001</v>
      </c>
      <c r="M62" s="37" t="s">
        <v>288</v>
      </c>
      <c r="N62" s="37">
        <v>3875.3912195121943</v>
      </c>
      <c r="O62" s="130">
        <f t="shared" si="3"/>
        <v>67343.402670851094</v>
      </c>
      <c r="P62" s="132">
        <f t="shared" si="1"/>
        <v>42844.730799720914</v>
      </c>
      <c r="Q62" s="261">
        <v>0.8329298885987414</v>
      </c>
      <c r="R62" s="92"/>
    </row>
    <row r="63" spans="1:18" x14ac:dyDescent="0.25">
      <c r="A63" s="353">
        <v>42230</v>
      </c>
      <c r="B63" s="353" t="s">
        <v>285</v>
      </c>
      <c r="C63" s="263" t="s">
        <v>442</v>
      </c>
      <c r="D63" s="157" t="s">
        <v>464</v>
      </c>
      <c r="E63" s="44">
        <f t="shared" si="0"/>
        <v>42230</v>
      </c>
      <c r="F63" s="146" t="str">
        <f t="shared" si="2"/>
        <v>2015-16</v>
      </c>
      <c r="G63" s="1"/>
      <c r="H63" s="161"/>
      <c r="I63" s="37"/>
      <c r="J63" s="135">
        <f t="shared" si="4"/>
        <v>0.76382508261777382</v>
      </c>
      <c r="K63" s="112"/>
      <c r="L63" s="37">
        <v>4.8427630542899998</v>
      </c>
      <c r="M63" s="37" t="s">
        <v>288</v>
      </c>
      <c r="N63" s="37">
        <v>1162.6195121951216</v>
      </c>
      <c r="O63" s="130">
        <f t="shared" si="3"/>
        <v>5630.2908198551968</v>
      </c>
      <c r="P63" s="132">
        <f t="shared" si="1"/>
        <v>3582.0627549793985</v>
      </c>
      <c r="Q63" s="261">
        <v>0.8329298885987414</v>
      </c>
      <c r="R63" s="92"/>
    </row>
    <row r="64" spans="1:18" x14ac:dyDescent="0.25">
      <c r="A64" s="353">
        <v>42230</v>
      </c>
      <c r="B64" s="353" t="s">
        <v>285</v>
      </c>
      <c r="C64" s="263" t="s">
        <v>442</v>
      </c>
      <c r="D64" s="157" t="s">
        <v>464</v>
      </c>
      <c r="E64" s="44">
        <f t="shared" si="0"/>
        <v>42230</v>
      </c>
      <c r="F64" s="146" t="str">
        <f t="shared" si="2"/>
        <v>2015-16</v>
      </c>
      <c r="G64" s="1"/>
      <c r="H64" s="161"/>
      <c r="I64" s="37"/>
      <c r="J64" s="135">
        <f t="shared" si="4"/>
        <v>0.76382508261777382</v>
      </c>
      <c r="K64" s="112"/>
      <c r="L64" s="37">
        <v>4.5039804617700003</v>
      </c>
      <c r="M64" s="37" t="s">
        <v>288</v>
      </c>
      <c r="N64" s="37">
        <v>1162.6195121951216</v>
      </c>
      <c r="O64" s="130">
        <f t="shared" si="3"/>
        <v>5236.4155673993964</v>
      </c>
      <c r="P64" s="132">
        <f t="shared" si="1"/>
        <v>3331.4743010127677</v>
      </c>
      <c r="Q64" s="261">
        <v>0.8329298885987414</v>
      </c>
      <c r="R64" s="92"/>
    </row>
    <row r="65" spans="1:18" x14ac:dyDescent="0.25">
      <c r="A65" s="353">
        <v>42230</v>
      </c>
      <c r="B65" s="353" t="s">
        <v>285</v>
      </c>
      <c r="C65" s="263" t="s">
        <v>442</v>
      </c>
      <c r="D65" s="157" t="s">
        <v>464</v>
      </c>
      <c r="E65" s="44">
        <f t="shared" si="0"/>
        <v>42230</v>
      </c>
      <c r="F65" s="146" t="str">
        <f t="shared" si="2"/>
        <v>2015-16</v>
      </c>
      <c r="G65" s="1"/>
      <c r="H65" s="161"/>
      <c r="I65" s="37"/>
      <c r="J65" s="135">
        <f t="shared" si="4"/>
        <v>0.76382508261777382</v>
      </c>
      <c r="K65" s="112"/>
      <c r="L65" s="37">
        <v>24.772196643499999</v>
      </c>
      <c r="M65" s="37" t="s">
        <v>288</v>
      </c>
      <c r="N65" s="37">
        <v>1162.6195121951216</v>
      </c>
      <c r="O65" s="130">
        <f t="shared" si="3"/>
        <v>28800.639177667599</v>
      </c>
      <c r="P65" s="132">
        <f t="shared" si="1"/>
        <v>18323.333593019779</v>
      </c>
      <c r="Q65" s="261">
        <v>0.8329298885987414</v>
      </c>
      <c r="R65" s="92"/>
    </row>
    <row r="66" spans="1:18" x14ac:dyDescent="0.25">
      <c r="A66" s="353">
        <v>42230</v>
      </c>
      <c r="B66" s="353" t="s">
        <v>285</v>
      </c>
      <c r="C66" s="263" t="s">
        <v>442</v>
      </c>
      <c r="D66" s="157" t="s">
        <v>464</v>
      </c>
      <c r="E66" s="44">
        <f t="shared" si="0"/>
        <v>42230</v>
      </c>
      <c r="F66" s="146" t="str">
        <f t="shared" si="2"/>
        <v>2015-16</v>
      </c>
      <c r="G66" s="1"/>
      <c r="H66" s="161"/>
      <c r="I66" s="37"/>
      <c r="J66" s="135">
        <f t="shared" si="4"/>
        <v>0.76382508261777382</v>
      </c>
      <c r="K66" s="112"/>
      <c r="L66" s="37">
        <v>4.7375489443400003</v>
      </c>
      <c r="M66" s="37" t="s">
        <v>288</v>
      </c>
      <c r="N66" s="37">
        <v>1162.6195121951216</v>
      </c>
      <c r="O66" s="130">
        <f t="shared" si="3"/>
        <v>5507.9668426690841</v>
      </c>
      <c r="P66" s="132">
        <f t="shared" si="1"/>
        <v>3504.2386821670125</v>
      </c>
      <c r="Q66" s="261">
        <v>0.8329298885987414</v>
      </c>
      <c r="R66" s="92"/>
    </row>
    <row r="67" spans="1:18" x14ac:dyDescent="0.25">
      <c r="A67" s="353">
        <v>42230</v>
      </c>
      <c r="B67" s="353" t="s">
        <v>285</v>
      </c>
      <c r="C67" s="263" t="s">
        <v>442</v>
      </c>
      <c r="D67" s="157" t="s">
        <v>464</v>
      </c>
      <c r="E67" s="44">
        <f t="shared" si="0"/>
        <v>42230</v>
      </c>
      <c r="F67" s="146" t="str">
        <f t="shared" si="2"/>
        <v>2015-16</v>
      </c>
      <c r="G67" s="1"/>
      <c r="H67" s="161"/>
      <c r="I67" s="37"/>
      <c r="J67" s="135">
        <f t="shared" si="4"/>
        <v>0.76382508261777382</v>
      </c>
      <c r="K67" s="112"/>
      <c r="L67" s="37">
        <v>17.367661010599999</v>
      </c>
      <c r="M67" s="37" t="s">
        <v>288</v>
      </c>
      <c r="N67" s="37">
        <v>3875.3912195121943</v>
      </c>
      <c r="O67" s="130">
        <f t="shared" si="3"/>
        <v>67306.480983943518</v>
      </c>
      <c r="P67" s="132">
        <f t="shared" si="1"/>
        <v>42821.240752092075</v>
      </c>
      <c r="Q67" s="261">
        <v>0.8329298885987414</v>
      </c>
      <c r="R67" s="92"/>
    </row>
    <row r="68" spans="1:18" x14ac:dyDescent="0.25">
      <c r="A68" s="353">
        <v>41225</v>
      </c>
      <c r="B68" s="353" t="s">
        <v>285</v>
      </c>
      <c r="C68" s="263" t="s">
        <v>443</v>
      </c>
      <c r="D68" s="157" t="s">
        <v>464</v>
      </c>
      <c r="E68" s="44">
        <f t="shared" si="0"/>
        <v>41225</v>
      </c>
      <c r="F68" s="146" t="str">
        <f t="shared" si="2"/>
        <v>2012-13</v>
      </c>
      <c r="G68" s="1"/>
      <c r="H68" s="161"/>
      <c r="I68" s="37"/>
      <c r="J68" s="135">
        <f t="shared" si="4"/>
        <v>0.76382508261777382</v>
      </c>
      <c r="K68" s="112"/>
      <c r="L68" s="37">
        <v>53.044061166200002</v>
      </c>
      <c r="M68" s="37" t="s">
        <v>288</v>
      </c>
      <c r="N68" s="37">
        <v>1680.8751219512192</v>
      </c>
      <c r="O68" s="130">
        <f t="shared" si="3"/>
        <v>89160.442781524354</v>
      </c>
      <c r="P68" s="132">
        <f t="shared" si="1"/>
        <v>61911.804289942833</v>
      </c>
      <c r="Q68" s="261">
        <v>0.90909093772537763</v>
      </c>
      <c r="R68" s="92"/>
    </row>
    <row r="69" spans="1:18" x14ac:dyDescent="0.25">
      <c r="A69" s="353">
        <v>42230</v>
      </c>
      <c r="B69" s="353" t="s">
        <v>285</v>
      </c>
      <c r="C69" s="263" t="s">
        <v>442</v>
      </c>
      <c r="D69" s="157" t="s">
        <v>464</v>
      </c>
      <c r="E69" s="44">
        <f t="shared" si="0"/>
        <v>42230</v>
      </c>
      <c r="F69" s="146" t="str">
        <f t="shared" si="2"/>
        <v>2015-16</v>
      </c>
      <c r="G69" s="1"/>
      <c r="H69" s="161"/>
      <c r="I69" s="37"/>
      <c r="J69" s="135">
        <f t="shared" si="4"/>
        <v>0.76382508261777382</v>
      </c>
      <c r="K69" s="112"/>
      <c r="L69" s="37">
        <v>180.04147720500001</v>
      </c>
      <c r="M69" s="37" t="s">
        <v>288</v>
      </c>
      <c r="N69" s="37">
        <v>3875.3912195121943</v>
      </c>
      <c r="O69" s="130">
        <f t="shared" si="3"/>
        <v>697731.15990826197</v>
      </c>
      <c r="P69" s="132">
        <f t="shared" si="1"/>
        <v>443905.45370802702</v>
      </c>
      <c r="Q69" s="261">
        <v>0.8329298885987414</v>
      </c>
      <c r="R69" s="92"/>
    </row>
    <row r="70" spans="1:18" x14ac:dyDescent="0.25">
      <c r="A70" s="353">
        <v>42230</v>
      </c>
      <c r="B70" s="353" t="s">
        <v>285</v>
      </c>
      <c r="C70" s="263" t="s">
        <v>442</v>
      </c>
      <c r="D70" s="157" t="s">
        <v>464</v>
      </c>
      <c r="E70" s="44">
        <f t="shared" si="0"/>
        <v>42230</v>
      </c>
      <c r="F70" s="146" t="str">
        <f t="shared" si="2"/>
        <v>2015-16</v>
      </c>
      <c r="G70" s="1"/>
      <c r="H70" s="161"/>
      <c r="I70" s="37"/>
      <c r="J70" s="135">
        <f t="shared" si="4"/>
        <v>0.76382508261777382</v>
      </c>
      <c r="K70" s="112"/>
      <c r="L70" s="37">
        <v>112.27513498</v>
      </c>
      <c r="M70" s="37" t="s">
        <v>288</v>
      </c>
      <c r="N70" s="37">
        <v>3875.3912195121943</v>
      </c>
      <c r="O70" s="130">
        <f t="shared" si="3"/>
        <v>435110.07227103843</v>
      </c>
      <c r="P70" s="132">
        <f t="shared" si="1"/>
        <v>276822.57170484244</v>
      </c>
      <c r="Q70" s="261">
        <v>0.8329298885987414</v>
      </c>
      <c r="R70" s="92"/>
    </row>
    <row r="71" spans="1:18" x14ac:dyDescent="0.25">
      <c r="A71" s="353">
        <v>41225</v>
      </c>
      <c r="B71" s="353" t="s">
        <v>285</v>
      </c>
      <c r="C71" s="263" t="s">
        <v>443</v>
      </c>
      <c r="D71" s="157" t="s">
        <v>464</v>
      </c>
      <c r="E71" s="44">
        <f t="shared" si="0"/>
        <v>41225</v>
      </c>
      <c r="F71" s="146" t="str">
        <f t="shared" si="2"/>
        <v>2012-13</v>
      </c>
      <c r="G71" s="1"/>
      <c r="H71" s="161"/>
      <c r="I71" s="37"/>
      <c r="J71" s="135">
        <f t="shared" si="4"/>
        <v>0.76382508261777382</v>
      </c>
      <c r="K71" s="112"/>
      <c r="L71" s="37">
        <v>109.53583430499999</v>
      </c>
      <c r="M71" s="37" t="s">
        <v>288</v>
      </c>
      <c r="N71" s="37">
        <v>1680.8751219512192</v>
      </c>
      <c r="O71" s="130">
        <f t="shared" si="3"/>
        <v>184116.0588454454</v>
      </c>
      <c r="P71" s="132">
        <f t="shared" si="1"/>
        <v>127847.69844410062</v>
      </c>
      <c r="Q71" s="261">
        <v>0.90909093772537763</v>
      </c>
      <c r="R71" s="92"/>
    </row>
    <row r="72" spans="1:18" x14ac:dyDescent="0.25">
      <c r="A72" s="353">
        <v>42230</v>
      </c>
      <c r="B72" s="353" t="s">
        <v>285</v>
      </c>
      <c r="C72" s="263" t="s">
        <v>442</v>
      </c>
      <c r="D72" s="157" t="s">
        <v>464</v>
      </c>
      <c r="E72" s="44">
        <f t="shared" si="0"/>
        <v>42230</v>
      </c>
      <c r="F72" s="146" t="str">
        <f t="shared" si="2"/>
        <v>2015-16</v>
      </c>
      <c r="G72" s="1"/>
      <c r="H72" s="161"/>
      <c r="I72" s="37"/>
      <c r="J72" s="135">
        <f t="shared" si="4"/>
        <v>0.76382508261777382</v>
      </c>
      <c r="K72" s="112"/>
      <c r="L72" s="37">
        <v>8.0267982408900007</v>
      </c>
      <c r="M72" s="37" t="s">
        <v>288</v>
      </c>
      <c r="N72" s="37">
        <v>1162.6195121951216</v>
      </c>
      <c r="O72" s="130">
        <f t="shared" si="3"/>
        <v>9332.1122553121932</v>
      </c>
      <c r="P72" s="132">
        <f t="shared" si="1"/>
        <v>5937.2087170268642</v>
      </c>
      <c r="Q72" s="261">
        <v>0.8329298885987414</v>
      </c>
      <c r="R72" s="92"/>
    </row>
    <row r="73" spans="1:18" x14ac:dyDescent="0.25">
      <c r="A73" s="353">
        <v>42230</v>
      </c>
      <c r="B73" s="353" t="s">
        <v>285</v>
      </c>
      <c r="C73" s="263" t="s">
        <v>442</v>
      </c>
      <c r="D73" s="157" t="s">
        <v>464</v>
      </c>
      <c r="E73" s="44">
        <f t="shared" si="0"/>
        <v>42230</v>
      </c>
      <c r="F73" s="146" t="str">
        <f t="shared" si="2"/>
        <v>2015-16</v>
      </c>
      <c r="G73" s="1"/>
      <c r="H73" s="161"/>
      <c r="I73" s="37"/>
      <c r="J73" s="135">
        <f t="shared" si="4"/>
        <v>0.76382508261777382</v>
      </c>
      <c r="K73" s="112"/>
      <c r="L73" s="37">
        <v>6.7137617622299999</v>
      </c>
      <c r="M73" s="37" t="s">
        <v>288</v>
      </c>
      <c r="N73" s="37">
        <v>1361.4565853658535</v>
      </c>
      <c r="O73" s="130">
        <f t="shared" si="3"/>
        <v>9140.4951637654904</v>
      </c>
      <c r="P73" s="132">
        <f t="shared" si="1"/>
        <v>5815.2994819965188</v>
      </c>
      <c r="Q73" s="261">
        <v>0.8329298885987414</v>
      </c>
      <c r="R73" s="92"/>
    </row>
    <row r="74" spans="1:18" x14ac:dyDescent="0.25">
      <c r="A74" s="353">
        <v>41225</v>
      </c>
      <c r="B74" s="353" t="s">
        <v>285</v>
      </c>
      <c r="C74" s="263" t="s">
        <v>443</v>
      </c>
      <c r="D74" s="157" t="s">
        <v>464</v>
      </c>
      <c r="E74" s="44">
        <f t="shared" si="0"/>
        <v>41225</v>
      </c>
      <c r="F74" s="146" t="str">
        <f t="shared" si="2"/>
        <v>2012-13</v>
      </c>
      <c r="G74" s="1"/>
      <c r="H74" s="161"/>
      <c r="I74" s="37"/>
      <c r="J74" s="135">
        <f t="shared" si="4"/>
        <v>0.76382508261777382</v>
      </c>
      <c r="K74" s="112"/>
      <c r="L74" s="37">
        <v>20.163551894400001</v>
      </c>
      <c r="M74" s="37" t="s">
        <v>288</v>
      </c>
      <c r="N74" s="37">
        <v>1680.8751219512192</v>
      </c>
      <c r="O74" s="130">
        <f t="shared" si="3"/>
        <v>33892.412749469338</v>
      </c>
      <c r="P74" s="132">
        <f t="shared" si="1"/>
        <v>23534.432530812002</v>
      </c>
      <c r="Q74" s="261">
        <v>0.90909093772537763</v>
      </c>
      <c r="R74" s="92"/>
    </row>
    <row r="75" spans="1:18" x14ac:dyDescent="0.25">
      <c r="A75" s="353">
        <v>42399</v>
      </c>
      <c r="B75" s="353" t="s">
        <v>285</v>
      </c>
      <c r="C75" s="263" t="s">
        <v>439</v>
      </c>
      <c r="D75" s="157" t="s">
        <v>464</v>
      </c>
      <c r="E75" s="44">
        <f t="shared" si="0"/>
        <v>42399</v>
      </c>
      <c r="F75" s="146" t="str">
        <f t="shared" si="2"/>
        <v>2015-16</v>
      </c>
      <c r="G75" s="1"/>
      <c r="H75" s="161"/>
      <c r="I75" s="37"/>
      <c r="J75" s="135">
        <f t="shared" si="4"/>
        <v>0.76382508261777382</v>
      </c>
      <c r="K75" s="112"/>
      <c r="L75" s="37">
        <v>119.756531247</v>
      </c>
      <c r="M75" s="37" t="s">
        <v>288</v>
      </c>
      <c r="N75" s="37">
        <v>3875.3912195121943</v>
      </c>
      <c r="O75" s="130">
        <f t="shared" si="3"/>
        <v>464103.40967386152</v>
      </c>
      <c r="P75" s="132">
        <f t="shared" si="1"/>
        <v>330536.71717735223</v>
      </c>
      <c r="Q75" s="261">
        <v>0.93241882832814738</v>
      </c>
      <c r="R75" s="92"/>
    </row>
    <row r="76" spans="1:18" x14ac:dyDescent="0.25">
      <c r="A76" s="353">
        <v>42399</v>
      </c>
      <c r="B76" s="353" t="s">
        <v>285</v>
      </c>
      <c r="C76" s="263" t="s">
        <v>439</v>
      </c>
      <c r="D76" s="157" t="s">
        <v>464</v>
      </c>
      <c r="E76" s="44">
        <f t="shared" si="0"/>
        <v>42399</v>
      </c>
      <c r="F76" s="146" t="str">
        <f t="shared" si="2"/>
        <v>2015-16</v>
      </c>
      <c r="G76" s="1"/>
      <c r="H76" s="161"/>
      <c r="I76" s="37"/>
      <c r="J76" s="135">
        <f t="shared" si="4"/>
        <v>0.76382508261777382</v>
      </c>
      <c r="K76" s="112"/>
      <c r="L76" s="37">
        <v>90.8413990751</v>
      </c>
      <c r="M76" s="37" t="s">
        <v>288</v>
      </c>
      <c r="N76" s="37">
        <v>3875.3912195121943</v>
      </c>
      <c r="O76" s="130">
        <f t="shared" si="3"/>
        <v>352045.96034384571</v>
      </c>
      <c r="P76" s="132">
        <f t="shared" si="1"/>
        <v>250728.85396247229</v>
      </c>
      <c r="Q76" s="261">
        <v>0.93241882832814738</v>
      </c>
      <c r="R76" s="92"/>
    </row>
    <row r="77" spans="1:18" x14ac:dyDescent="0.25">
      <c r="A77" s="353">
        <v>42399</v>
      </c>
      <c r="B77" s="353" t="s">
        <v>285</v>
      </c>
      <c r="C77" s="263" t="s">
        <v>439</v>
      </c>
      <c r="D77" s="157" t="s">
        <v>464</v>
      </c>
      <c r="E77" s="44">
        <f t="shared" si="0"/>
        <v>42399</v>
      </c>
      <c r="F77" s="146" t="str">
        <f t="shared" si="2"/>
        <v>2015-16</v>
      </c>
      <c r="G77" s="1"/>
      <c r="H77" s="161"/>
      <c r="I77" s="37"/>
      <c r="J77" s="135">
        <f t="shared" si="4"/>
        <v>0.76382508261777382</v>
      </c>
      <c r="K77" s="112"/>
      <c r="L77" s="37">
        <v>56.632997598599999</v>
      </c>
      <c r="M77" s="37" t="s">
        <v>288</v>
      </c>
      <c r="N77" s="37">
        <v>1162.6195121951216</v>
      </c>
      <c r="O77" s="130">
        <f t="shared" si="3"/>
        <v>65842.628042231823</v>
      </c>
      <c r="P77" s="132">
        <f t="shared" si="1"/>
        <v>46893.441568771355</v>
      </c>
      <c r="Q77" s="261">
        <v>0.93241882832814738</v>
      </c>
      <c r="R77" s="92"/>
    </row>
    <row r="78" spans="1:18" x14ac:dyDescent="0.25">
      <c r="A78" s="353">
        <v>42399</v>
      </c>
      <c r="B78" s="353" t="s">
        <v>285</v>
      </c>
      <c r="C78" s="263" t="s">
        <v>439</v>
      </c>
      <c r="D78" s="157" t="s">
        <v>464</v>
      </c>
      <c r="E78" s="44">
        <f t="shared" si="0"/>
        <v>42399</v>
      </c>
      <c r="F78" s="146" t="str">
        <f t="shared" si="2"/>
        <v>2015-16</v>
      </c>
      <c r="G78" s="1"/>
      <c r="H78" s="161"/>
      <c r="I78" s="37"/>
      <c r="J78" s="135">
        <f t="shared" si="4"/>
        <v>0.76382508261777382</v>
      </c>
      <c r="K78" s="112"/>
      <c r="L78" s="37">
        <v>92.240676688700006</v>
      </c>
      <c r="M78" s="37" t="s">
        <v>288</v>
      </c>
      <c r="N78" s="37">
        <v>3875.3912195121943</v>
      </c>
      <c r="O78" s="130">
        <f t="shared" si="3"/>
        <v>357468.70852125116</v>
      </c>
      <c r="P78" s="132">
        <f t="shared" si="1"/>
        <v>254590.96172397025</v>
      </c>
      <c r="Q78" s="261">
        <v>0.93241882832814738</v>
      </c>
      <c r="R78" s="92"/>
    </row>
    <row r="79" spans="1:18" x14ac:dyDescent="0.25">
      <c r="A79" s="353">
        <v>42399</v>
      </c>
      <c r="B79" s="353" t="s">
        <v>285</v>
      </c>
      <c r="C79" s="263" t="s">
        <v>439</v>
      </c>
      <c r="D79" s="157" t="s">
        <v>464</v>
      </c>
      <c r="E79" s="44">
        <f t="shared" si="0"/>
        <v>42399</v>
      </c>
      <c r="F79" s="146" t="str">
        <f t="shared" si="2"/>
        <v>2015-16</v>
      </c>
      <c r="G79" s="1"/>
      <c r="H79" s="161"/>
      <c r="I79" s="37"/>
      <c r="J79" s="135">
        <f t="shared" si="4"/>
        <v>0.76382508261777382</v>
      </c>
      <c r="K79" s="112"/>
      <c r="L79" s="37">
        <v>91.248001452099999</v>
      </c>
      <c r="M79" s="37" t="s">
        <v>288</v>
      </c>
      <c r="N79" s="37">
        <v>1162.6195121951216</v>
      </c>
      <c r="O79" s="130">
        <f t="shared" si="3"/>
        <v>106086.70693702025</v>
      </c>
      <c r="P79" s="132">
        <f t="shared" si="1"/>
        <v>75555.471294124</v>
      </c>
      <c r="Q79" s="261">
        <v>0.93241882832814738</v>
      </c>
      <c r="R79" s="92"/>
    </row>
    <row r="80" spans="1:18" x14ac:dyDescent="0.25">
      <c r="A80" s="353">
        <v>42399</v>
      </c>
      <c r="B80" s="353" t="s">
        <v>285</v>
      </c>
      <c r="C80" s="263" t="s">
        <v>439</v>
      </c>
      <c r="D80" s="157" t="s">
        <v>464</v>
      </c>
      <c r="E80" s="44">
        <f t="shared" si="0"/>
        <v>42399</v>
      </c>
      <c r="F80" s="146" t="str">
        <f t="shared" si="2"/>
        <v>2015-16</v>
      </c>
      <c r="G80" s="1"/>
      <c r="H80" s="161"/>
      <c r="I80" s="37"/>
      <c r="J80" s="135">
        <f t="shared" si="4"/>
        <v>0.76382508261777382</v>
      </c>
      <c r="K80" s="112"/>
      <c r="L80" s="37">
        <v>171.16272935999999</v>
      </c>
      <c r="M80" s="37" t="s">
        <v>288</v>
      </c>
      <c r="N80" s="37">
        <v>3875.3912195121943</v>
      </c>
      <c r="O80" s="130">
        <f t="shared" si="3"/>
        <v>663322.53846948605</v>
      </c>
      <c r="P80" s="132">
        <f t="shared" si="1"/>
        <v>472421.55460466607</v>
      </c>
      <c r="Q80" s="261">
        <v>0.93241882832814738</v>
      </c>
      <c r="R80" s="92"/>
    </row>
    <row r="81" spans="1:18" x14ac:dyDescent="0.25">
      <c r="A81" s="353">
        <v>41167</v>
      </c>
      <c r="B81" s="353" t="s">
        <v>285</v>
      </c>
      <c r="C81" s="263" t="s">
        <v>444</v>
      </c>
      <c r="D81" s="157" t="s">
        <v>464</v>
      </c>
      <c r="E81" s="44">
        <f t="shared" si="0"/>
        <v>41167</v>
      </c>
      <c r="F81" s="146" t="str">
        <f t="shared" si="2"/>
        <v>2012-13</v>
      </c>
      <c r="G81" s="1"/>
      <c r="H81" s="161"/>
      <c r="I81" s="37"/>
      <c r="J81" s="135">
        <f t="shared" si="4"/>
        <v>0.76382508261777382</v>
      </c>
      <c r="K81" s="112"/>
      <c r="L81" s="37">
        <v>111.634055848</v>
      </c>
      <c r="M81" s="37" t="s">
        <v>288</v>
      </c>
      <c r="N81" s="37">
        <v>1162.6195121951216</v>
      </c>
      <c r="O81" s="130">
        <f t="shared" si="3"/>
        <v>129787.93155436472</v>
      </c>
      <c r="P81" s="132">
        <f t="shared" si="1"/>
        <v>90123.021672542629</v>
      </c>
      <c r="Q81" s="261">
        <v>0.90909133364846528</v>
      </c>
      <c r="R81" s="92"/>
    </row>
    <row r="82" spans="1:18" x14ac:dyDescent="0.25">
      <c r="A82" s="353">
        <v>41183</v>
      </c>
      <c r="B82" s="353" t="s">
        <v>285</v>
      </c>
      <c r="C82" s="263" t="s">
        <v>445</v>
      </c>
      <c r="D82" s="157" t="s">
        <v>464</v>
      </c>
      <c r="E82" s="44">
        <f t="shared" si="0"/>
        <v>41183</v>
      </c>
      <c r="F82" s="146" t="str">
        <f t="shared" si="2"/>
        <v>2012-13</v>
      </c>
      <c r="G82" s="1"/>
      <c r="H82" s="161"/>
      <c r="I82" s="37"/>
      <c r="J82" s="135">
        <f t="shared" si="4"/>
        <v>0.76382508261777382</v>
      </c>
      <c r="K82" s="112"/>
      <c r="L82" s="37">
        <v>75.932311014899994</v>
      </c>
      <c r="M82" s="37" t="s">
        <v>288</v>
      </c>
      <c r="N82" s="37">
        <v>812.22926829268283</v>
      </c>
      <c r="O82" s="130">
        <f t="shared" si="3"/>
        <v>61674.44541540464</v>
      </c>
      <c r="P82" s="132">
        <f t="shared" si="1"/>
        <v>195.22225816581022</v>
      </c>
      <c r="Q82" s="261">
        <v>4.1440993957167884E-3</v>
      </c>
      <c r="R82" s="92"/>
    </row>
    <row r="83" spans="1:18" x14ac:dyDescent="0.25">
      <c r="A83" s="353">
        <v>41254</v>
      </c>
      <c r="B83" s="353" t="s">
        <v>285</v>
      </c>
      <c r="C83" s="263" t="s">
        <v>446</v>
      </c>
      <c r="D83" s="157" t="s">
        <v>465</v>
      </c>
      <c r="E83" s="44">
        <f t="shared" si="0"/>
        <v>41254</v>
      </c>
      <c r="F83" s="146" t="str">
        <f t="shared" si="2"/>
        <v>2012-13</v>
      </c>
      <c r="G83" s="1"/>
      <c r="H83" s="161"/>
      <c r="I83" s="37"/>
      <c r="J83" s="135">
        <f t="shared" si="4"/>
        <v>0.76382508261777382</v>
      </c>
      <c r="K83" s="112"/>
      <c r="L83" s="37">
        <v>87.844393227300003</v>
      </c>
      <c r="M83" s="37" t="s">
        <v>288</v>
      </c>
      <c r="N83" s="37">
        <v>812.22926829268283</v>
      </c>
      <c r="O83" s="130">
        <f t="shared" si="3"/>
        <v>71349.787234624586</v>
      </c>
      <c r="P83" s="132">
        <f t="shared" si="1"/>
        <v>4549.4643094674566</v>
      </c>
      <c r="Q83" s="261">
        <v>8.3478313068279256E-2</v>
      </c>
      <c r="R83" s="92"/>
    </row>
    <row r="84" spans="1:18" x14ac:dyDescent="0.25">
      <c r="A84" s="353">
        <v>41167</v>
      </c>
      <c r="B84" s="353" t="s">
        <v>285</v>
      </c>
      <c r="C84" s="263" t="s">
        <v>444</v>
      </c>
      <c r="D84" s="157" t="s">
        <v>464</v>
      </c>
      <c r="E84" s="44">
        <f t="shared" si="0"/>
        <v>41167</v>
      </c>
      <c r="F84" s="146" t="str">
        <f t="shared" si="2"/>
        <v>2012-13</v>
      </c>
      <c r="G84" s="1"/>
      <c r="H84" s="161"/>
      <c r="I84" s="37"/>
      <c r="J84" s="135">
        <f t="shared" si="4"/>
        <v>0.76382508261777382</v>
      </c>
      <c r="K84" s="112"/>
      <c r="L84" s="37">
        <v>61.269436116199998</v>
      </c>
      <c r="M84" s="37" t="s">
        <v>288</v>
      </c>
      <c r="N84" s="37">
        <v>3336.4019512195118</v>
      </c>
      <c r="O84" s="130">
        <f t="shared" si="3"/>
        <v>204419.46620820891</v>
      </c>
      <c r="P84" s="132">
        <f t="shared" si="1"/>
        <v>141946.17144087193</v>
      </c>
      <c r="Q84" s="261">
        <v>0.90909133364846528</v>
      </c>
      <c r="R84" s="92"/>
    </row>
    <row r="85" spans="1:18" x14ac:dyDescent="0.25">
      <c r="A85" s="353">
        <v>41183</v>
      </c>
      <c r="B85" s="353" t="s">
        <v>285</v>
      </c>
      <c r="C85" s="263" t="s">
        <v>445</v>
      </c>
      <c r="D85" s="157" t="s">
        <v>464</v>
      </c>
      <c r="E85" s="44">
        <f t="shared" si="0"/>
        <v>41183</v>
      </c>
      <c r="F85" s="146" t="str">
        <f t="shared" si="2"/>
        <v>2012-13</v>
      </c>
      <c r="G85" s="1"/>
      <c r="H85" s="161"/>
      <c r="I85" s="37"/>
      <c r="J85" s="135">
        <f t="shared" si="4"/>
        <v>0.76382508261777382</v>
      </c>
      <c r="K85" s="112"/>
      <c r="L85" s="37">
        <v>29.388646090799998</v>
      </c>
      <c r="M85" s="37" t="s">
        <v>288</v>
      </c>
      <c r="N85" s="37">
        <v>812.22926829268283</v>
      </c>
      <c r="O85" s="130">
        <f t="shared" si="3"/>
        <v>23870.318510443096</v>
      </c>
      <c r="P85" s="132">
        <f t="shared" si="1"/>
        <v>75.558320003667063</v>
      </c>
      <c r="Q85" s="261">
        <v>4.1440993957167884E-3</v>
      </c>
      <c r="R85" s="92"/>
    </row>
    <row r="86" spans="1:18" x14ac:dyDescent="0.25">
      <c r="A86" s="353">
        <v>41183</v>
      </c>
      <c r="B86" s="353" t="s">
        <v>285</v>
      </c>
      <c r="C86" s="263" t="s">
        <v>445</v>
      </c>
      <c r="D86" s="157" t="s">
        <v>464</v>
      </c>
      <c r="E86" s="44">
        <f t="shared" si="0"/>
        <v>41183</v>
      </c>
      <c r="F86" s="146" t="str">
        <f t="shared" si="2"/>
        <v>2012-13</v>
      </c>
      <c r="G86" s="1"/>
      <c r="H86" s="161"/>
      <c r="I86" s="37"/>
      <c r="J86" s="135">
        <f t="shared" si="4"/>
        <v>0.76382508261777382</v>
      </c>
      <c r="K86" s="112"/>
      <c r="L86" s="37">
        <v>30.183224995</v>
      </c>
      <c r="M86" s="37" t="s">
        <v>288</v>
      </c>
      <c r="N86" s="37">
        <v>812.22926829268283</v>
      </c>
      <c r="O86" s="130">
        <f t="shared" si="3"/>
        <v>24515.698752402266</v>
      </c>
      <c r="P86" s="132">
        <f t="shared" si="1"/>
        <v>77.601185364875434</v>
      </c>
      <c r="Q86" s="261">
        <v>4.1440993957167884E-3</v>
      </c>
      <c r="R86" s="92"/>
    </row>
    <row r="87" spans="1:18" x14ac:dyDescent="0.25">
      <c r="A87" s="353">
        <v>41183</v>
      </c>
      <c r="B87" s="353" t="s">
        <v>285</v>
      </c>
      <c r="C87" s="263" t="s">
        <v>445</v>
      </c>
      <c r="D87" s="157" t="s">
        <v>464</v>
      </c>
      <c r="E87" s="44">
        <f t="shared" ref="E87:E150" si="5">IF(VALUE(A87)&lt;2022,DATEVALUE("30 Jun "&amp;A87),A87)</f>
        <v>41183</v>
      </c>
      <c r="F87" s="146" t="str">
        <f t="shared" si="2"/>
        <v>2012-13</v>
      </c>
      <c r="G87" s="1"/>
      <c r="H87" s="161"/>
      <c r="I87" s="37"/>
      <c r="J87" s="135">
        <f t="shared" si="4"/>
        <v>0.76382508261777382</v>
      </c>
      <c r="K87" s="112"/>
      <c r="L87" s="37">
        <v>39.841913330099999</v>
      </c>
      <c r="M87" s="37" t="s">
        <v>288</v>
      </c>
      <c r="N87" s="37">
        <v>812.22926829268283</v>
      </c>
      <c r="O87" s="130">
        <f t="shared" si="3"/>
        <v>32360.768111487607</v>
      </c>
      <c r="P87" s="132">
        <f t="shared" ref="P87:P150" si="6">IF(O87="-","-",IF(OR(E87&lt;$E$15,E87&gt;$E$16),0,O87*J87))*Q87</f>
        <v>102.43370952350385</v>
      </c>
      <c r="Q87" s="261">
        <v>4.1440993957167884E-3</v>
      </c>
      <c r="R87" s="92"/>
    </row>
    <row r="88" spans="1:18" x14ac:dyDescent="0.25">
      <c r="A88" s="353">
        <v>41183</v>
      </c>
      <c r="B88" s="353" t="s">
        <v>285</v>
      </c>
      <c r="C88" s="263" t="s">
        <v>445</v>
      </c>
      <c r="D88" s="157" t="s">
        <v>464</v>
      </c>
      <c r="E88" s="44">
        <f t="shared" si="5"/>
        <v>41183</v>
      </c>
      <c r="F88" s="146" t="str">
        <f t="shared" ref="F88:F151" si="7">IF(E88="","-",IF(OR(E88&lt;$E$15,E88&gt;$E$16),"ERROR - date outside of range",IF(MONTH(E88)&gt;=7,YEAR(E88)&amp;"-"&amp;IF(YEAR(E88)=1999,"00",IF(AND(YEAR(E88)&gt;=2000,YEAR(E88)&lt;2009),"0","")&amp;RIGHT(YEAR(E88),2)+1),RIGHT(YEAR(E88),4)-1&amp;"-"&amp;RIGHT(YEAR(E88),2))))</f>
        <v>2012-13</v>
      </c>
      <c r="G88" s="1"/>
      <c r="H88" s="161"/>
      <c r="I88" s="37"/>
      <c r="J88" s="135">
        <f t="shared" si="4"/>
        <v>0.76382508261777382</v>
      </c>
      <c r="K88" s="112"/>
      <c r="L88" s="37">
        <v>15.9029065864</v>
      </c>
      <c r="M88" s="37" t="s">
        <v>288</v>
      </c>
      <c r="N88" s="37">
        <v>812.22926829268283</v>
      </c>
      <c r="O88" s="130">
        <f t="shared" ref="O88:O151" si="8">IF(N88="","-",L88*N88)</f>
        <v>12916.806180398558</v>
      </c>
      <c r="P88" s="132">
        <f t="shared" si="6"/>
        <v>40.886432846588022</v>
      </c>
      <c r="Q88" s="261">
        <v>4.1440993957167884E-3</v>
      </c>
      <c r="R88" s="92"/>
    </row>
    <row r="89" spans="1:18" x14ac:dyDescent="0.25">
      <c r="A89" s="353">
        <v>41183</v>
      </c>
      <c r="B89" s="353" t="s">
        <v>285</v>
      </c>
      <c r="C89" s="263" t="s">
        <v>445</v>
      </c>
      <c r="D89" s="157" t="s">
        <v>464</v>
      </c>
      <c r="E89" s="44">
        <f t="shared" si="5"/>
        <v>41183</v>
      </c>
      <c r="F89" s="146" t="str">
        <f t="shared" si="7"/>
        <v>2012-13</v>
      </c>
      <c r="G89" s="1"/>
      <c r="H89" s="161"/>
      <c r="I89" s="37"/>
      <c r="J89" s="135">
        <f t="shared" ref="J89:J152" si="9">J88</f>
        <v>0.76382508261777382</v>
      </c>
      <c r="K89" s="112"/>
      <c r="L89" s="37">
        <v>18.490540896300001</v>
      </c>
      <c r="M89" s="37" t="s">
        <v>288</v>
      </c>
      <c r="N89" s="37">
        <v>812.22926829268283</v>
      </c>
      <c r="O89" s="130">
        <f t="shared" si="8"/>
        <v>15018.558502537677</v>
      </c>
      <c r="P89" s="132">
        <f t="shared" si="6"/>
        <v>47.53925042232175</v>
      </c>
      <c r="Q89" s="261">
        <v>4.1440993957167884E-3</v>
      </c>
      <c r="R89" s="92"/>
    </row>
    <row r="90" spans="1:18" x14ac:dyDescent="0.25">
      <c r="A90" s="353">
        <v>41183</v>
      </c>
      <c r="B90" s="353" t="s">
        <v>285</v>
      </c>
      <c r="C90" s="263" t="s">
        <v>445</v>
      </c>
      <c r="D90" s="157" t="s">
        <v>464</v>
      </c>
      <c r="E90" s="44">
        <f t="shared" si="5"/>
        <v>41183</v>
      </c>
      <c r="F90" s="146" t="str">
        <f t="shared" si="7"/>
        <v>2012-13</v>
      </c>
      <c r="G90" s="1"/>
      <c r="H90" s="161"/>
      <c r="I90" s="37"/>
      <c r="J90" s="135">
        <f t="shared" si="9"/>
        <v>0.76382508261777382</v>
      </c>
      <c r="K90" s="112"/>
      <c r="L90" s="37">
        <v>1.45554972433</v>
      </c>
      <c r="M90" s="37" t="s">
        <v>288</v>
      </c>
      <c r="N90" s="37">
        <v>812.22926829268283</v>
      </c>
      <c r="O90" s="130">
        <f t="shared" si="8"/>
        <v>1182.2400875561721</v>
      </c>
      <c r="P90" s="132">
        <f t="shared" si="6"/>
        <v>3.7422238340746148</v>
      </c>
      <c r="Q90" s="261">
        <v>4.1440993957167884E-3</v>
      </c>
      <c r="R90" s="92"/>
    </row>
    <row r="91" spans="1:18" x14ac:dyDescent="0.25">
      <c r="A91" s="353">
        <v>41183</v>
      </c>
      <c r="B91" s="353" t="s">
        <v>285</v>
      </c>
      <c r="C91" s="263" t="s">
        <v>445</v>
      </c>
      <c r="D91" s="157" t="s">
        <v>464</v>
      </c>
      <c r="E91" s="44">
        <f t="shared" si="5"/>
        <v>41183</v>
      </c>
      <c r="F91" s="146" t="str">
        <f t="shared" si="7"/>
        <v>2012-13</v>
      </c>
      <c r="G91" s="1"/>
      <c r="H91" s="161"/>
      <c r="I91" s="37"/>
      <c r="J91" s="135">
        <f t="shared" si="9"/>
        <v>0.76382508261777382</v>
      </c>
      <c r="K91" s="112"/>
      <c r="L91" s="37">
        <v>12.7115373185</v>
      </c>
      <c r="M91" s="37" t="s">
        <v>288</v>
      </c>
      <c r="N91" s="37">
        <v>812.22926829268283</v>
      </c>
      <c r="O91" s="130">
        <f t="shared" si="8"/>
        <v>10324.682655080387</v>
      </c>
      <c r="P91" s="132">
        <f t="shared" si="6"/>
        <v>32.681410415515806</v>
      </c>
      <c r="Q91" s="261">
        <v>4.1440993957167884E-3</v>
      </c>
      <c r="R91" s="92"/>
    </row>
    <row r="92" spans="1:18" x14ac:dyDescent="0.25">
      <c r="A92" s="353">
        <v>41183</v>
      </c>
      <c r="B92" s="353" t="s">
        <v>285</v>
      </c>
      <c r="C92" s="263" t="s">
        <v>445</v>
      </c>
      <c r="D92" s="157" t="s">
        <v>464</v>
      </c>
      <c r="E92" s="44">
        <f t="shared" si="5"/>
        <v>41183</v>
      </c>
      <c r="F92" s="146" t="str">
        <f t="shared" si="7"/>
        <v>2012-13</v>
      </c>
      <c r="G92" s="1"/>
      <c r="H92" s="161"/>
      <c r="I92" s="37"/>
      <c r="J92" s="135">
        <f t="shared" si="9"/>
        <v>0.76382508261777382</v>
      </c>
      <c r="K92" s="112"/>
      <c r="L92" s="37">
        <v>17.339208344100001</v>
      </c>
      <c r="M92" s="37" t="s">
        <v>288</v>
      </c>
      <c r="N92" s="37">
        <v>812.22926829268283</v>
      </c>
      <c r="O92" s="130">
        <f t="shared" si="8"/>
        <v>14083.412506102724</v>
      </c>
      <c r="P92" s="132">
        <f t="shared" si="6"/>
        <v>44.579170085820671</v>
      </c>
      <c r="Q92" s="261">
        <v>4.1440993957167884E-3</v>
      </c>
      <c r="R92" s="92"/>
    </row>
    <row r="93" spans="1:18" x14ac:dyDescent="0.25">
      <c r="A93" s="353">
        <v>41183</v>
      </c>
      <c r="B93" s="353" t="s">
        <v>285</v>
      </c>
      <c r="C93" s="263" t="s">
        <v>445</v>
      </c>
      <c r="D93" s="157" t="s">
        <v>464</v>
      </c>
      <c r="E93" s="44">
        <f t="shared" si="5"/>
        <v>41183</v>
      </c>
      <c r="F93" s="146" t="str">
        <f t="shared" si="7"/>
        <v>2012-13</v>
      </c>
      <c r="G93" s="1"/>
      <c r="H93" s="161"/>
      <c r="I93" s="37"/>
      <c r="J93" s="135">
        <f t="shared" si="9"/>
        <v>0.76382508261777382</v>
      </c>
      <c r="K93" s="112"/>
      <c r="L93" s="37">
        <v>5.9105198586899999</v>
      </c>
      <c r="M93" s="37" t="s">
        <v>288</v>
      </c>
      <c r="N93" s="37">
        <v>812.22926829268283</v>
      </c>
      <c r="O93" s="130">
        <f t="shared" si="8"/>
        <v>4800.69722005315</v>
      </c>
      <c r="P93" s="132">
        <f t="shared" si="6"/>
        <v>15.195968861278404</v>
      </c>
      <c r="Q93" s="261">
        <v>4.1440993957167884E-3</v>
      </c>
      <c r="R93" s="92"/>
    </row>
    <row r="94" spans="1:18" x14ac:dyDescent="0.25">
      <c r="A94" s="353">
        <v>41183</v>
      </c>
      <c r="B94" s="353" t="s">
        <v>285</v>
      </c>
      <c r="C94" s="263" t="s">
        <v>445</v>
      </c>
      <c r="D94" s="157" t="s">
        <v>464</v>
      </c>
      <c r="E94" s="44">
        <f t="shared" si="5"/>
        <v>41183</v>
      </c>
      <c r="F94" s="146" t="str">
        <f t="shared" si="7"/>
        <v>2012-13</v>
      </c>
      <c r="G94" s="1"/>
      <c r="H94" s="161"/>
      <c r="I94" s="37"/>
      <c r="J94" s="135">
        <f t="shared" si="9"/>
        <v>0.76382508261777382</v>
      </c>
      <c r="K94" s="112"/>
      <c r="L94" s="37">
        <v>31.644442245</v>
      </c>
      <c r="M94" s="37" t="s">
        <v>288</v>
      </c>
      <c r="N94" s="37">
        <v>812.22926829268283</v>
      </c>
      <c r="O94" s="130">
        <f t="shared" si="8"/>
        <v>25702.542170186411</v>
      </c>
      <c r="P94" s="132">
        <f t="shared" si="6"/>
        <v>81.357980428835191</v>
      </c>
      <c r="Q94" s="261">
        <v>4.1440993957167884E-3</v>
      </c>
      <c r="R94" s="92"/>
    </row>
    <row r="95" spans="1:18" x14ac:dyDescent="0.25">
      <c r="A95" s="353">
        <v>41183</v>
      </c>
      <c r="B95" s="353" t="s">
        <v>285</v>
      </c>
      <c r="C95" s="263" t="s">
        <v>445</v>
      </c>
      <c r="D95" s="157" t="s">
        <v>464</v>
      </c>
      <c r="E95" s="44">
        <f t="shared" si="5"/>
        <v>41183</v>
      </c>
      <c r="F95" s="146" t="str">
        <f t="shared" si="7"/>
        <v>2012-13</v>
      </c>
      <c r="G95" s="1"/>
      <c r="H95" s="161"/>
      <c r="I95" s="37"/>
      <c r="J95" s="135">
        <f t="shared" si="9"/>
        <v>0.76382508261777382</v>
      </c>
      <c r="K95" s="112"/>
      <c r="L95" s="37">
        <v>25.579062009200001</v>
      </c>
      <c r="M95" s="37" t="s">
        <v>288</v>
      </c>
      <c r="N95" s="37">
        <v>812.22926829268283</v>
      </c>
      <c r="O95" s="130">
        <f t="shared" si="8"/>
        <v>20776.06281934568</v>
      </c>
      <c r="P95" s="132">
        <f t="shared" si="6"/>
        <v>65.763864953608888</v>
      </c>
      <c r="Q95" s="261">
        <v>4.1440993957167884E-3</v>
      </c>
      <c r="R95" s="92"/>
    </row>
    <row r="96" spans="1:18" x14ac:dyDescent="0.25">
      <c r="A96" s="353">
        <v>41183</v>
      </c>
      <c r="B96" s="353" t="s">
        <v>285</v>
      </c>
      <c r="C96" s="263" t="s">
        <v>445</v>
      </c>
      <c r="D96" s="157" t="s">
        <v>464</v>
      </c>
      <c r="E96" s="44">
        <f t="shared" si="5"/>
        <v>41183</v>
      </c>
      <c r="F96" s="146" t="str">
        <f t="shared" si="7"/>
        <v>2012-13</v>
      </c>
      <c r="G96" s="1"/>
      <c r="H96" s="161"/>
      <c r="I96" s="37"/>
      <c r="J96" s="135">
        <f t="shared" si="9"/>
        <v>0.76382508261777382</v>
      </c>
      <c r="K96" s="112"/>
      <c r="L96" s="37">
        <v>27.484477253600001</v>
      </c>
      <c r="M96" s="37" t="s">
        <v>288</v>
      </c>
      <c r="N96" s="37">
        <v>812.22926829268283</v>
      </c>
      <c r="O96" s="130">
        <f t="shared" si="8"/>
        <v>22323.696849098415</v>
      </c>
      <c r="P96" s="132">
        <f t="shared" si="6"/>
        <v>70.662694737445378</v>
      </c>
      <c r="Q96" s="261">
        <v>4.1440993957167884E-3</v>
      </c>
      <c r="R96" s="92"/>
    </row>
    <row r="97" spans="1:18" x14ac:dyDescent="0.25">
      <c r="A97" s="353">
        <v>41183</v>
      </c>
      <c r="B97" s="353" t="s">
        <v>285</v>
      </c>
      <c r="C97" s="263" t="s">
        <v>445</v>
      </c>
      <c r="D97" s="157" t="s">
        <v>464</v>
      </c>
      <c r="E97" s="44">
        <f t="shared" si="5"/>
        <v>41183</v>
      </c>
      <c r="F97" s="146" t="str">
        <f t="shared" si="7"/>
        <v>2012-13</v>
      </c>
      <c r="G97" s="1"/>
      <c r="H97" s="161"/>
      <c r="I97" s="37"/>
      <c r="J97" s="135">
        <f t="shared" si="9"/>
        <v>0.76382508261777382</v>
      </c>
      <c r="K97" s="112"/>
      <c r="L97" s="37">
        <v>43.191310773799998</v>
      </c>
      <c r="M97" s="37" t="s">
        <v>288</v>
      </c>
      <c r="N97" s="37">
        <v>812.22926829268283</v>
      </c>
      <c r="O97" s="130">
        <f t="shared" si="8"/>
        <v>35081.246746405443</v>
      </c>
      <c r="P97" s="132">
        <f t="shared" si="6"/>
        <v>111.04502299091034</v>
      </c>
      <c r="Q97" s="261">
        <v>4.1440993957167884E-3</v>
      </c>
      <c r="R97" s="92"/>
    </row>
    <row r="98" spans="1:18" x14ac:dyDescent="0.25">
      <c r="A98" s="353">
        <v>41183</v>
      </c>
      <c r="B98" s="353" t="s">
        <v>285</v>
      </c>
      <c r="C98" s="263" t="s">
        <v>445</v>
      </c>
      <c r="D98" s="157" t="s">
        <v>464</v>
      </c>
      <c r="E98" s="44">
        <f t="shared" si="5"/>
        <v>41183</v>
      </c>
      <c r="F98" s="146" t="str">
        <f t="shared" si="7"/>
        <v>2012-13</v>
      </c>
      <c r="G98" s="1"/>
      <c r="H98" s="161"/>
      <c r="I98" s="37"/>
      <c r="J98" s="135">
        <f t="shared" si="9"/>
        <v>0.76382508261777382</v>
      </c>
      <c r="K98" s="112"/>
      <c r="L98" s="37">
        <v>50.875367078899998</v>
      </c>
      <c r="M98" s="37" t="s">
        <v>288</v>
      </c>
      <c r="N98" s="37">
        <v>812.22926829268283</v>
      </c>
      <c r="O98" s="130">
        <f t="shared" si="8"/>
        <v>41322.462176616587</v>
      </c>
      <c r="P98" s="132">
        <f t="shared" si="6"/>
        <v>130.80076074872062</v>
      </c>
      <c r="Q98" s="261">
        <v>4.1440993957167884E-3</v>
      </c>
      <c r="R98" s="92"/>
    </row>
    <row r="99" spans="1:18" x14ac:dyDescent="0.25">
      <c r="A99" s="353">
        <v>41183</v>
      </c>
      <c r="B99" s="353" t="s">
        <v>285</v>
      </c>
      <c r="C99" s="263" t="s">
        <v>445</v>
      </c>
      <c r="D99" s="157" t="s">
        <v>464</v>
      </c>
      <c r="E99" s="44">
        <f t="shared" si="5"/>
        <v>41183</v>
      </c>
      <c r="F99" s="146" t="str">
        <f t="shared" si="7"/>
        <v>2012-13</v>
      </c>
      <c r="G99" s="1"/>
      <c r="H99" s="161"/>
      <c r="I99" s="37"/>
      <c r="J99" s="135">
        <f t="shared" si="9"/>
        <v>0.76382508261777382</v>
      </c>
      <c r="K99" s="112"/>
      <c r="L99" s="37">
        <v>31.075006677400001</v>
      </c>
      <c r="M99" s="37" t="s">
        <v>288</v>
      </c>
      <c r="N99" s="37">
        <v>812.22926829268283</v>
      </c>
      <c r="O99" s="130">
        <f t="shared" si="8"/>
        <v>25240.029935774837</v>
      </c>
      <c r="P99" s="132">
        <f t="shared" si="6"/>
        <v>79.89395943565107</v>
      </c>
      <c r="Q99" s="261">
        <v>4.1440993957167884E-3</v>
      </c>
      <c r="R99" s="92"/>
    </row>
    <row r="100" spans="1:18" x14ac:dyDescent="0.25">
      <c r="A100" s="353">
        <v>41183</v>
      </c>
      <c r="B100" s="353" t="s">
        <v>285</v>
      </c>
      <c r="C100" s="263" t="s">
        <v>445</v>
      </c>
      <c r="D100" s="157" t="s">
        <v>464</v>
      </c>
      <c r="E100" s="44">
        <f t="shared" si="5"/>
        <v>41183</v>
      </c>
      <c r="F100" s="146" t="str">
        <f t="shared" si="7"/>
        <v>2012-13</v>
      </c>
      <c r="G100" s="1"/>
      <c r="H100" s="161"/>
      <c r="I100" s="37"/>
      <c r="J100" s="135">
        <f t="shared" si="9"/>
        <v>0.76382508261777382</v>
      </c>
      <c r="K100" s="112"/>
      <c r="L100" s="37">
        <v>22.936911371099999</v>
      </c>
      <c r="M100" s="37" t="s">
        <v>288</v>
      </c>
      <c r="N100" s="37">
        <v>812.22926829268283</v>
      </c>
      <c r="O100" s="130">
        <f t="shared" si="8"/>
        <v>18630.03073984267</v>
      </c>
      <c r="P100" s="132">
        <f t="shared" si="6"/>
        <v>58.970885692344154</v>
      </c>
      <c r="Q100" s="261">
        <v>4.1440993957167884E-3</v>
      </c>
      <c r="R100" s="92"/>
    </row>
    <row r="101" spans="1:18" x14ac:dyDescent="0.25">
      <c r="A101" s="353">
        <v>41183</v>
      </c>
      <c r="B101" s="353" t="s">
        <v>285</v>
      </c>
      <c r="C101" s="263" t="s">
        <v>445</v>
      </c>
      <c r="D101" s="157" t="s">
        <v>464</v>
      </c>
      <c r="E101" s="44">
        <f t="shared" si="5"/>
        <v>41183</v>
      </c>
      <c r="F101" s="146" t="str">
        <f t="shared" si="7"/>
        <v>2012-13</v>
      </c>
      <c r="G101" s="1"/>
      <c r="H101" s="161"/>
      <c r="I101" s="37"/>
      <c r="J101" s="135">
        <f t="shared" si="9"/>
        <v>0.76382508261777382</v>
      </c>
      <c r="K101" s="112"/>
      <c r="L101" s="37">
        <v>5.7789069035600003</v>
      </c>
      <c r="M101" s="37" t="s">
        <v>288</v>
      </c>
      <c r="N101" s="37">
        <v>812.22926829268283</v>
      </c>
      <c r="O101" s="130">
        <f t="shared" si="8"/>
        <v>4693.7973258100728</v>
      </c>
      <c r="P101" s="132">
        <f t="shared" si="6"/>
        <v>14.857591456970082</v>
      </c>
      <c r="Q101" s="261">
        <v>4.1440993957167884E-3</v>
      </c>
      <c r="R101" s="92"/>
    </row>
    <row r="102" spans="1:18" x14ac:dyDescent="0.25">
      <c r="A102" s="353">
        <v>41183</v>
      </c>
      <c r="B102" s="353" t="s">
        <v>285</v>
      </c>
      <c r="C102" s="263" t="s">
        <v>445</v>
      </c>
      <c r="D102" s="157" t="s">
        <v>464</v>
      </c>
      <c r="E102" s="44">
        <f t="shared" si="5"/>
        <v>41183</v>
      </c>
      <c r="F102" s="146" t="str">
        <f t="shared" si="7"/>
        <v>2012-13</v>
      </c>
      <c r="G102" s="1"/>
      <c r="H102" s="161"/>
      <c r="I102" s="37"/>
      <c r="J102" s="135">
        <f t="shared" si="9"/>
        <v>0.76382508261777382</v>
      </c>
      <c r="K102" s="112"/>
      <c r="L102" s="37">
        <v>12.4950458616</v>
      </c>
      <c r="M102" s="37" t="s">
        <v>288</v>
      </c>
      <c r="N102" s="37">
        <v>812.22926829268283</v>
      </c>
      <c r="O102" s="130">
        <f t="shared" si="8"/>
        <v>10148.841957450883</v>
      </c>
      <c r="P102" s="132">
        <f t="shared" si="6"/>
        <v>32.124810062849981</v>
      </c>
      <c r="Q102" s="261">
        <v>4.1440993957167884E-3</v>
      </c>
      <c r="R102" s="92"/>
    </row>
    <row r="103" spans="1:18" x14ac:dyDescent="0.25">
      <c r="A103" s="353">
        <v>41183</v>
      </c>
      <c r="B103" s="353" t="s">
        <v>285</v>
      </c>
      <c r="C103" s="263" t="s">
        <v>445</v>
      </c>
      <c r="D103" s="157" t="s">
        <v>464</v>
      </c>
      <c r="E103" s="44">
        <f t="shared" si="5"/>
        <v>41183</v>
      </c>
      <c r="F103" s="146" t="str">
        <f t="shared" si="7"/>
        <v>2012-13</v>
      </c>
      <c r="G103" s="1"/>
      <c r="H103" s="161"/>
      <c r="I103" s="37"/>
      <c r="J103" s="135">
        <f t="shared" si="9"/>
        <v>0.76382508261777382</v>
      </c>
      <c r="K103" s="112"/>
      <c r="L103" s="37">
        <v>17.769227811</v>
      </c>
      <c r="M103" s="37" t="s">
        <v>288</v>
      </c>
      <c r="N103" s="37">
        <v>812.22926829268283</v>
      </c>
      <c r="O103" s="130">
        <f t="shared" si="8"/>
        <v>14432.68690305452</v>
      </c>
      <c r="P103" s="132">
        <f t="shared" si="6"/>
        <v>45.684751757989225</v>
      </c>
      <c r="Q103" s="261">
        <v>4.1440993957167884E-3</v>
      </c>
      <c r="R103" s="92"/>
    </row>
    <row r="104" spans="1:18" x14ac:dyDescent="0.25">
      <c r="A104" s="353">
        <v>41183</v>
      </c>
      <c r="B104" s="353" t="s">
        <v>285</v>
      </c>
      <c r="C104" s="263" t="s">
        <v>445</v>
      </c>
      <c r="D104" s="157" t="s">
        <v>464</v>
      </c>
      <c r="E104" s="44">
        <f t="shared" si="5"/>
        <v>41183</v>
      </c>
      <c r="F104" s="146" t="str">
        <f t="shared" si="7"/>
        <v>2012-13</v>
      </c>
      <c r="G104" s="1"/>
      <c r="H104" s="161"/>
      <c r="I104" s="37"/>
      <c r="J104" s="135">
        <f t="shared" si="9"/>
        <v>0.76382508261777382</v>
      </c>
      <c r="K104" s="112"/>
      <c r="L104" s="37">
        <v>28.2145865253</v>
      </c>
      <c r="M104" s="37" t="s">
        <v>288</v>
      </c>
      <c r="N104" s="37">
        <v>812.22926829268283</v>
      </c>
      <c r="O104" s="130">
        <f t="shared" si="8"/>
        <v>22916.712968625008</v>
      </c>
      <c r="P104" s="132">
        <f t="shared" si="6"/>
        <v>72.539808430206534</v>
      </c>
      <c r="Q104" s="261">
        <v>4.1440993957167884E-3</v>
      </c>
      <c r="R104" s="92"/>
    </row>
    <row r="105" spans="1:18" x14ac:dyDescent="0.25">
      <c r="A105" s="353">
        <v>41183</v>
      </c>
      <c r="B105" s="353" t="s">
        <v>285</v>
      </c>
      <c r="C105" s="263" t="s">
        <v>445</v>
      </c>
      <c r="D105" s="157" t="s">
        <v>464</v>
      </c>
      <c r="E105" s="44">
        <f t="shared" si="5"/>
        <v>41183</v>
      </c>
      <c r="F105" s="146" t="str">
        <f t="shared" si="7"/>
        <v>2012-13</v>
      </c>
      <c r="G105" s="1"/>
      <c r="H105" s="161"/>
      <c r="I105" s="37"/>
      <c r="J105" s="135">
        <f t="shared" si="9"/>
        <v>0.76382508261777382</v>
      </c>
      <c r="K105" s="112"/>
      <c r="L105" s="37">
        <v>5.4315987517500002</v>
      </c>
      <c r="M105" s="37" t="s">
        <v>288</v>
      </c>
      <c r="N105" s="37">
        <v>812.22926829268283</v>
      </c>
      <c r="O105" s="130">
        <f t="shared" si="8"/>
        <v>4411.703479793352</v>
      </c>
      <c r="P105" s="132">
        <f t="shared" si="6"/>
        <v>13.964660888026414</v>
      </c>
      <c r="Q105" s="261">
        <v>4.1440993957167884E-3</v>
      </c>
      <c r="R105" s="92"/>
    </row>
    <row r="106" spans="1:18" x14ac:dyDescent="0.25">
      <c r="A106" s="353">
        <v>41183</v>
      </c>
      <c r="B106" s="353" t="s">
        <v>285</v>
      </c>
      <c r="C106" s="263" t="s">
        <v>445</v>
      </c>
      <c r="D106" s="157" t="s">
        <v>464</v>
      </c>
      <c r="E106" s="44">
        <f t="shared" si="5"/>
        <v>41183</v>
      </c>
      <c r="F106" s="146" t="str">
        <f t="shared" si="7"/>
        <v>2012-13</v>
      </c>
      <c r="G106" s="1"/>
      <c r="H106" s="161"/>
      <c r="I106" s="37"/>
      <c r="J106" s="135">
        <f t="shared" si="9"/>
        <v>0.76382508261777382</v>
      </c>
      <c r="K106" s="112"/>
      <c r="L106" s="37">
        <v>5.6951101833099997</v>
      </c>
      <c r="M106" s="37" t="s">
        <v>288</v>
      </c>
      <c r="N106" s="37">
        <v>812.22926829268283</v>
      </c>
      <c r="O106" s="130">
        <f t="shared" si="8"/>
        <v>4625.7351770360883</v>
      </c>
      <c r="P106" s="132">
        <f t="shared" si="6"/>
        <v>14.642149772982831</v>
      </c>
      <c r="Q106" s="261">
        <v>4.1440993957167884E-3</v>
      </c>
      <c r="R106" s="92"/>
    </row>
    <row r="107" spans="1:18" x14ac:dyDescent="0.25">
      <c r="A107" s="353">
        <v>41183</v>
      </c>
      <c r="B107" s="353" t="s">
        <v>285</v>
      </c>
      <c r="C107" s="263" t="s">
        <v>445</v>
      </c>
      <c r="D107" s="157" t="s">
        <v>464</v>
      </c>
      <c r="E107" s="44">
        <f t="shared" si="5"/>
        <v>41183</v>
      </c>
      <c r="F107" s="146" t="str">
        <f t="shared" si="7"/>
        <v>2012-13</v>
      </c>
      <c r="G107" s="1"/>
      <c r="H107" s="161"/>
      <c r="I107" s="37"/>
      <c r="J107" s="135">
        <f t="shared" si="9"/>
        <v>0.76382508261777382</v>
      </c>
      <c r="K107" s="112"/>
      <c r="L107" s="37">
        <v>17.37050077</v>
      </c>
      <c r="M107" s="37" t="s">
        <v>288</v>
      </c>
      <c r="N107" s="37">
        <v>812.22926829268283</v>
      </c>
      <c r="O107" s="130">
        <f t="shared" si="8"/>
        <v>14108.829130294584</v>
      </c>
      <c r="P107" s="132">
        <f t="shared" si="6"/>
        <v>44.659623030898103</v>
      </c>
      <c r="Q107" s="261">
        <v>4.1440993957167884E-3</v>
      </c>
      <c r="R107" s="92"/>
    </row>
    <row r="108" spans="1:18" x14ac:dyDescent="0.25">
      <c r="A108" s="353">
        <v>41183</v>
      </c>
      <c r="B108" s="353" t="s">
        <v>285</v>
      </c>
      <c r="C108" s="263" t="s">
        <v>445</v>
      </c>
      <c r="D108" s="157" t="s">
        <v>464</v>
      </c>
      <c r="E108" s="44">
        <f t="shared" si="5"/>
        <v>41183</v>
      </c>
      <c r="F108" s="146" t="str">
        <f t="shared" si="7"/>
        <v>2012-13</v>
      </c>
      <c r="G108" s="1"/>
      <c r="H108" s="161"/>
      <c r="I108" s="37"/>
      <c r="J108" s="135">
        <f t="shared" si="9"/>
        <v>0.76382508261777382</v>
      </c>
      <c r="K108" s="112"/>
      <c r="L108" s="37">
        <v>32.683882744599998</v>
      </c>
      <c r="M108" s="37" t="s">
        <v>288</v>
      </c>
      <c r="N108" s="37">
        <v>3336.4019512195118</v>
      </c>
      <c r="O108" s="130">
        <f t="shared" si="8"/>
        <v>109046.57016251316</v>
      </c>
      <c r="P108" s="132">
        <f t="shared" si="6"/>
        <v>345.17242155930319</v>
      </c>
      <c r="Q108" s="261">
        <v>4.1440993957167884E-3</v>
      </c>
      <c r="R108" s="92"/>
    </row>
    <row r="109" spans="1:18" x14ac:dyDescent="0.25">
      <c r="A109" s="353">
        <v>41183</v>
      </c>
      <c r="B109" s="353" t="s">
        <v>285</v>
      </c>
      <c r="C109" s="263" t="s">
        <v>445</v>
      </c>
      <c r="D109" s="157" t="s">
        <v>464</v>
      </c>
      <c r="E109" s="44">
        <f t="shared" si="5"/>
        <v>41183</v>
      </c>
      <c r="F109" s="146" t="str">
        <f t="shared" si="7"/>
        <v>2012-13</v>
      </c>
      <c r="G109" s="1"/>
      <c r="H109" s="161"/>
      <c r="I109" s="37"/>
      <c r="J109" s="135">
        <f t="shared" si="9"/>
        <v>0.76382508261777382</v>
      </c>
      <c r="K109" s="112"/>
      <c r="L109" s="37">
        <v>30.7800185997</v>
      </c>
      <c r="M109" s="37" t="s">
        <v>288</v>
      </c>
      <c r="N109" s="37">
        <v>812.22926829268283</v>
      </c>
      <c r="O109" s="130">
        <f t="shared" si="8"/>
        <v>25000.431985269501</v>
      </c>
      <c r="P109" s="132">
        <f t="shared" si="6"/>
        <v>79.135543974684978</v>
      </c>
      <c r="Q109" s="261">
        <v>4.1440993957167884E-3</v>
      </c>
      <c r="R109" s="92"/>
    </row>
    <row r="110" spans="1:18" x14ac:dyDescent="0.25">
      <c r="A110" s="353">
        <v>41183</v>
      </c>
      <c r="B110" s="353" t="s">
        <v>285</v>
      </c>
      <c r="C110" s="263" t="s">
        <v>445</v>
      </c>
      <c r="D110" s="157" t="s">
        <v>464</v>
      </c>
      <c r="E110" s="44">
        <f t="shared" si="5"/>
        <v>41183</v>
      </c>
      <c r="F110" s="146" t="str">
        <f t="shared" si="7"/>
        <v>2012-13</v>
      </c>
      <c r="G110" s="1"/>
      <c r="H110" s="161"/>
      <c r="I110" s="37"/>
      <c r="J110" s="135">
        <f t="shared" si="9"/>
        <v>0.76382508261777382</v>
      </c>
      <c r="K110" s="112"/>
      <c r="L110" s="37">
        <v>51.565122077399998</v>
      </c>
      <c r="M110" s="37" t="s">
        <v>288</v>
      </c>
      <c r="N110" s="37">
        <v>812.22926829268283</v>
      </c>
      <c r="O110" s="130">
        <f t="shared" si="8"/>
        <v>41882.701374349468</v>
      </c>
      <c r="P110" s="132">
        <f t="shared" si="6"/>
        <v>132.57412345279928</v>
      </c>
      <c r="Q110" s="261">
        <v>4.1440993957167884E-3</v>
      </c>
      <c r="R110" s="92"/>
    </row>
    <row r="111" spans="1:18" x14ac:dyDescent="0.25">
      <c r="A111" s="353">
        <v>41183</v>
      </c>
      <c r="B111" s="353" t="s">
        <v>285</v>
      </c>
      <c r="C111" s="263" t="s">
        <v>445</v>
      </c>
      <c r="D111" s="157" t="s">
        <v>464</v>
      </c>
      <c r="E111" s="44">
        <f t="shared" si="5"/>
        <v>41183</v>
      </c>
      <c r="F111" s="146" t="str">
        <f t="shared" si="7"/>
        <v>2012-13</v>
      </c>
      <c r="G111" s="1"/>
      <c r="H111" s="161"/>
      <c r="I111" s="37"/>
      <c r="J111" s="135">
        <f t="shared" si="9"/>
        <v>0.76382508261777382</v>
      </c>
      <c r="K111" s="112"/>
      <c r="L111" s="37">
        <v>5.0373521814500002</v>
      </c>
      <c r="M111" s="37" t="s">
        <v>288</v>
      </c>
      <c r="N111" s="37">
        <v>812.22926829268283</v>
      </c>
      <c r="O111" s="130">
        <f t="shared" si="8"/>
        <v>4091.4848764716835</v>
      </c>
      <c r="P111" s="132">
        <f t="shared" si="6"/>
        <v>12.951051468012988</v>
      </c>
      <c r="Q111" s="261">
        <v>4.1440993957167884E-3</v>
      </c>
      <c r="R111" s="92"/>
    </row>
    <row r="112" spans="1:18" x14ac:dyDescent="0.25">
      <c r="A112" s="353">
        <v>41183</v>
      </c>
      <c r="B112" s="353" t="s">
        <v>285</v>
      </c>
      <c r="C112" s="263" t="s">
        <v>445</v>
      </c>
      <c r="D112" s="157" t="s">
        <v>464</v>
      </c>
      <c r="E112" s="44">
        <f t="shared" si="5"/>
        <v>41183</v>
      </c>
      <c r="F112" s="146" t="str">
        <f t="shared" si="7"/>
        <v>2012-13</v>
      </c>
      <c r="G112" s="1"/>
      <c r="H112" s="161"/>
      <c r="I112" s="37"/>
      <c r="J112" s="135">
        <f t="shared" si="9"/>
        <v>0.76382508261777382</v>
      </c>
      <c r="K112" s="112"/>
      <c r="L112" s="37">
        <v>4.2936278366899998</v>
      </c>
      <c r="M112" s="37" t="s">
        <v>288</v>
      </c>
      <c r="N112" s="37">
        <v>812.22926829268283</v>
      </c>
      <c r="O112" s="130">
        <f t="shared" si="8"/>
        <v>3487.4101961158131</v>
      </c>
      <c r="P112" s="132">
        <f t="shared" si="6"/>
        <v>11.038933371035217</v>
      </c>
      <c r="Q112" s="261">
        <v>4.1440993957167884E-3</v>
      </c>
      <c r="R112" s="92"/>
    </row>
    <row r="113" spans="1:18" x14ac:dyDescent="0.25">
      <c r="A113" s="353">
        <v>41183</v>
      </c>
      <c r="B113" s="353" t="s">
        <v>285</v>
      </c>
      <c r="C113" s="263" t="s">
        <v>445</v>
      </c>
      <c r="D113" s="157" t="s">
        <v>464</v>
      </c>
      <c r="E113" s="44">
        <f t="shared" si="5"/>
        <v>41183</v>
      </c>
      <c r="F113" s="146" t="str">
        <f t="shared" si="7"/>
        <v>2012-13</v>
      </c>
      <c r="G113" s="1"/>
      <c r="H113" s="161"/>
      <c r="I113" s="37"/>
      <c r="J113" s="135">
        <f t="shared" si="9"/>
        <v>0.76382508261777382</v>
      </c>
      <c r="K113" s="112"/>
      <c r="L113" s="37">
        <v>24.534676298600001</v>
      </c>
      <c r="M113" s="37" t="s">
        <v>288</v>
      </c>
      <c r="N113" s="37">
        <v>812.22926829268283</v>
      </c>
      <c r="O113" s="130">
        <f t="shared" si="8"/>
        <v>19927.782177809706</v>
      </c>
      <c r="P113" s="132">
        <f t="shared" si="6"/>
        <v>63.07874535044774</v>
      </c>
      <c r="Q113" s="261">
        <v>4.1440993957167884E-3</v>
      </c>
      <c r="R113" s="92"/>
    </row>
    <row r="114" spans="1:18" x14ac:dyDescent="0.25">
      <c r="A114" s="353">
        <v>41183</v>
      </c>
      <c r="B114" s="353" t="s">
        <v>285</v>
      </c>
      <c r="C114" s="263" t="s">
        <v>445</v>
      </c>
      <c r="D114" s="157" t="s">
        <v>464</v>
      </c>
      <c r="E114" s="44">
        <f t="shared" si="5"/>
        <v>41183</v>
      </c>
      <c r="F114" s="146" t="str">
        <f t="shared" si="7"/>
        <v>2012-13</v>
      </c>
      <c r="G114" s="1"/>
      <c r="H114" s="161"/>
      <c r="I114" s="37"/>
      <c r="J114" s="135">
        <f t="shared" si="9"/>
        <v>0.76382508261777382</v>
      </c>
      <c r="K114" s="112"/>
      <c r="L114" s="37">
        <v>25.811403915900001</v>
      </c>
      <c r="M114" s="37" t="s">
        <v>288</v>
      </c>
      <c r="N114" s="37">
        <v>812.22926829268283</v>
      </c>
      <c r="O114" s="130">
        <f t="shared" si="8"/>
        <v>20964.777716218348</v>
      </c>
      <c r="P114" s="132">
        <f t="shared" si="6"/>
        <v>66.361216872525503</v>
      </c>
      <c r="Q114" s="261">
        <v>4.1440993957167884E-3</v>
      </c>
      <c r="R114" s="92"/>
    </row>
    <row r="115" spans="1:18" x14ac:dyDescent="0.25">
      <c r="A115" s="353">
        <v>41183</v>
      </c>
      <c r="B115" s="353" t="s">
        <v>285</v>
      </c>
      <c r="C115" s="263" t="s">
        <v>445</v>
      </c>
      <c r="D115" s="157" t="s">
        <v>464</v>
      </c>
      <c r="E115" s="44">
        <f t="shared" si="5"/>
        <v>41183</v>
      </c>
      <c r="F115" s="146" t="str">
        <f t="shared" si="7"/>
        <v>2012-13</v>
      </c>
      <c r="G115" s="1"/>
      <c r="H115" s="161"/>
      <c r="I115" s="37"/>
      <c r="J115" s="135">
        <f t="shared" si="9"/>
        <v>0.76382508261777382</v>
      </c>
      <c r="K115" s="112"/>
      <c r="L115" s="37">
        <v>13.956351311800001</v>
      </c>
      <c r="M115" s="37" t="s">
        <v>288</v>
      </c>
      <c r="N115" s="37">
        <v>812.22926829268283</v>
      </c>
      <c r="O115" s="130">
        <f t="shared" si="8"/>
        <v>11335.757014018938</v>
      </c>
      <c r="P115" s="132">
        <f t="shared" si="6"/>
        <v>35.881831889856805</v>
      </c>
      <c r="Q115" s="261">
        <v>4.1440993957167884E-3</v>
      </c>
      <c r="R115" s="92"/>
    </row>
    <row r="116" spans="1:18" x14ac:dyDescent="0.25">
      <c r="A116" s="353">
        <v>41183</v>
      </c>
      <c r="B116" s="353" t="s">
        <v>285</v>
      </c>
      <c r="C116" s="263" t="s">
        <v>445</v>
      </c>
      <c r="D116" s="157" t="s">
        <v>464</v>
      </c>
      <c r="E116" s="44">
        <f t="shared" si="5"/>
        <v>41183</v>
      </c>
      <c r="F116" s="146" t="str">
        <f t="shared" si="7"/>
        <v>2012-13</v>
      </c>
      <c r="G116" s="1"/>
      <c r="H116" s="161"/>
      <c r="I116" s="37"/>
      <c r="J116" s="135">
        <f t="shared" si="9"/>
        <v>0.76382508261777382</v>
      </c>
      <c r="K116" s="112"/>
      <c r="L116" s="37">
        <v>17.786549133299999</v>
      </c>
      <c r="M116" s="37" t="s">
        <v>288</v>
      </c>
      <c r="N116" s="37">
        <v>3336.4019512195118</v>
      </c>
      <c r="O116" s="130">
        <f t="shared" si="8"/>
        <v>59343.077233803837</v>
      </c>
      <c r="P116" s="132">
        <f t="shared" si="6"/>
        <v>187.84262211132295</v>
      </c>
      <c r="Q116" s="261">
        <v>4.1440993957167884E-3</v>
      </c>
      <c r="R116" s="92"/>
    </row>
    <row r="117" spans="1:18" x14ac:dyDescent="0.25">
      <c r="A117" s="353">
        <v>41183</v>
      </c>
      <c r="B117" s="353" t="s">
        <v>285</v>
      </c>
      <c r="C117" s="263" t="s">
        <v>445</v>
      </c>
      <c r="D117" s="157" t="s">
        <v>464</v>
      </c>
      <c r="E117" s="44">
        <f t="shared" si="5"/>
        <v>41183</v>
      </c>
      <c r="F117" s="146" t="str">
        <f t="shared" si="7"/>
        <v>2012-13</v>
      </c>
      <c r="G117" s="1"/>
      <c r="H117" s="161"/>
      <c r="I117" s="37"/>
      <c r="J117" s="135">
        <f t="shared" si="9"/>
        <v>0.76382508261777382</v>
      </c>
      <c r="K117" s="112"/>
      <c r="L117" s="37">
        <v>4.9971089641899997</v>
      </c>
      <c r="M117" s="37" t="s">
        <v>288</v>
      </c>
      <c r="N117" s="37">
        <v>812.22926829268283</v>
      </c>
      <c r="O117" s="130">
        <f t="shared" si="8"/>
        <v>4058.7981575628496</v>
      </c>
      <c r="P117" s="132">
        <f t="shared" si="6"/>
        <v>12.847586004571305</v>
      </c>
      <c r="Q117" s="261">
        <v>4.1440993957167884E-3</v>
      </c>
      <c r="R117" s="92"/>
    </row>
    <row r="118" spans="1:18" x14ac:dyDescent="0.25">
      <c r="A118" s="353">
        <v>41183</v>
      </c>
      <c r="B118" s="353" t="s">
        <v>285</v>
      </c>
      <c r="C118" s="263" t="s">
        <v>445</v>
      </c>
      <c r="D118" s="157" t="s">
        <v>464</v>
      </c>
      <c r="E118" s="44">
        <f t="shared" si="5"/>
        <v>41183</v>
      </c>
      <c r="F118" s="146" t="str">
        <f t="shared" si="7"/>
        <v>2012-13</v>
      </c>
      <c r="G118" s="1"/>
      <c r="H118" s="161"/>
      <c r="I118" s="37"/>
      <c r="J118" s="135">
        <f t="shared" si="9"/>
        <v>0.76382508261777382</v>
      </c>
      <c r="K118" s="112"/>
      <c r="L118" s="37">
        <v>28.623638440899999</v>
      </c>
      <c r="M118" s="37" t="s">
        <v>288</v>
      </c>
      <c r="N118" s="37">
        <v>812.22926829268283</v>
      </c>
      <c r="O118" s="130">
        <f t="shared" si="8"/>
        <v>23248.956906726515</v>
      </c>
      <c r="P118" s="132">
        <f t="shared" si="6"/>
        <v>73.591482448857334</v>
      </c>
      <c r="Q118" s="261">
        <v>4.1440993957167884E-3</v>
      </c>
      <c r="R118" s="92"/>
    </row>
    <row r="119" spans="1:18" x14ac:dyDescent="0.25">
      <c r="A119" s="353">
        <v>41183</v>
      </c>
      <c r="B119" s="353" t="s">
        <v>285</v>
      </c>
      <c r="C119" s="263" t="s">
        <v>445</v>
      </c>
      <c r="D119" s="157" t="s">
        <v>464</v>
      </c>
      <c r="E119" s="44">
        <f t="shared" si="5"/>
        <v>41183</v>
      </c>
      <c r="F119" s="146" t="str">
        <f t="shared" si="7"/>
        <v>2012-13</v>
      </c>
      <c r="G119" s="1"/>
      <c r="H119" s="161"/>
      <c r="I119" s="37"/>
      <c r="J119" s="135">
        <f t="shared" si="9"/>
        <v>0.76382508261777382</v>
      </c>
      <c r="K119" s="112"/>
      <c r="L119" s="37">
        <v>18.052535235600001</v>
      </c>
      <c r="M119" s="37" t="s">
        <v>288</v>
      </c>
      <c r="N119" s="37">
        <v>812.22926829268283</v>
      </c>
      <c r="O119" s="130">
        <f t="shared" si="8"/>
        <v>14662.797485239264</v>
      </c>
      <c r="P119" s="132">
        <f t="shared" si="6"/>
        <v>46.413136215755813</v>
      </c>
      <c r="Q119" s="261">
        <v>4.1440993957167884E-3</v>
      </c>
      <c r="R119" s="92"/>
    </row>
    <row r="120" spans="1:18" x14ac:dyDescent="0.25">
      <c r="A120" s="353">
        <v>41183</v>
      </c>
      <c r="B120" s="353" t="s">
        <v>285</v>
      </c>
      <c r="C120" s="263" t="s">
        <v>445</v>
      </c>
      <c r="D120" s="157" t="s">
        <v>464</v>
      </c>
      <c r="E120" s="44">
        <f t="shared" si="5"/>
        <v>41183</v>
      </c>
      <c r="F120" s="146" t="str">
        <f t="shared" si="7"/>
        <v>2012-13</v>
      </c>
      <c r="G120" s="1"/>
      <c r="H120" s="161"/>
      <c r="I120" s="37"/>
      <c r="J120" s="135">
        <f t="shared" si="9"/>
        <v>0.76382508261777382</v>
      </c>
      <c r="K120" s="112"/>
      <c r="L120" s="37">
        <v>14.038266309799999</v>
      </c>
      <c r="M120" s="37" t="s">
        <v>288</v>
      </c>
      <c r="N120" s="37">
        <v>812.22926829268283</v>
      </c>
      <c r="O120" s="130">
        <f t="shared" si="8"/>
        <v>11402.290772906674</v>
      </c>
      <c r="P120" s="132">
        <f t="shared" si="6"/>
        <v>36.092435658838234</v>
      </c>
      <c r="Q120" s="261">
        <v>4.1440993957167884E-3</v>
      </c>
      <c r="R120" s="92"/>
    </row>
    <row r="121" spans="1:18" x14ac:dyDescent="0.25">
      <c r="A121" s="353">
        <v>41183</v>
      </c>
      <c r="B121" s="353" t="s">
        <v>285</v>
      </c>
      <c r="C121" s="263" t="s">
        <v>445</v>
      </c>
      <c r="D121" s="157" t="s">
        <v>464</v>
      </c>
      <c r="E121" s="44">
        <f t="shared" si="5"/>
        <v>41183</v>
      </c>
      <c r="F121" s="146" t="str">
        <f t="shared" si="7"/>
        <v>2012-13</v>
      </c>
      <c r="G121" s="1"/>
      <c r="H121" s="161"/>
      <c r="I121" s="37"/>
      <c r="J121" s="135">
        <f t="shared" si="9"/>
        <v>0.76382508261777382</v>
      </c>
      <c r="K121" s="112"/>
      <c r="L121" s="37">
        <v>23.190735398400001</v>
      </c>
      <c r="M121" s="37" t="s">
        <v>288</v>
      </c>
      <c r="N121" s="37">
        <v>812.22926829268283</v>
      </c>
      <c r="O121" s="130">
        <f t="shared" si="8"/>
        <v>18836.194043811651</v>
      </c>
      <c r="P121" s="132">
        <f t="shared" si="6"/>
        <v>59.623468224390663</v>
      </c>
      <c r="Q121" s="261">
        <v>4.1440993957167884E-3</v>
      </c>
      <c r="R121" s="92"/>
    </row>
    <row r="122" spans="1:18" x14ac:dyDescent="0.25">
      <c r="A122" s="353">
        <v>41183</v>
      </c>
      <c r="B122" s="353" t="s">
        <v>285</v>
      </c>
      <c r="C122" s="263" t="s">
        <v>445</v>
      </c>
      <c r="D122" s="157" t="s">
        <v>464</v>
      </c>
      <c r="E122" s="44">
        <f t="shared" si="5"/>
        <v>41183</v>
      </c>
      <c r="F122" s="146" t="str">
        <f t="shared" si="7"/>
        <v>2012-13</v>
      </c>
      <c r="G122" s="1"/>
      <c r="H122" s="161"/>
      <c r="I122" s="37"/>
      <c r="J122" s="135">
        <f t="shared" si="9"/>
        <v>0.76382508261777382</v>
      </c>
      <c r="K122" s="112"/>
      <c r="L122" s="37">
        <v>24.722233104899999</v>
      </c>
      <c r="M122" s="37" t="s">
        <v>288</v>
      </c>
      <c r="N122" s="37">
        <v>812.22926829268283</v>
      </c>
      <c r="O122" s="130">
        <f t="shared" si="8"/>
        <v>20080.121305354067</v>
      </c>
      <c r="P122" s="132">
        <f t="shared" si="6"/>
        <v>63.560954607229988</v>
      </c>
      <c r="Q122" s="261">
        <v>4.1440993957167884E-3</v>
      </c>
      <c r="R122" s="92"/>
    </row>
    <row r="123" spans="1:18" x14ac:dyDescent="0.25">
      <c r="A123" s="353">
        <v>41183</v>
      </c>
      <c r="B123" s="353" t="s">
        <v>285</v>
      </c>
      <c r="C123" s="263" t="s">
        <v>445</v>
      </c>
      <c r="D123" s="157" t="s">
        <v>464</v>
      </c>
      <c r="E123" s="44">
        <f t="shared" si="5"/>
        <v>41183</v>
      </c>
      <c r="F123" s="146" t="str">
        <f t="shared" si="7"/>
        <v>2012-13</v>
      </c>
      <c r="G123" s="1"/>
      <c r="H123" s="161"/>
      <c r="I123" s="37"/>
      <c r="J123" s="135">
        <f t="shared" si="9"/>
        <v>0.76382508261777382</v>
      </c>
      <c r="K123" s="112"/>
      <c r="L123" s="37">
        <v>38.5845004663</v>
      </c>
      <c r="M123" s="37" t="s">
        <v>288</v>
      </c>
      <c r="N123" s="37">
        <v>812.22926829268283</v>
      </c>
      <c r="O123" s="130">
        <f t="shared" si="8"/>
        <v>31339.460581181527</v>
      </c>
      <c r="P123" s="132">
        <f t="shared" si="6"/>
        <v>99.200896305562878</v>
      </c>
      <c r="Q123" s="261">
        <v>4.1440993957167884E-3</v>
      </c>
      <c r="R123" s="92"/>
    </row>
    <row r="124" spans="1:18" x14ac:dyDescent="0.25">
      <c r="A124" s="353">
        <v>41183</v>
      </c>
      <c r="B124" s="353" t="s">
        <v>285</v>
      </c>
      <c r="C124" s="263" t="s">
        <v>445</v>
      </c>
      <c r="D124" s="157" t="s">
        <v>464</v>
      </c>
      <c r="E124" s="44">
        <f t="shared" si="5"/>
        <v>41183</v>
      </c>
      <c r="F124" s="146" t="str">
        <f t="shared" si="7"/>
        <v>2012-13</v>
      </c>
      <c r="G124" s="1"/>
      <c r="H124" s="161"/>
      <c r="I124" s="37"/>
      <c r="J124" s="135">
        <f t="shared" si="9"/>
        <v>0.76382508261777382</v>
      </c>
      <c r="K124" s="112"/>
      <c r="L124" s="37">
        <v>27.512232742599998</v>
      </c>
      <c r="M124" s="37" t="s">
        <v>288</v>
      </c>
      <c r="N124" s="37">
        <v>812.22926829268283</v>
      </c>
      <c r="O124" s="130">
        <f t="shared" si="8"/>
        <v>22346.240669619987</v>
      </c>
      <c r="P124" s="132">
        <f t="shared" si="6"/>
        <v>70.734054204405524</v>
      </c>
      <c r="Q124" s="261">
        <v>4.1440993957167884E-3</v>
      </c>
      <c r="R124" s="92"/>
    </row>
    <row r="125" spans="1:18" x14ac:dyDescent="0.25">
      <c r="A125" s="353">
        <v>41183</v>
      </c>
      <c r="B125" s="353" t="s">
        <v>285</v>
      </c>
      <c r="C125" s="263" t="s">
        <v>445</v>
      </c>
      <c r="D125" s="157" t="s">
        <v>464</v>
      </c>
      <c r="E125" s="44">
        <f t="shared" si="5"/>
        <v>41183</v>
      </c>
      <c r="F125" s="146" t="str">
        <f t="shared" si="7"/>
        <v>2012-13</v>
      </c>
      <c r="G125" s="1"/>
      <c r="H125" s="161"/>
      <c r="I125" s="37"/>
      <c r="J125" s="135">
        <f t="shared" si="9"/>
        <v>0.76382508261777382</v>
      </c>
      <c r="K125" s="112"/>
      <c r="L125" s="37">
        <v>32.618999217599999</v>
      </c>
      <c r="M125" s="37" t="s">
        <v>288</v>
      </c>
      <c r="N125" s="37">
        <v>812.22926829268283</v>
      </c>
      <c r="O125" s="130">
        <f t="shared" si="8"/>
        <v>26494.105866950842</v>
      </c>
      <c r="P125" s="132">
        <f t="shared" si="6"/>
        <v>83.863570083084952</v>
      </c>
      <c r="Q125" s="261">
        <v>4.1440993957167884E-3</v>
      </c>
      <c r="R125" s="92"/>
    </row>
    <row r="126" spans="1:18" x14ac:dyDescent="0.25">
      <c r="A126" s="353">
        <v>41183</v>
      </c>
      <c r="B126" s="353" t="s">
        <v>285</v>
      </c>
      <c r="C126" s="263" t="s">
        <v>445</v>
      </c>
      <c r="D126" s="157" t="s">
        <v>464</v>
      </c>
      <c r="E126" s="44">
        <f t="shared" si="5"/>
        <v>41183</v>
      </c>
      <c r="F126" s="146" t="str">
        <f t="shared" si="7"/>
        <v>2012-13</v>
      </c>
      <c r="G126" s="1"/>
      <c r="H126" s="161"/>
      <c r="I126" s="37"/>
      <c r="J126" s="135">
        <f t="shared" si="9"/>
        <v>0.76382508261777382</v>
      </c>
      <c r="K126" s="112"/>
      <c r="L126" s="37">
        <v>13.5669639929</v>
      </c>
      <c r="M126" s="37" t="s">
        <v>288</v>
      </c>
      <c r="N126" s="37">
        <v>812.22926829268283</v>
      </c>
      <c r="O126" s="130">
        <f t="shared" si="8"/>
        <v>11019.485236906341</v>
      </c>
      <c r="P126" s="132">
        <f t="shared" si="6"/>
        <v>34.880715623530186</v>
      </c>
      <c r="Q126" s="261">
        <v>4.1440993957167884E-3</v>
      </c>
      <c r="R126" s="92"/>
    </row>
    <row r="127" spans="1:18" x14ac:dyDescent="0.25">
      <c r="A127" s="353">
        <v>41183</v>
      </c>
      <c r="B127" s="353" t="s">
        <v>285</v>
      </c>
      <c r="C127" s="263" t="s">
        <v>445</v>
      </c>
      <c r="D127" s="157" t="s">
        <v>464</v>
      </c>
      <c r="E127" s="44">
        <f t="shared" si="5"/>
        <v>41183</v>
      </c>
      <c r="F127" s="146" t="str">
        <f t="shared" si="7"/>
        <v>2012-13</v>
      </c>
      <c r="G127" s="1"/>
      <c r="H127" s="161"/>
      <c r="I127" s="37"/>
      <c r="J127" s="135">
        <f t="shared" si="9"/>
        <v>0.76382508261777382</v>
      </c>
      <c r="K127" s="112"/>
      <c r="L127" s="37">
        <v>32.801461862399997</v>
      </c>
      <c r="M127" s="37" t="s">
        <v>288</v>
      </c>
      <c r="N127" s="37">
        <v>812.22926829268283</v>
      </c>
      <c r="O127" s="130">
        <f t="shared" si="8"/>
        <v>26642.307367427489</v>
      </c>
      <c r="P127" s="132">
        <f t="shared" si="6"/>
        <v>84.332682231426801</v>
      </c>
      <c r="Q127" s="261">
        <v>4.1440993957167884E-3</v>
      </c>
      <c r="R127" s="92"/>
    </row>
    <row r="128" spans="1:18" x14ac:dyDescent="0.25">
      <c r="A128" s="353">
        <v>41183</v>
      </c>
      <c r="B128" s="353" t="s">
        <v>285</v>
      </c>
      <c r="C128" s="263" t="s">
        <v>445</v>
      </c>
      <c r="D128" s="157" t="s">
        <v>464</v>
      </c>
      <c r="E128" s="44">
        <f t="shared" si="5"/>
        <v>41183</v>
      </c>
      <c r="F128" s="146" t="str">
        <f t="shared" si="7"/>
        <v>2012-13</v>
      </c>
      <c r="G128" s="1"/>
      <c r="H128" s="161"/>
      <c r="I128" s="37"/>
      <c r="J128" s="135">
        <f t="shared" si="9"/>
        <v>0.76382508261777382</v>
      </c>
      <c r="K128" s="112"/>
      <c r="L128" s="37">
        <v>26.763411770000001</v>
      </c>
      <c r="M128" s="37" t="s">
        <v>288</v>
      </c>
      <c r="N128" s="37">
        <v>812.22926829268283</v>
      </c>
      <c r="O128" s="130">
        <f t="shared" si="8"/>
        <v>21738.026358962878</v>
      </c>
      <c r="P128" s="132">
        <f t="shared" si="6"/>
        <v>68.80883265801792</v>
      </c>
      <c r="Q128" s="261">
        <v>4.1440993957167884E-3</v>
      </c>
      <c r="R128" s="92"/>
    </row>
    <row r="129" spans="1:18" x14ac:dyDescent="0.25">
      <c r="A129" s="353">
        <v>41183</v>
      </c>
      <c r="B129" s="353" t="s">
        <v>285</v>
      </c>
      <c r="C129" s="263" t="s">
        <v>445</v>
      </c>
      <c r="D129" s="157" t="s">
        <v>464</v>
      </c>
      <c r="E129" s="44">
        <f t="shared" si="5"/>
        <v>41183</v>
      </c>
      <c r="F129" s="146" t="str">
        <f t="shared" si="7"/>
        <v>2012-13</v>
      </c>
      <c r="G129" s="1"/>
      <c r="H129" s="161"/>
      <c r="I129" s="37"/>
      <c r="J129" s="135">
        <f t="shared" si="9"/>
        <v>0.76382508261777382</v>
      </c>
      <c r="K129" s="112"/>
      <c r="L129" s="37">
        <v>31.757402016099999</v>
      </c>
      <c r="M129" s="37" t="s">
        <v>288</v>
      </c>
      <c r="N129" s="37">
        <v>812.22926829268283</v>
      </c>
      <c r="O129" s="130">
        <f t="shared" si="8"/>
        <v>25794.291402413473</v>
      </c>
      <c r="P129" s="132">
        <f t="shared" si="6"/>
        <v>81.648400426610692</v>
      </c>
      <c r="Q129" s="261">
        <v>4.1440993957167884E-3</v>
      </c>
      <c r="R129" s="92"/>
    </row>
    <row r="130" spans="1:18" x14ac:dyDescent="0.25">
      <c r="A130" s="353">
        <v>41183</v>
      </c>
      <c r="B130" s="353" t="s">
        <v>285</v>
      </c>
      <c r="C130" s="263" t="s">
        <v>445</v>
      </c>
      <c r="D130" s="157" t="s">
        <v>464</v>
      </c>
      <c r="E130" s="44">
        <f t="shared" si="5"/>
        <v>41183</v>
      </c>
      <c r="F130" s="146" t="str">
        <f t="shared" si="7"/>
        <v>2012-13</v>
      </c>
      <c r="G130" s="1"/>
      <c r="H130" s="161"/>
      <c r="I130" s="37"/>
      <c r="J130" s="135">
        <f t="shared" si="9"/>
        <v>0.76382508261777382</v>
      </c>
      <c r="K130" s="112"/>
      <c r="L130" s="37">
        <v>29.868480483700001</v>
      </c>
      <c r="M130" s="37" t="s">
        <v>288</v>
      </c>
      <c r="N130" s="37">
        <v>812.22926829268283</v>
      </c>
      <c r="O130" s="130">
        <f t="shared" si="8"/>
        <v>24260.054048289931</v>
      </c>
      <c r="P130" s="132">
        <f t="shared" si="6"/>
        <v>76.791976038568706</v>
      </c>
      <c r="Q130" s="261">
        <v>4.1440993957167884E-3</v>
      </c>
      <c r="R130" s="92"/>
    </row>
    <row r="131" spans="1:18" x14ac:dyDescent="0.25">
      <c r="A131" s="353">
        <v>41183</v>
      </c>
      <c r="B131" s="353" t="s">
        <v>285</v>
      </c>
      <c r="C131" s="263" t="s">
        <v>445</v>
      </c>
      <c r="D131" s="157" t="s">
        <v>464</v>
      </c>
      <c r="E131" s="44">
        <f t="shared" si="5"/>
        <v>41183</v>
      </c>
      <c r="F131" s="146" t="str">
        <f t="shared" si="7"/>
        <v>2012-13</v>
      </c>
      <c r="G131" s="1"/>
      <c r="H131" s="161"/>
      <c r="I131" s="37"/>
      <c r="J131" s="135">
        <f t="shared" si="9"/>
        <v>0.76382508261777382</v>
      </c>
      <c r="K131" s="112"/>
      <c r="L131" s="37">
        <v>50.154080461</v>
      </c>
      <c r="M131" s="37" t="s">
        <v>288</v>
      </c>
      <c r="N131" s="37">
        <v>812.22926829268283</v>
      </c>
      <c r="O131" s="130">
        <f t="shared" si="8"/>
        <v>40736.612074730372</v>
      </c>
      <c r="P131" s="132">
        <f t="shared" si="6"/>
        <v>128.94633013217341</v>
      </c>
      <c r="Q131" s="261">
        <v>4.1440993957167884E-3</v>
      </c>
      <c r="R131" s="92"/>
    </row>
    <row r="132" spans="1:18" x14ac:dyDescent="0.25">
      <c r="A132" s="353">
        <v>41183</v>
      </c>
      <c r="B132" s="353" t="s">
        <v>285</v>
      </c>
      <c r="C132" s="263" t="s">
        <v>445</v>
      </c>
      <c r="D132" s="157" t="s">
        <v>464</v>
      </c>
      <c r="E132" s="44">
        <f t="shared" si="5"/>
        <v>41183</v>
      </c>
      <c r="F132" s="146" t="str">
        <f t="shared" si="7"/>
        <v>2012-13</v>
      </c>
      <c r="G132" s="1"/>
      <c r="H132" s="161"/>
      <c r="I132" s="37"/>
      <c r="J132" s="135">
        <f t="shared" si="9"/>
        <v>0.76382508261777382</v>
      </c>
      <c r="K132" s="112"/>
      <c r="L132" s="37">
        <v>46.866357927000003</v>
      </c>
      <c r="M132" s="37" t="s">
        <v>288</v>
      </c>
      <c r="N132" s="37">
        <v>812.22926829268283</v>
      </c>
      <c r="O132" s="130">
        <f t="shared" si="8"/>
        <v>38066.22760659019</v>
      </c>
      <c r="P132" s="132">
        <f t="shared" si="6"/>
        <v>120.49358309034884</v>
      </c>
      <c r="Q132" s="261">
        <v>4.1440993957167884E-3</v>
      </c>
      <c r="R132" s="92"/>
    </row>
    <row r="133" spans="1:18" x14ac:dyDescent="0.25">
      <c r="A133" s="353">
        <v>41183</v>
      </c>
      <c r="B133" s="353" t="s">
        <v>285</v>
      </c>
      <c r="C133" s="263" t="s">
        <v>445</v>
      </c>
      <c r="D133" s="157" t="s">
        <v>464</v>
      </c>
      <c r="E133" s="44">
        <f t="shared" si="5"/>
        <v>41183</v>
      </c>
      <c r="F133" s="146" t="str">
        <f t="shared" si="7"/>
        <v>2012-13</v>
      </c>
      <c r="G133" s="1"/>
      <c r="H133" s="161"/>
      <c r="I133" s="37"/>
      <c r="J133" s="135">
        <f t="shared" si="9"/>
        <v>0.76382508261777382</v>
      </c>
      <c r="K133" s="112"/>
      <c r="L133" s="37">
        <v>14.340537894500001</v>
      </c>
      <c r="M133" s="37" t="s">
        <v>288</v>
      </c>
      <c r="N133" s="37">
        <v>812.22926829268283</v>
      </c>
      <c r="O133" s="130">
        <f t="shared" si="8"/>
        <v>11647.804600973226</v>
      </c>
      <c r="P133" s="132">
        <f t="shared" si="6"/>
        <v>36.869577043787167</v>
      </c>
      <c r="Q133" s="261">
        <v>4.1440993957167884E-3</v>
      </c>
      <c r="R133" s="92"/>
    </row>
    <row r="134" spans="1:18" x14ac:dyDescent="0.25">
      <c r="A134" s="353">
        <v>41183</v>
      </c>
      <c r="B134" s="353" t="s">
        <v>285</v>
      </c>
      <c r="C134" s="263" t="s">
        <v>445</v>
      </c>
      <c r="D134" s="157" t="s">
        <v>464</v>
      </c>
      <c r="E134" s="44">
        <f t="shared" si="5"/>
        <v>41183</v>
      </c>
      <c r="F134" s="146" t="str">
        <f t="shared" si="7"/>
        <v>2012-13</v>
      </c>
      <c r="G134" s="1"/>
      <c r="H134" s="161"/>
      <c r="I134" s="37"/>
      <c r="J134" s="135">
        <f t="shared" si="9"/>
        <v>0.76382508261777382</v>
      </c>
      <c r="K134" s="112"/>
      <c r="L134" s="37">
        <v>17.199242228100001</v>
      </c>
      <c r="M134" s="37" t="s">
        <v>288</v>
      </c>
      <c r="N134" s="37">
        <v>812.22926829268283</v>
      </c>
      <c r="O134" s="130">
        <f t="shared" si="8"/>
        <v>13969.727930118275</v>
      </c>
      <c r="P134" s="132">
        <f t="shared" si="6"/>
        <v>44.21931667339318</v>
      </c>
      <c r="Q134" s="261">
        <v>4.1440993957167884E-3</v>
      </c>
      <c r="R134" s="92"/>
    </row>
    <row r="135" spans="1:18" x14ac:dyDescent="0.25">
      <c r="A135" s="353">
        <v>41183</v>
      </c>
      <c r="B135" s="353" t="s">
        <v>285</v>
      </c>
      <c r="C135" s="263" t="s">
        <v>445</v>
      </c>
      <c r="D135" s="157" t="s">
        <v>464</v>
      </c>
      <c r="E135" s="44">
        <f t="shared" si="5"/>
        <v>41183</v>
      </c>
      <c r="F135" s="146" t="str">
        <f t="shared" si="7"/>
        <v>2012-13</v>
      </c>
      <c r="G135" s="1"/>
      <c r="H135" s="161"/>
      <c r="I135" s="37"/>
      <c r="J135" s="135">
        <f t="shared" si="9"/>
        <v>0.76382508261777382</v>
      </c>
      <c r="K135" s="112"/>
      <c r="L135" s="37">
        <v>36.6450957562</v>
      </c>
      <c r="M135" s="37" t="s">
        <v>288</v>
      </c>
      <c r="N135" s="37">
        <v>812.22926829268283</v>
      </c>
      <c r="O135" s="130">
        <f t="shared" si="8"/>
        <v>29764.219312573623</v>
      </c>
      <c r="P135" s="132">
        <f t="shared" si="6"/>
        <v>94.21467947714531</v>
      </c>
      <c r="Q135" s="261">
        <v>4.1440993957167884E-3</v>
      </c>
      <c r="R135" s="92"/>
    </row>
    <row r="136" spans="1:18" x14ac:dyDescent="0.25">
      <c r="A136" s="353">
        <v>41254</v>
      </c>
      <c r="B136" s="353" t="s">
        <v>285</v>
      </c>
      <c r="C136" s="263" t="s">
        <v>446</v>
      </c>
      <c r="D136" s="157" t="s">
        <v>465</v>
      </c>
      <c r="E136" s="44">
        <f t="shared" si="5"/>
        <v>41254</v>
      </c>
      <c r="F136" s="146" t="str">
        <f t="shared" si="7"/>
        <v>2012-13</v>
      </c>
      <c r="G136" s="1"/>
      <c r="H136" s="161"/>
      <c r="I136" s="37"/>
      <c r="J136" s="135">
        <f t="shared" si="9"/>
        <v>0.76382508261777382</v>
      </c>
      <c r="K136" s="112"/>
      <c r="L136" s="37">
        <v>16.282006161799998</v>
      </c>
      <c r="M136" s="37" t="s">
        <v>288</v>
      </c>
      <c r="N136" s="37">
        <v>812.22926829268283</v>
      </c>
      <c r="O136" s="130">
        <f t="shared" si="8"/>
        <v>13224.721951135765</v>
      </c>
      <c r="P136" s="132">
        <f t="shared" si="6"/>
        <v>843.24568931757028</v>
      </c>
      <c r="Q136" s="261">
        <v>8.3478313068279256E-2</v>
      </c>
      <c r="R136" s="92"/>
    </row>
    <row r="137" spans="1:18" x14ac:dyDescent="0.25">
      <c r="A137" s="353">
        <v>41254</v>
      </c>
      <c r="B137" s="353" t="s">
        <v>285</v>
      </c>
      <c r="C137" s="263" t="s">
        <v>446</v>
      </c>
      <c r="D137" s="157" t="s">
        <v>465</v>
      </c>
      <c r="E137" s="44">
        <f t="shared" si="5"/>
        <v>41254</v>
      </c>
      <c r="F137" s="146" t="str">
        <f t="shared" si="7"/>
        <v>2012-13</v>
      </c>
      <c r="G137" s="1"/>
      <c r="H137" s="161"/>
      <c r="I137" s="37"/>
      <c r="J137" s="135">
        <f t="shared" si="9"/>
        <v>0.76382508261777382</v>
      </c>
      <c r="K137" s="112"/>
      <c r="L137" s="37">
        <v>19.8812156915</v>
      </c>
      <c r="M137" s="37" t="s">
        <v>288</v>
      </c>
      <c r="N137" s="37">
        <v>812.22926829268283</v>
      </c>
      <c r="O137" s="130">
        <f t="shared" si="8"/>
        <v>16148.105273876048</v>
      </c>
      <c r="P137" s="132">
        <f t="shared" si="6"/>
        <v>1029.6488813266021</v>
      </c>
      <c r="Q137" s="261">
        <v>8.3478313068279256E-2</v>
      </c>
      <c r="R137" s="92"/>
    </row>
    <row r="138" spans="1:18" x14ac:dyDescent="0.25">
      <c r="A138" s="353">
        <v>41254</v>
      </c>
      <c r="B138" s="353" t="s">
        <v>285</v>
      </c>
      <c r="C138" s="263" t="s">
        <v>446</v>
      </c>
      <c r="D138" s="157" t="s">
        <v>465</v>
      </c>
      <c r="E138" s="44">
        <f t="shared" si="5"/>
        <v>41254</v>
      </c>
      <c r="F138" s="146" t="str">
        <f t="shared" si="7"/>
        <v>2012-13</v>
      </c>
      <c r="G138" s="1"/>
      <c r="H138" s="161"/>
      <c r="I138" s="37"/>
      <c r="J138" s="135">
        <f t="shared" si="9"/>
        <v>0.76382508261777382</v>
      </c>
      <c r="K138" s="112"/>
      <c r="L138" s="37">
        <v>61.918235764800002</v>
      </c>
      <c r="M138" s="37" t="s">
        <v>288</v>
      </c>
      <c r="N138" s="37">
        <v>812.22926829268283</v>
      </c>
      <c r="O138" s="130">
        <f t="shared" si="8"/>
        <v>50291.803329217328</v>
      </c>
      <c r="P138" s="132">
        <f t="shared" si="6"/>
        <v>3206.7476747008227</v>
      </c>
      <c r="Q138" s="261">
        <v>8.3478313068279256E-2</v>
      </c>
      <c r="R138" s="92"/>
    </row>
    <row r="139" spans="1:18" x14ac:dyDescent="0.25">
      <c r="A139" s="353">
        <v>41254</v>
      </c>
      <c r="B139" s="353" t="s">
        <v>285</v>
      </c>
      <c r="C139" s="263" t="s">
        <v>446</v>
      </c>
      <c r="D139" s="157" t="s">
        <v>465</v>
      </c>
      <c r="E139" s="44">
        <f t="shared" si="5"/>
        <v>41254</v>
      </c>
      <c r="F139" s="146" t="str">
        <f t="shared" si="7"/>
        <v>2012-13</v>
      </c>
      <c r="G139" s="1"/>
      <c r="H139" s="161"/>
      <c r="I139" s="37"/>
      <c r="J139" s="135">
        <f t="shared" si="9"/>
        <v>0.76382508261777382</v>
      </c>
      <c r="K139" s="112"/>
      <c r="L139" s="37">
        <v>26.1953967394</v>
      </c>
      <c r="M139" s="37" t="s">
        <v>288</v>
      </c>
      <c r="N139" s="37">
        <v>812.22926829268283</v>
      </c>
      <c r="O139" s="130">
        <f t="shared" si="8"/>
        <v>21276.667926279391</v>
      </c>
      <c r="P139" s="132">
        <f t="shared" si="6"/>
        <v>1356.6605466767985</v>
      </c>
      <c r="Q139" s="261">
        <v>8.3478313068279256E-2</v>
      </c>
      <c r="R139" s="92"/>
    </row>
    <row r="140" spans="1:18" x14ac:dyDescent="0.25">
      <c r="A140" s="353">
        <v>41254</v>
      </c>
      <c r="B140" s="353" t="s">
        <v>285</v>
      </c>
      <c r="C140" s="263" t="s">
        <v>446</v>
      </c>
      <c r="D140" s="157" t="s">
        <v>465</v>
      </c>
      <c r="E140" s="44">
        <f t="shared" si="5"/>
        <v>41254</v>
      </c>
      <c r="F140" s="146" t="str">
        <f t="shared" si="7"/>
        <v>2012-13</v>
      </c>
      <c r="G140" s="1"/>
      <c r="H140" s="161"/>
      <c r="I140" s="37"/>
      <c r="J140" s="135">
        <f t="shared" si="9"/>
        <v>0.76382508261777382</v>
      </c>
      <c r="K140" s="112"/>
      <c r="L140" s="37">
        <v>38.533401691999998</v>
      </c>
      <c r="M140" s="37" t="s">
        <v>288</v>
      </c>
      <c r="N140" s="37">
        <v>812.22926829268283</v>
      </c>
      <c r="O140" s="130">
        <f t="shared" si="8"/>
        <v>31297.956661121185</v>
      </c>
      <c r="P140" s="132">
        <f t="shared" si="6"/>
        <v>1995.6462704058581</v>
      </c>
      <c r="Q140" s="261">
        <v>8.3478313068279256E-2</v>
      </c>
      <c r="R140" s="92"/>
    </row>
    <row r="141" spans="1:18" x14ac:dyDescent="0.25">
      <c r="A141" s="353">
        <v>41254</v>
      </c>
      <c r="B141" s="353" t="s">
        <v>285</v>
      </c>
      <c r="C141" s="263" t="s">
        <v>446</v>
      </c>
      <c r="D141" s="157" t="s">
        <v>465</v>
      </c>
      <c r="E141" s="44">
        <f t="shared" si="5"/>
        <v>41254</v>
      </c>
      <c r="F141" s="146" t="str">
        <f t="shared" si="7"/>
        <v>2012-13</v>
      </c>
      <c r="G141" s="1"/>
      <c r="H141" s="161"/>
      <c r="I141" s="37"/>
      <c r="J141" s="135">
        <f t="shared" si="9"/>
        <v>0.76382508261777382</v>
      </c>
      <c r="K141" s="112"/>
      <c r="L141" s="37">
        <v>13.3827747518</v>
      </c>
      <c r="M141" s="37" t="s">
        <v>288</v>
      </c>
      <c r="N141" s="37">
        <v>812.22926829268283</v>
      </c>
      <c r="O141" s="130">
        <f t="shared" si="8"/>
        <v>10869.881344380303</v>
      </c>
      <c r="P141" s="132">
        <f t="shared" si="6"/>
        <v>693.09438950094318</v>
      </c>
      <c r="Q141" s="261">
        <v>8.3478313068279256E-2</v>
      </c>
      <c r="R141" s="92"/>
    </row>
    <row r="142" spans="1:18" x14ac:dyDescent="0.25">
      <c r="A142" s="353">
        <v>41254</v>
      </c>
      <c r="B142" s="353" t="s">
        <v>285</v>
      </c>
      <c r="C142" s="263" t="s">
        <v>446</v>
      </c>
      <c r="D142" s="157" t="s">
        <v>465</v>
      </c>
      <c r="E142" s="44">
        <f t="shared" si="5"/>
        <v>41254</v>
      </c>
      <c r="F142" s="146" t="str">
        <f t="shared" si="7"/>
        <v>2012-13</v>
      </c>
      <c r="G142" s="1"/>
      <c r="H142" s="161"/>
      <c r="I142" s="37"/>
      <c r="J142" s="135">
        <f t="shared" si="9"/>
        <v>0.76382508261777382</v>
      </c>
      <c r="K142" s="112"/>
      <c r="L142" s="37">
        <v>18.155764102100001</v>
      </c>
      <c r="M142" s="37" t="s">
        <v>288</v>
      </c>
      <c r="N142" s="37">
        <v>812.22926829268283</v>
      </c>
      <c r="O142" s="130">
        <f t="shared" si="8"/>
        <v>14746.642991943241</v>
      </c>
      <c r="P142" s="132">
        <f t="shared" si="6"/>
        <v>940.28768096658166</v>
      </c>
      <c r="Q142" s="261">
        <v>8.3478313068279256E-2</v>
      </c>
      <c r="R142" s="92"/>
    </row>
    <row r="143" spans="1:18" x14ac:dyDescent="0.25">
      <c r="A143" s="353">
        <v>41254</v>
      </c>
      <c r="B143" s="353" t="s">
        <v>285</v>
      </c>
      <c r="C143" s="263" t="s">
        <v>446</v>
      </c>
      <c r="D143" s="157" t="s">
        <v>465</v>
      </c>
      <c r="E143" s="44">
        <f t="shared" si="5"/>
        <v>41254</v>
      </c>
      <c r="F143" s="146" t="str">
        <f t="shared" si="7"/>
        <v>2012-13</v>
      </c>
      <c r="G143" s="1"/>
      <c r="H143" s="161"/>
      <c r="I143" s="37"/>
      <c r="J143" s="135">
        <f t="shared" si="9"/>
        <v>0.76382508261777382</v>
      </c>
      <c r="K143" s="112"/>
      <c r="L143" s="37">
        <v>64.636582087500003</v>
      </c>
      <c r="M143" s="37" t="s">
        <v>288</v>
      </c>
      <c r="N143" s="37">
        <v>812.22926829268283</v>
      </c>
      <c r="O143" s="130">
        <f t="shared" si="8"/>
        <v>52499.723773870057</v>
      </c>
      <c r="P143" s="132">
        <f t="shared" si="6"/>
        <v>3347.5309292893735</v>
      </c>
      <c r="Q143" s="261">
        <v>8.3478313068279256E-2</v>
      </c>
      <c r="R143" s="92"/>
    </row>
    <row r="144" spans="1:18" x14ac:dyDescent="0.25">
      <c r="A144" s="353">
        <v>41254</v>
      </c>
      <c r="B144" s="353" t="s">
        <v>285</v>
      </c>
      <c r="C144" s="263" t="s">
        <v>446</v>
      </c>
      <c r="D144" s="157" t="s">
        <v>465</v>
      </c>
      <c r="E144" s="44">
        <f t="shared" si="5"/>
        <v>41254</v>
      </c>
      <c r="F144" s="146" t="str">
        <f t="shared" si="7"/>
        <v>2012-13</v>
      </c>
      <c r="G144" s="1"/>
      <c r="H144" s="161"/>
      <c r="I144" s="37"/>
      <c r="J144" s="135">
        <f t="shared" si="9"/>
        <v>0.76382508261777382</v>
      </c>
      <c r="K144" s="112"/>
      <c r="L144" s="37">
        <v>15.798279709199999</v>
      </c>
      <c r="M144" s="37" t="s">
        <v>288</v>
      </c>
      <c r="N144" s="37">
        <v>812.22926829268283</v>
      </c>
      <c r="O144" s="130">
        <f t="shared" si="8"/>
        <v>12831.825168486654</v>
      </c>
      <c r="P144" s="132">
        <f t="shared" si="6"/>
        <v>818.1934788030685</v>
      </c>
      <c r="Q144" s="261">
        <v>8.3478313068279256E-2</v>
      </c>
      <c r="R144" s="92"/>
    </row>
    <row r="145" spans="1:18" x14ac:dyDescent="0.25">
      <c r="A145" s="353">
        <v>41254</v>
      </c>
      <c r="B145" s="353" t="s">
        <v>285</v>
      </c>
      <c r="C145" s="263" t="s">
        <v>446</v>
      </c>
      <c r="D145" s="157" t="s">
        <v>465</v>
      </c>
      <c r="E145" s="44">
        <f t="shared" si="5"/>
        <v>41254</v>
      </c>
      <c r="F145" s="146" t="str">
        <f t="shared" si="7"/>
        <v>2012-13</v>
      </c>
      <c r="G145" s="1"/>
      <c r="H145" s="161"/>
      <c r="I145" s="37"/>
      <c r="J145" s="135">
        <f t="shared" si="9"/>
        <v>0.76382508261777382</v>
      </c>
      <c r="K145" s="112"/>
      <c r="L145" s="37">
        <v>13.1173813199</v>
      </c>
      <c r="M145" s="37" t="s">
        <v>288</v>
      </c>
      <c r="N145" s="37">
        <v>812.22926829268283</v>
      </c>
      <c r="O145" s="130">
        <f t="shared" si="8"/>
        <v>10654.321031378482</v>
      </c>
      <c r="P145" s="132">
        <f t="shared" si="6"/>
        <v>679.34965404273407</v>
      </c>
      <c r="Q145" s="261">
        <v>8.3478313068279256E-2</v>
      </c>
      <c r="R145" s="92"/>
    </row>
    <row r="146" spans="1:18" x14ac:dyDescent="0.25">
      <c r="A146" s="353">
        <v>41183</v>
      </c>
      <c r="B146" s="353" t="s">
        <v>285</v>
      </c>
      <c r="C146" s="263" t="s">
        <v>445</v>
      </c>
      <c r="D146" s="157" t="s">
        <v>464</v>
      </c>
      <c r="E146" s="44">
        <f t="shared" si="5"/>
        <v>41183</v>
      </c>
      <c r="F146" s="146" t="str">
        <f t="shared" si="7"/>
        <v>2012-13</v>
      </c>
      <c r="G146" s="1"/>
      <c r="H146" s="161"/>
      <c r="I146" s="37"/>
      <c r="J146" s="135">
        <f t="shared" si="9"/>
        <v>0.76382508261777382</v>
      </c>
      <c r="K146" s="112"/>
      <c r="L146" s="37">
        <v>29.670450083599999</v>
      </c>
      <c r="M146" s="37" t="s">
        <v>288</v>
      </c>
      <c r="N146" s="37">
        <v>3592.3639024390236</v>
      </c>
      <c r="O146" s="130">
        <f t="shared" si="8"/>
        <v>106587.05384944355</v>
      </c>
      <c r="P146" s="132">
        <f t="shared" si="6"/>
        <v>337.38714963023989</v>
      </c>
      <c r="Q146" s="261">
        <v>4.1440993957167884E-3</v>
      </c>
      <c r="R146" s="92"/>
    </row>
    <row r="147" spans="1:18" x14ac:dyDescent="0.25">
      <c r="A147" s="353">
        <v>41183</v>
      </c>
      <c r="B147" s="353" t="s">
        <v>285</v>
      </c>
      <c r="C147" s="263" t="s">
        <v>445</v>
      </c>
      <c r="D147" s="157" t="s">
        <v>464</v>
      </c>
      <c r="E147" s="44">
        <f t="shared" si="5"/>
        <v>41183</v>
      </c>
      <c r="F147" s="146" t="str">
        <f t="shared" si="7"/>
        <v>2012-13</v>
      </c>
      <c r="G147" s="1"/>
      <c r="H147" s="161"/>
      <c r="I147" s="37"/>
      <c r="J147" s="135">
        <f t="shared" si="9"/>
        <v>0.76382508261777382</v>
      </c>
      <c r="K147" s="112"/>
      <c r="L147" s="37">
        <v>33.839544042599996</v>
      </c>
      <c r="M147" s="37" t="s">
        <v>288</v>
      </c>
      <c r="N147" s="37">
        <v>812.22926829268283</v>
      </c>
      <c r="O147" s="130">
        <f t="shared" si="8"/>
        <v>27485.46809707901</v>
      </c>
      <c r="P147" s="132">
        <f t="shared" si="6"/>
        <v>87.001595434141848</v>
      </c>
      <c r="Q147" s="261">
        <v>4.1440993957167884E-3</v>
      </c>
      <c r="R147" s="92"/>
    </row>
    <row r="148" spans="1:18" x14ac:dyDescent="0.25">
      <c r="A148" s="353">
        <v>41183</v>
      </c>
      <c r="B148" s="353" t="s">
        <v>285</v>
      </c>
      <c r="C148" s="263" t="s">
        <v>445</v>
      </c>
      <c r="D148" s="157" t="s">
        <v>464</v>
      </c>
      <c r="E148" s="44">
        <f t="shared" si="5"/>
        <v>41183</v>
      </c>
      <c r="F148" s="146" t="str">
        <f t="shared" si="7"/>
        <v>2012-13</v>
      </c>
      <c r="G148" s="1"/>
      <c r="H148" s="161"/>
      <c r="I148" s="37"/>
      <c r="J148" s="135">
        <f t="shared" si="9"/>
        <v>0.76382508261777382</v>
      </c>
      <c r="K148" s="112"/>
      <c r="L148" s="37">
        <v>53.398024141900002</v>
      </c>
      <c r="M148" s="37" t="s">
        <v>288</v>
      </c>
      <c r="N148" s="37">
        <v>812.22926829268283</v>
      </c>
      <c r="O148" s="130">
        <f t="shared" si="8"/>
        <v>43371.43807705045</v>
      </c>
      <c r="P148" s="132">
        <f t="shared" si="6"/>
        <v>137.28652157746919</v>
      </c>
      <c r="Q148" s="261">
        <v>4.1440993957167884E-3</v>
      </c>
      <c r="R148" s="92"/>
    </row>
    <row r="149" spans="1:18" x14ac:dyDescent="0.25">
      <c r="A149" s="353">
        <v>41183</v>
      </c>
      <c r="B149" s="353" t="s">
        <v>285</v>
      </c>
      <c r="C149" s="263" t="s">
        <v>445</v>
      </c>
      <c r="D149" s="157" t="s">
        <v>464</v>
      </c>
      <c r="E149" s="44">
        <f t="shared" si="5"/>
        <v>41183</v>
      </c>
      <c r="F149" s="146" t="str">
        <f t="shared" si="7"/>
        <v>2012-13</v>
      </c>
      <c r="G149" s="1"/>
      <c r="H149" s="161"/>
      <c r="I149" s="37"/>
      <c r="J149" s="135">
        <f t="shared" si="9"/>
        <v>0.76382508261777382</v>
      </c>
      <c r="K149" s="112"/>
      <c r="L149" s="37">
        <v>52.773736105799998</v>
      </c>
      <c r="M149" s="37" t="s">
        <v>288</v>
      </c>
      <c r="N149" s="37">
        <v>812.22926829268283</v>
      </c>
      <c r="O149" s="130">
        <f t="shared" si="8"/>
        <v>42864.373062285071</v>
      </c>
      <c r="P149" s="132">
        <f t="shared" si="6"/>
        <v>135.68147468077424</v>
      </c>
      <c r="Q149" s="261">
        <v>4.1440993957167884E-3</v>
      </c>
      <c r="R149" s="92"/>
    </row>
    <row r="150" spans="1:18" x14ac:dyDescent="0.25">
      <c r="A150" s="353">
        <v>41183</v>
      </c>
      <c r="B150" s="353" t="s">
        <v>285</v>
      </c>
      <c r="C150" s="263" t="s">
        <v>445</v>
      </c>
      <c r="D150" s="157" t="s">
        <v>464</v>
      </c>
      <c r="E150" s="44">
        <f t="shared" si="5"/>
        <v>41183</v>
      </c>
      <c r="F150" s="146" t="str">
        <f t="shared" si="7"/>
        <v>2012-13</v>
      </c>
      <c r="G150" s="1"/>
      <c r="H150" s="161"/>
      <c r="I150" s="37"/>
      <c r="J150" s="135">
        <f t="shared" si="9"/>
        <v>0.76382508261777382</v>
      </c>
      <c r="K150" s="112"/>
      <c r="L150" s="37">
        <v>49.9057968085</v>
      </c>
      <c r="M150" s="37" t="s">
        <v>288</v>
      </c>
      <c r="N150" s="37">
        <v>812.22926829268283</v>
      </c>
      <c r="O150" s="130">
        <f t="shared" si="8"/>
        <v>40534.948825331259</v>
      </c>
      <c r="P150" s="132">
        <f t="shared" si="6"/>
        <v>128.30799192464545</v>
      </c>
      <c r="Q150" s="261">
        <v>4.1440993957167884E-3</v>
      </c>
      <c r="R150" s="92"/>
    </row>
    <row r="151" spans="1:18" x14ac:dyDescent="0.25">
      <c r="A151" s="353">
        <v>41183</v>
      </c>
      <c r="B151" s="353" t="s">
        <v>285</v>
      </c>
      <c r="C151" s="263" t="s">
        <v>445</v>
      </c>
      <c r="D151" s="157" t="s">
        <v>464</v>
      </c>
      <c r="E151" s="44">
        <f t="shared" ref="E151:E214" si="10">IF(VALUE(A151)&lt;2022,DATEVALUE("30 Jun "&amp;A151),A151)</f>
        <v>41183</v>
      </c>
      <c r="F151" s="146" t="str">
        <f t="shared" si="7"/>
        <v>2012-13</v>
      </c>
      <c r="G151" s="1"/>
      <c r="H151" s="161"/>
      <c r="I151" s="37"/>
      <c r="J151" s="135">
        <f t="shared" si="9"/>
        <v>0.76382508261777382</v>
      </c>
      <c r="K151" s="112"/>
      <c r="L151" s="37">
        <v>55.5245605056</v>
      </c>
      <c r="M151" s="37" t="s">
        <v>288</v>
      </c>
      <c r="N151" s="37">
        <v>3336.4019512195118</v>
      </c>
      <c r="O151" s="130">
        <f t="shared" si="8"/>
        <v>185252.25201148968</v>
      </c>
      <c r="P151" s="132">
        <f t="shared" ref="P151:P214" si="11">IF(O151="-","-",IF(OR(E151&lt;$E$15,E151&gt;$E$16),0,O151*J151))*Q151</f>
        <v>586.39137692110683</v>
      </c>
      <c r="Q151" s="261">
        <v>4.1440993957167884E-3</v>
      </c>
      <c r="R151" s="92"/>
    </row>
    <row r="152" spans="1:18" x14ac:dyDescent="0.25">
      <c r="A152" s="353">
        <v>41183</v>
      </c>
      <c r="B152" s="353" t="s">
        <v>285</v>
      </c>
      <c r="C152" s="263" t="s">
        <v>445</v>
      </c>
      <c r="D152" s="157" t="s">
        <v>464</v>
      </c>
      <c r="E152" s="44">
        <f t="shared" si="10"/>
        <v>41183</v>
      </c>
      <c r="F152" s="146" t="str">
        <f t="shared" ref="F152:F215" si="12">IF(E152="","-",IF(OR(E152&lt;$E$15,E152&gt;$E$16),"ERROR - date outside of range",IF(MONTH(E152)&gt;=7,YEAR(E152)&amp;"-"&amp;IF(YEAR(E152)=1999,"00",IF(AND(YEAR(E152)&gt;=2000,YEAR(E152)&lt;2009),"0","")&amp;RIGHT(YEAR(E152),2)+1),RIGHT(YEAR(E152),4)-1&amp;"-"&amp;RIGHT(YEAR(E152),2))))</f>
        <v>2012-13</v>
      </c>
      <c r="G152" s="1"/>
      <c r="H152" s="161"/>
      <c r="I152" s="37"/>
      <c r="J152" s="135">
        <f t="shared" si="9"/>
        <v>0.76382508261777382</v>
      </c>
      <c r="K152" s="112"/>
      <c r="L152" s="37">
        <v>35.896848821200003</v>
      </c>
      <c r="M152" s="37" t="s">
        <v>288</v>
      </c>
      <c r="N152" s="37">
        <v>812.22926829268283</v>
      </c>
      <c r="O152" s="130">
        <f t="shared" ref="O152:O215" si="13">IF(N152="","-",L152*N152)</f>
        <v>29156.471252056333</v>
      </c>
      <c r="P152" s="132">
        <f t="shared" si="11"/>
        <v>92.290933783593573</v>
      </c>
      <c r="Q152" s="261">
        <v>4.1440993957167884E-3</v>
      </c>
      <c r="R152" s="92"/>
    </row>
    <row r="153" spans="1:18" x14ac:dyDescent="0.25">
      <c r="A153" s="353">
        <v>41183</v>
      </c>
      <c r="B153" s="353" t="s">
        <v>285</v>
      </c>
      <c r="C153" s="263" t="s">
        <v>445</v>
      </c>
      <c r="D153" s="157" t="s">
        <v>464</v>
      </c>
      <c r="E153" s="44">
        <f t="shared" si="10"/>
        <v>41183</v>
      </c>
      <c r="F153" s="146" t="str">
        <f t="shared" si="12"/>
        <v>2012-13</v>
      </c>
      <c r="G153" s="1"/>
      <c r="H153" s="161"/>
      <c r="I153" s="37"/>
      <c r="J153" s="135">
        <f t="shared" ref="J153:J216" si="14">J152</f>
        <v>0.76382508261777382</v>
      </c>
      <c r="K153" s="112"/>
      <c r="L153" s="37">
        <v>44.923100055299997</v>
      </c>
      <c r="M153" s="37" t="s">
        <v>288</v>
      </c>
      <c r="N153" s="37">
        <v>812.22926829268283</v>
      </c>
      <c r="O153" s="130">
        <f t="shared" si="13"/>
        <v>36487.856687355299</v>
      </c>
      <c r="P153" s="132">
        <f t="shared" si="11"/>
        <v>115.49745976891694</v>
      </c>
      <c r="Q153" s="261">
        <v>4.1440993957167884E-3</v>
      </c>
      <c r="R153" s="92"/>
    </row>
    <row r="154" spans="1:18" x14ac:dyDescent="0.25">
      <c r="A154" s="353">
        <v>41183</v>
      </c>
      <c r="B154" s="353" t="s">
        <v>285</v>
      </c>
      <c r="C154" s="263" t="s">
        <v>445</v>
      </c>
      <c r="D154" s="157" t="s">
        <v>464</v>
      </c>
      <c r="E154" s="44">
        <f t="shared" si="10"/>
        <v>41183</v>
      </c>
      <c r="F154" s="146" t="str">
        <f t="shared" si="12"/>
        <v>2012-13</v>
      </c>
      <c r="G154" s="1"/>
      <c r="H154" s="161"/>
      <c r="I154" s="37"/>
      <c r="J154" s="135">
        <f t="shared" si="14"/>
        <v>0.76382508261777382</v>
      </c>
      <c r="K154" s="112"/>
      <c r="L154" s="37">
        <v>13.2503021372</v>
      </c>
      <c r="M154" s="37" t="s">
        <v>288</v>
      </c>
      <c r="N154" s="37">
        <v>812.22926829268283</v>
      </c>
      <c r="O154" s="130">
        <f t="shared" si="13"/>
        <v>10762.283209554927</v>
      </c>
      <c r="P154" s="132">
        <f t="shared" si="11"/>
        <v>34.066576797535554</v>
      </c>
      <c r="Q154" s="261">
        <v>4.1440993957167884E-3</v>
      </c>
      <c r="R154" s="92"/>
    </row>
    <row r="155" spans="1:18" x14ac:dyDescent="0.25">
      <c r="A155" s="353">
        <v>41183</v>
      </c>
      <c r="B155" s="353" t="s">
        <v>285</v>
      </c>
      <c r="C155" s="263" t="s">
        <v>445</v>
      </c>
      <c r="D155" s="157" t="s">
        <v>464</v>
      </c>
      <c r="E155" s="44">
        <f t="shared" si="10"/>
        <v>41183</v>
      </c>
      <c r="F155" s="146" t="str">
        <f t="shared" si="12"/>
        <v>2012-13</v>
      </c>
      <c r="G155" s="1"/>
      <c r="H155" s="161"/>
      <c r="I155" s="37"/>
      <c r="J155" s="135">
        <f t="shared" si="14"/>
        <v>0.76382508261777382</v>
      </c>
      <c r="K155" s="112"/>
      <c r="L155" s="37">
        <v>44.812567599399998</v>
      </c>
      <c r="M155" s="37" t="s">
        <v>288</v>
      </c>
      <c r="N155" s="37">
        <v>812.22926829268283</v>
      </c>
      <c r="O155" s="130">
        <f t="shared" si="13"/>
        <v>36398.078991577044</v>
      </c>
      <c r="P155" s="132">
        <f t="shared" si="11"/>
        <v>115.21328040768063</v>
      </c>
      <c r="Q155" s="261">
        <v>4.1440993957167884E-3</v>
      </c>
      <c r="R155" s="92"/>
    </row>
    <row r="156" spans="1:18" x14ac:dyDescent="0.25">
      <c r="A156" s="353">
        <v>41183</v>
      </c>
      <c r="B156" s="353" t="s">
        <v>285</v>
      </c>
      <c r="C156" s="263" t="s">
        <v>445</v>
      </c>
      <c r="D156" s="157" t="s">
        <v>464</v>
      </c>
      <c r="E156" s="44">
        <f t="shared" si="10"/>
        <v>41183</v>
      </c>
      <c r="F156" s="146" t="str">
        <f t="shared" si="12"/>
        <v>2012-13</v>
      </c>
      <c r="G156" s="1"/>
      <c r="H156" s="161"/>
      <c r="I156" s="37"/>
      <c r="J156" s="135">
        <f t="shared" si="14"/>
        <v>0.76382508261777382</v>
      </c>
      <c r="K156" s="112"/>
      <c r="L156" s="37">
        <v>53.360244108499998</v>
      </c>
      <c r="M156" s="37" t="s">
        <v>288</v>
      </c>
      <c r="N156" s="37">
        <v>812.22926829268283</v>
      </c>
      <c r="O156" s="130">
        <f t="shared" si="13"/>
        <v>43340.752028165894</v>
      </c>
      <c r="P156" s="132">
        <f t="shared" si="11"/>
        <v>137.18938896902691</v>
      </c>
      <c r="Q156" s="261">
        <v>4.1440993957167884E-3</v>
      </c>
      <c r="R156" s="92"/>
    </row>
    <row r="157" spans="1:18" x14ac:dyDescent="0.25">
      <c r="A157" s="353">
        <v>41183</v>
      </c>
      <c r="B157" s="353" t="s">
        <v>285</v>
      </c>
      <c r="C157" s="263" t="s">
        <v>445</v>
      </c>
      <c r="D157" s="157" t="s">
        <v>464</v>
      </c>
      <c r="E157" s="44">
        <f t="shared" si="10"/>
        <v>41183</v>
      </c>
      <c r="F157" s="146" t="str">
        <f t="shared" si="12"/>
        <v>2012-13</v>
      </c>
      <c r="G157" s="1"/>
      <c r="H157" s="161"/>
      <c r="I157" s="37"/>
      <c r="J157" s="135">
        <f t="shared" si="14"/>
        <v>0.76382508261777382</v>
      </c>
      <c r="K157" s="112"/>
      <c r="L157" s="37">
        <v>31.640674430200001</v>
      </c>
      <c r="M157" s="37" t="s">
        <v>288</v>
      </c>
      <c r="N157" s="37">
        <v>812.22926829268283</v>
      </c>
      <c r="O157" s="130">
        <f t="shared" si="13"/>
        <v>25699.481840728346</v>
      </c>
      <c r="P157" s="132">
        <f t="shared" si="11"/>
        <v>81.348293362765759</v>
      </c>
      <c r="Q157" s="261">
        <v>4.1440993957167884E-3</v>
      </c>
      <c r="R157" s="92"/>
    </row>
    <row r="158" spans="1:18" x14ac:dyDescent="0.25">
      <c r="A158" s="353">
        <v>41183</v>
      </c>
      <c r="B158" s="353" t="s">
        <v>285</v>
      </c>
      <c r="C158" s="263" t="s">
        <v>445</v>
      </c>
      <c r="D158" s="157" t="s">
        <v>464</v>
      </c>
      <c r="E158" s="44">
        <f t="shared" si="10"/>
        <v>41183</v>
      </c>
      <c r="F158" s="146" t="str">
        <f t="shared" si="12"/>
        <v>2012-13</v>
      </c>
      <c r="G158" s="1"/>
      <c r="H158" s="161"/>
      <c r="I158" s="37"/>
      <c r="J158" s="135">
        <f t="shared" si="14"/>
        <v>0.76382508261777382</v>
      </c>
      <c r="K158" s="112"/>
      <c r="L158" s="37">
        <v>28.914995811600001</v>
      </c>
      <c r="M158" s="37" t="s">
        <v>288</v>
      </c>
      <c r="N158" s="37">
        <v>812.22926829268283</v>
      </c>
      <c r="O158" s="130">
        <f t="shared" si="13"/>
        <v>23485.605890741859</v>
      </c>
      <c r="P158" s="132">
        <f t="shared" si="11"/>
        <v>74.340563348425206</v>
      </c>
      <c r="Q158" s="261">
        <v>4.1440993957167884E-3</v>
      </c>
      <c r="R158" s="92"/>
    </row>
    <row r="159" spans="1:18" x14ac:dyDescent="0.25">
      <c r="A159" s="353">
        <v>41183</v>
      </c>
      <c r="B159" s="353" t="s">
        <v>285</v>
      </c>
      <c r="C159" s="263" t="s">
        <v>445</v>
      </c>
      <c r="D159" s="157" t="s">
        <v>464</v>
      </c>
      <c r="E159" s="44">
        <f t="shared" si="10"/>
        <v>41183</v>
      </c>
      <c r="F159" s="146" t="str">
        <f t="shared" si="12"/>
        <v>2012-13</v>
      </c>
      <c r="G159" s="1"/>
      <c r="H159" s="161"/>
      <c r="I159" s="37"/>
      <c r="J159" s="135">
        <f t="shared" si="14"/>
        <v>0.76382508261777382</v>
      </c>
      <c r="K159" s="112"/>
      <c r="L159" s="37">
        <v>48.611421002999997</v>
      </c>
      <c r="M159" s="37" t="s">
        <v>288</v>
      </c>
      <c r="N159" s="37">
        <v>812.22926829268283</v>
      </c>
      <c r="O159" s="130">
        <f t="shared" si="13"/>
        <v>39483.618911934238</v>
      </c>
      <c r="P159" s="132">
        <f t="shared" si="11"/>
        <v>124.98014684410634</v>
      </c>
      <c r="Q159" s="261">
        <v>4.1440993957167884E-3</v>
      </c>
      <c r="R159" s="92"/>
    </row>
    <row r="160" spans="1:18" x14ac:dyDescent="0.25">
      <c r="A160" s="353">
        <v>41183</v>
      </c>
      <c r="B160" s="353" t="s">
        <v>285</v>
      </c>
      <c r="C160" s="263" t="s">
        <v>445</v>
      </c>
      <c r="D160" s="157" t="s">
        <v>464</v>
      </c>
      <c r="E160" s="44">
        <f t="shared" si="10"/>
        <v>41183</v>
      </c>
      <c r="F160" s="146" t="str">
        <f t="shared" si="12"/>
        <v>2012-13</v>
      </c>
      <c r="G160" s="1"/>
      <c r="H160" s="161"/>
      <c r="I160" s="37"/>
      <c r="J160" s="135">
        <f t="shared" si="14"/>
        <v>0.76382508261777382</v>
      </c>
      <c r="K160" s="112"/>
      <c r="L160" s="37">
        <v>50.034947299700001</v>
      </c>
      <c r="M160" s="37" t="s">
        <v>288</v>
      </c>
      <c r="N160" s="37">
        <v>812.22926829268283</v>
      </c>
      <c r="O160" s="130">
        <f t="shared" si="13"/>
        <v>40639.84863429828</v>
      </c>
      <c r="P160" s="132">
        <f t="shared" si="11"/>
        <v>128.64003832489712</v>
      </c>
      <c r="Q160" s="261">
        <v>4.1440993957167884E-3</v>
      </c>
      <c r="R160" s="92"/>
    </row>
    <row r="161" spans="1:18" x14ac:dyDescent="0.25">
      <c r="A161" s="353">
        <v>41183</v>
      </c>
      <c r="B161" s="353" t="s">
        <v>285</v>
      </c>
      <c r="C161" s="263" t="s">
        <v>445</v>
      </c>
      <c r="D161" s="157" t="s">
        <v>464</v>
      </c>
      <c r="E161" s="44">
        <f t="shared" si="10"/>
        <v>41183</v>
      </c>
      <c r="F161" s="146" t="str">
        <f t="shared" si="12"/>
        <v>2012-13</v>
      </c>
      <c r="G161" s="1"/>
      <c r="H161" s="161"/>
      <c r="I161" s="37"/>
      <c r="J161" s="135">
        <f t="shared" si="14"/>
        <v>0.76382508261777382</v>
      </c>
      <c r="K161" s="112"/>
      <c r="L161" s="37">
        <v>31.931425699999998</v>
      </c>
      <c r="M161" s="37" t="s">
        <v>288</v>
      </c>
      <c r="N161" s="37">
        <v>3336.4019512195118</v>
      </c>
      <c r="O161" s="130">
        <f t="shared" si="13"/>
        <v>106536.07101070086</v>
      </c>
      <c r="P161" s="132">
        <f t="shared" si="11"/>
        <v>337.22577023168975</v>
      </c>
      <c r="Q161" s="261">
        <v>4.1440993957167884E-3</v>
      </c>
      <c r="R161" s="92"/>
    </row>
    <row r="162" spans="1:18" x14ac:dyDescent="0.25">
      <c r="A162" s="353">
        <v>41183</v>
      </c>
      <c r="B162" s="353" t="s">
        <v>285</v>
      </c>
      <c r="C162" s="263" t="s">
        <v>445</v>
      </c>
      <c r="D162" s="157" t="s">
        <v>464</v>
      </c>
      <c r="E162" s="44">
        <f t="shared" si="10"/>
        <v>41183</v>
      </c>
      <c r="F162" s="146" t="str">
        <f t="shared" si="12"/>
        <v>2012-13</v>
      </c>
      <c r="G162" s="1"/>
      <c r="H162" s="161"/>
      <c r="I162" s="37"/>
      <c r="J162" s="135">
        <f t="shared" si="14"/>
        <v>0.76382508261777382</v>
      </c>
      <c r="K162" s="112"/>
      <c r="L162" s="37">
        <v>30.2003712104</v>
      </c>
      <c r="M162" s="37" t="s">
        <v>288</v>
      </c>
      <c r="N162" s="37">
        <v>812.22926829268283</v>
      </c>
      <c r="O162" s="130">
        <f t="shared" si="13"/>
        <v>24529.625410390596</v>
      </c>
      <c r="P162" s="132">
        <f t="shared" si="11"/>
        <v>77.645268349373666</v>
      </c>
      <c r="Q162" s="261">
        <v>4.1440993957167884E-3</v>
      </c>
      <c r="R162" s="92"/>
    </row>
    <row r="163" spans="1:18" x14ac:dyDescent="0.25">
      <c r="A163" s="353">
        <v>41183</v>
      </c>
      <c r="B163" s="353" t="s">
        <v>285</v>
      </c>
      <c r="C163" s="263" t="s">
        <v>445</v>
      </c>
      <c r="D163" s="157" t="s">
        <v>464</v>
      </c>
      <c r="E163" s="44">
        <f t="shared" si="10"/>
        <v>41183</v>
      </c>
      <c r="F163" s="146" t="str">
        <f t="shared" si="12"/>
        <v>2012-13</v>
      </c>
      <c r="G163" s="1"/>
      <c r="H163" s="161"/>
      <c r="I163" s="37"/>
      <c r="J163" s="135">
        <f t="shared" si="14"/>
        <v>0.76382508261777382</v>
      </c>
      <c r="K163" s="112"/>
      <c r="L163" s="37">
        <v>55.037561450699997</v>
      </c>
      <c r="M163" s="37" t="s">
        <v>288</v>
      </c>
      <c r="N163" s="37">
        <v>3592.3639024390236</v>
      </c>
      <c r="O163" s="130">
        <f t="shared" si="13"/>
        <v>197714.94903376422</v>
      </c>
      <c r="P163" s="132">
        <f t="shared" si="11"/>
        <v>625.84038759542193</v>
      </c>
      <c r="Q163" s="261">
        <v>4.1440993957167884E-3</v>
      </c>
      <c r="R163" s="92"/>
    </row>
    <row r="164" spans="1:18" x14ac:dyDescent="0.25">
      <c r="A164" s="353">
        <v>41183</v>
      </c>
      <c r="B164" s="353" t="s">
        <v>285</v>
      </c>
      <c r="C164" s="263" t="s">
        <v>445</v>
      </c>
      <c r="D164" s="157" t="s">
        <v>464</v>
      </c>
      <c r="E164" s="44">
        <f t="shared" si="10"/>
        <v>41183</v>
      </c>
      <c r="F164" s="146" t="str">
        <f t="shared" si="12"/>
        <v>2012-13</v>
      </c>
      <c r="G164" s="1"/>
      <c r="H164" s="161"/>
      <c r="I164" s="37"/>
      <c r="J164" s="135">
        <f t="shared" si="14"/>
        <v>0.76382508261777382</v>
      </c>
      <c r="K164" s="112"/>
      <c r="L164" s="37">
        <v>69.411060430700005</v>
      </c>
      <c r="M164" s="37" t="s">
        <v>288</v>
      </c>
      <c r="N164" s="37">
        <v>812.22926829268283</v>
      </c>
      <c r="O164" s="130">
        <f t="shared" si="13"/>
        <v>56377.694825046652</v>
      </c>
      <c r="P164" s="132">
        <f t="shared" si="11"/>
        <v>178.45609830452517</v>
      </c>
      <c r="Q164" s="261">
        <v>4.1440993957167884E-3</v>
      </c>
      <c r="R164" s="92"/>
    </row>
    <row r="165" spans="1:18" x14ac:dyDescent="0.25">
      <c r="A165" s="353">
        <v>41183</v>
      </c>
      <c r="B165" s="353" t="s">
        <v>285</v>
      </c>
      <c r="C165" s="263" t="s">
        <v>445</v>
      </c>
      <c r="D165" s="157" t="s">
        <v>464</v>
      </c>
      <c r="E165" s="44">
        <f t="shared" si="10"/>
        <v>41183</v>
      </c>
      <c r="F165" s="146" t="str">
        <f t="shared" si="12"/>
        <v>2012-13</v>
      </c>
      <c r="G165" s="1"/>
      <c r="H165" s="161"/>
      <c r="I165" s="37"/>
      <c r="J165" s="135">
        <f t="shared" si="14"/>
        <v>0.76382508261777382</v>
      </c>
      <c r="K165" s="112"/>
      <c r="L165" s="37">
        <v>52.045510265099999</v>
      </c>
      <c r="M165" s="37" t="s">
        <v>288</v>
      </c>
      <c r="N165" s="37">
        <v>812.22926829268283</v>
      </c>
      <c r="O165" s="130">
        <f t="shared" si="13"/>
        <v>42272.886720541486</v>
      </c>
      <c r="P165" s="132">
        <f t="shared" si="11"/>
        <v>133.8092032962216</v>
      </c>
      <c r="Q165" s="261">
        <v>4.1440993957167884E-3</v>
      </c>
      <c r="R165" s="92"/>
    </row>
    <row r="166" spans="1:18" x14ac:dyDescent="0.25">
      <c r="A166" s="353">
        <v>41183</v>
      </c>
      <c r="B166" s="353" t="s">
        <v>285</v>
      </c>
      <c r="C166" s="263" t="s">
        <v>445</v>
      </c>
      <c r="D166" s="157" t="s">
        <v>464</v>
      </c>
      <c r="E166" s="44">
        <f t="shared" si="10"/>
        <v>41183</v>
      </c>
      <c r="F166" s="146" t="str">
        <f t="shared" si="12"/>
        <v>2012-13</v>
      </c>
      <c r="G166" s="1"/>
      <c r="H166" s="161"/>
      <c r="I166" s="37"/>
      <c r="J166" s="135">
        <f t="shared" si="14"/>
        <v>0.76382508261777382</v>
      </c>
      <c r="K166" s="112"/>
      <c r="L166" s="37">
        <v>53.963270197200004</v>
      </c>
      <c r="M166" s="37" t="s">
        <v>288</v>
      </c>
      <c r="N166" s="37">
        <v>812.22926829268283</v>
      </c>
      <c r="O166" s="130">
        <f t="shared" si="13"/>
        <v>43830.547466952099</v>
      </c>
      <c r="P166" s="132">
        <f t="shared" si="11"/>
        <v>138.73977131872005</v>
      </c>
      <c r="Q166" s="261">
        <v>4.1440993957167884E-3</v>
      </c>
      <c r="R166" s="92"/>
    </row>
    <row r="167" spans="1:18" x14ac:dyDescent="0.25">
      <c r="A167" s="353">
        <v>41183</v>
      </c>
      <c r="B167" s="353" t="s">
        <v>285</v>
      </c>
      <c r="C167" s="263" t="s">
        <v>445</v>
      </c>
      <c r="D167" s="157" t="s">
        <v>464</v>
      </c>
      <c r="E167" s="44">
        <f t="shared" si="10"/>
        <v>41183</v>
      </c>
      <c r="F167" s="146" t="str">
        <f t="shared" si="12"/>
        <v>2012-13</v>
      </c>
      <c r="G167" s="1"/>
      <c r="H167" s="161"/>
      <c r="I167" s="37"/>
      <c r="J167" s="135">
        <f t="shared" si="14"/>
        <v>0.76382508261777382</v>
      </c>
      <c r="K167" s="112"/>
      <c r="L167" s="37">
        <v>51.716179660100003</v>
      </c>
      <c r="M167" s="37" t="s">
        <v>288</v>
      </c>
      <c r="N167" s="37">
        <v>812.22926829268283</v>
      </c>
      <c r="O167" s="130">
        <f t="shared" si="13"/>
        <v>42005.394764215955</v>
      </c>
      <c r="P167" s="132">
        <f t="shared" si="11"/>
        <v>132.96249306796847</v>
      </c>
      <c r="Q167" s="261">
        <v>4.1440993957167884E-3</v>
      </c>
      <c r="R167" s="92"/>
    </row>
    <row r="168" spans="1:18" x14ac:dyDescent="0.25">
      <c r="A168" s="353">
        <v>41183</v>
      </c>
      <c r="B168" s="353" t="s">
        <v>285</v>
      </c>
      <c r="C168" s="263" t="s">
        <v>445</v>
      </c>
      <c r="D168" s="157" t="s">
        <v>464</v>
      </c>
      <c r="E168" s="44">
        <f t="shared" si="10"/>
        <v>41183</v>
      </c>
      <c r="F168" s="146" t="str">
        <f t="shared" si="12"/>
        <v>2012-13</v>
      </c>
      <c r="G168" s="1"/>
      <c r="H168" s="161"/>
      <c r="I168" s="37"/>
      <c r="J168" s="135">
        <f t="shared" si="14"/>
        <v>0.76382508261777382</v>
      </c>
      <c r="K168" s="112"/>
      <c r="L168" s="37">
        <v>32.983848668699999</v>
      </c>
      <c r="M168" s="37" t="s">
        <v>288</v>
      </c>
      <c r="N168" s="37">
        <v>812.22926829268283</v>
      </c>
      <c r="O168" s="130">
        <f t="shared" si="13"/>
        <v>26790.447269654782</v>
      </c>
      <c r="P168" s="132">
        <f t="shared" si="11"/>
        <v>84.801599398698983</v>
      </c>
      <c r="Q168" s="261">
        <v>4.1440993957167884E-3</v>
      </c>
      <c r="R168" s="92"/>
    </row>
    <row r="169" spans="1:18" x14ac:dyDescent="0.25">
      <c r="A169" s="353">
        <v>41183</v>
      </c>
      <c r="B169" s="353" t="s">
        <v>285</v>
      </c>
      <c r="C169" s="263" t="s">
        <v>445</v>
      </c>
      <c r="D169" s="157" t="s">
        <v>464</v>
      </c>
      <c r="E169" s="44">
        <f t="shared" si="10"/>
        <v>41183</v>
      </c>
      <c r="F169" s="146" t="str">
        <f t="shared" si="12"/>
        <v>2012-13</v>
      </c>
      <c r="G169" s="1"/>
      <c r="H169" s="161"/>
      <c r="I169" s="37"/>
      <c r="J169" s="135">
        <f t="shared" si="14"/>
        <v>0.76382508261777382</v>
      </c>
      <c r="K169" s="112"/>
      <c r="L169" s="37">
        <v>29.387289802600002</v>
      </c>
      <c r="M169" s="37" t="s">
        <v>288</v>
      </c>
      <c r="N169" s="37">
        <v>812.22926829268283</v>
      </c>
      <c r="O169" s="130">
        <f t="shared" si="13"/>
        <v>23869.216893470821</v>
      </c>
      <c r="P169" s="132">
        <f t="shared" si="11"/>
        <v>75.554832981586642</v>
      </c>
      <c r="Q169" s="261">
        <v>4.1440993957167884E-3</v>
      </c>
      <c r="R169" s="92"/>
    </row>
    <row r="170" spans="1:18" x14ac:dyDescent="0.25">
      <c r="A170" s="353">
        <v>41183</v>
      </c>
      <c r="B170" s="353" t="s">
        <v>285</v>
      </c>
      <c r="C170" s="263" t="s">
        <v>445</v>
      </c>
      <c r="D170" s="157" t="s">
        <v>464</v>
      </c>
      <c r="E170" s="44">
        <f t="shared" si="10"/>
        <v>41183</v>
      </c>
      <c r="F170" s="146" t="str">
        <f t="shared" si="12"/>
        <v>2012-13</v>
      </c>
      <c r="G170" s="1"/>
      <c r="H170" s="161"/>
      <c r="I170" s="37"/>
      <c r="J170" s="135">
        <f t="shared" si="14"/>
        <v>0.76382508261777382</v>
      </c>
      <c r="K170" s="112"/>
      <c r="L170" s="37">
        <v>17.532907104</v>
      </c>
      <c r="M170" s="37" t="s">
        <v>288</v>
      </c>
      <c r="N170" s="37">
        <v>3336.4019512195118</v>
      </c>
      <c r="O170" s="130">
        <f t="shared" si="13"/>
        <v>58496.825472336037</v>
      </c>
      <c r="P170" s="132">
        <f t="shared" si="11"/>
        <v>185.16392465830501</v>
      </c>
      <c r="Q170" s="261">
        <v>4.1440993957167884E-3</v>
      </c>
      <c r="R170" s="92"/>
    </row>
    <row r="171" spans="1:18" x14ac:dyDescent="0.25">
      <c r="A171" s="353">
        <v>41183</v>
      </c>
      <c r="B171" s="353" t="s">
        <v>285</v>
      </c>
      <c r="C171" s="263" t="s">
        <v>445</v>
      </c>
      <c r="D171" s="157" t="s">
        <v>464</v>
      </c>
      <c r="E171" s="44">
        <f t="shared" si="10"/>
        <v>41183</v>
      </c>
      <c r="F171" s="146" t="str">
        <f t="shared" si="12"/>
        <v>2012-13</v>
      </c>
      <c r="G171" s="1"/>
      <c r="H171" s="161"/>
      <c r="I171" s="37"/>
      <c r="J171" s="135">
        <f t="shared" si="14"/>
        <v>0.76382508261777382</v>
      </c>
      <c r="K171" s="112"/>
      <c r="L171" s="37">
        <v>5.6392766380100001</v>
      </c>
      <c r="M171" s="37" t="s">
        <v>288</v>
      </c>
      <c r="N171" s="37">
        <v>812.22926829268283</v>
      </c>
      <c r="O171" s="130">
        <f t="shared" si="13"/>
        <v>4580.3855373908827</v>
      </c>
      <c r="P171" s="132">
        <f t="shared" si="11"/>
        <v>14.498601517316937</v>
      </c>
      <c r="Q171" s="261">
        <v>4.1440993957167884E-3</v>
      </c>
      <c r="R171" s="92"/>
    </row>
    <row r="172" spans="1:18" x14ac:dyDescent="0.25">
      <c r="A172" s="353">
        <v>41183</v>
      </c>
      <c r="B172" s="353" t="s">
        <v>285</v>
      </c>
      <c r="C172" s="263" t="s">
        <v>445</v>
      </c>
      <c r="D172" s="157" t="s">
        <v>464</v>
      </c>
      <c r="E172" s="44">
        <f t="shared" si="10"/>
        <v>41183</v>
      </c>
      <c r="F172" s="146" t="str">
        <f t="shared" si="12"/>
        <v>2012-13</v>
      </c>
      <c r="G172" s="1"/>
      <c r="H172" s="161"/>
      <c r="I172" s="37"/>
      <c r="J172" s="135">
        <f t="shared" si="14"/>
        <v>0.76382508261777382</v>
      </c>
      <c r="K172" s="112"/>
      <c r="L172" s="37">
        <v>5.4070687992700002</v>
      </c>
      <c r="M172" s="37" t="s">
        <v>288</v>
      </c>
      <c r="N172" s="37">
        <v>812.22926829268283</v>
      </c>
      <c r="O172" s="130">
        <f t="shared" si="13"/>
        <v>4391.7795344392671</v>
      </c>
      <c r="P172" s="132">
        <f t="shared" si="11"/>
        <v>13.901594287631411</v>
      </c>
      <c r="Q172" s="261">
        <v>4.1440993957167884E-3</v>
      </c>
      <c r="R172" s="92"/>
    </row>
    <row r="173" spans="1:18" x14ac:dyDescent="0.25">
      <c r="A173" s="353">
        <v>41183</v>
      </c>
      <c r="B173" s="353" t="s">
        <v>285</v>
      </c>
      <c r="C173" s="263" t="s">
        <v>445</v>
      </c>
      <c r="D173" s="157" t="s">
        <v>464</v>
      </c>
      <c r="E173" s="44">
        <f t="shared" si="10"/>
        <v>41183</v>
      </c>
      <c r="F173" s="146" t="str">
        <f t="shared" si="12"/>
        <v>2012-13</v>
      </c>
      <c r="G173" s="1"/>
      <c r="H173" s="161"/>
      <c r="I173" s="37"/>
      <c r="J173" s="135">
        <f t="shared" si="14"/>
        <v>0.76382508261777382</v>
      </c>
      <c r="K173" s="112"/>
      <c r="L173" s="37">
        <v>31.1821503428</v>
      </c>
      <c r="M173" s="37" t="s">
        <v>288</v>
      </c>
      <c r="N173" s="37">
        <v>3336.4019512195118</v>
      </c>
      <c r="O173" s="130">
        <f t="shared" si="13"/>
        <v>104036.18724693809</v>
      </c>
      <c r="P173" s="132">
        <f t="shared" si="11"/>
        <v>329.31272050377248</v>
      </c>
      <c r="Q173" s="261">
        <v>4.1440993957167884E-3</v>
      </c>
      <c r="R173" s="92"/>
    </row>
    <row r="174" spans="1:18" x14ac:dyDescent="0.25">
      <c r="A174" s="353">
        <v>41183</v>
      </c>
      <c r="B174" s="353" t="s">
        <v>285</v>
      </c>
      <c r="C174" s="263" t="s">
        <v>445</v>
      </c>
      <c r="D174" s="157" t="s">
        <v>464</v>
      </c>
      <c r="E174" s="44">
        <f t="shared" si="10"/>
        <v>41183</v>
      </c>
      <c r="F174" s="146" t="str">
        <f t="shared" si="12"/>
        <v>2012-13</v>
      </c>
      <c r="G174" s="1"/>
      <c r="H174" s="161"/>
      <c r="I174" s="37"/>
      <c r="J174" s="135">
        <f t="shared" si="14"/>
        <v>0.76382508261777382</v>
      </c>
      <c r="K174" s="112"/>
      <c r="L174" s="37">
        <v>11.9970829795</v>
      </c>
      <c r="M174" s="37" t="s">
        <v>288</v>
      </c>
      <c r="N174" s="37">
        <v>950.87219512195099</v>
      </c>
      <c r="O174" s="130">
        <f t="shared" si="13"/>
        <v>11407.692627777362</v>
      </c>
      <c r="P174" s="132">
        <f t="shared" si="11"/>
        <v>36.10953451232669</v>
      </c>
      <c r="Q174" s="261">
        <v>4.1440993957167884E-3</v>
      </c>
      <c r="R174" s="92"/>
    </row>
    <row r="175" spans="1:18" x14ac:dyDescent="0.25">
      <c r="A175" s="353">
        <v>41183</v>
      </c>
      <c r="B175" s="353" t="s">
        <v>285</v>
      </c>
      <c r="C175" s="263" t="s">
        <v>445</v>
      </c>
      <c r="D175" s="157" t="s">
        <v>464</v>
      </c>
      <c r="E175" s="44">
        <f t="shared" si="10"/>
        <v>41183</v>
      </c>
      <c r="F175" s="146" t="str">
        <f t="shared" si="12"/>
        <v>2012-13</v>
      </c>
      <c r="G175" s="1"/>
      <c r="H175" s="161"/>
      <c r="I175" s="37"/>
      <c r="J175" s="135">
        <f t="shared" si="14"/>
        <v>0.76382508261777382</v>
      </c>
      <c r="K175" s="112"/>
      <c r="L175" s="37">
        <v>27.276090720599999</v>
      </c>
      <c r="M175" s="37" t="s">
        <v>288</v>
      </c>
      <c r="N175" s="37">
        <v>950.87219512195099</v>
      </c>
      <c r="O175" s="130">
        <f t="shared" si="13"/>
        <v>25936.0762578424</v>
      </c>
      <c r="P175" s="132">
        <f t="shared" si="11"/>
        <v>82.09720153806154</v>
      </c>
      <c r="Q175" s="261">
        <v>4.1440993957167884E-3</v>
      </c>
      <c r="R175" s="92"/>
    </row>
    <row r="176" spans="1:18" x14ac:dyDescent="0.25">
      <c r="A176" s="353">
        <v>41183</v>
      </c>
      <c r="B176" s="353" t="s">
        <v>285</v>
      </c>
      <c r="C176" s="263" t="s">
        <v>445</v>
      </c>
      <c r="D176" s="157" t="s">
        <v>464</v>
      </c>
      <c r="E176" s="44">
        <f t="shared" si="10"/>
        <v>41183</v>
      </c>
      <c r="F176" s="146" t="str">
        <f t="shared" si="12"/>
        <v>2012-13</v>
      </c>
      <c r="G176" s="1"/>
      <c r="H176" s="161"/>
      <c r="I176" s="37"/>
      <c r="J176" s="135">
        <f t="shared" si="14"/>
        <v>0.76382508261777382</v>
      </c>
      <c r="K176" s="112"/>
      <c r="L176" s="37">
        <v>4.8982054877300003</v>
      </c>
      <c r="M176" s="37" t="s">
        <v>288</v>
      </c>
      <c r="N176" s="37">
        <v>950.87219512195099</v>
      </c>
      <c r="O176" s="130">
        <f t="shared" si="13"/>
        <v>4657.5674042762121</v>
      </c>
      <c r="P176" s="132">
        <f t="shared" si="11"/>
        <v>14.742910456640509</v>
      </c>
      <c r="Q176" s="261">
        <v>4.1440993957167884E-3</v>
      </c>
      <c r="R176" s="92"/>
    </row>
    <row r="177" spans="1:18" x14ac:dyDescent="0.25">
      <c r="A177" s="353">
        <v>41183</v>
      </c>
      <c r="B177" s="353" t="s">
        <v>285</v>
      </c>
      <c r="C177" s="263" t="s">
        <v>445</v>
      </c>
      <c r="D177" s="157" t="s">
        <v>464</v>
      </c>
      <c r="E177" s="44">
        <f t="shared" si="10"/>
        <v>41183</v>
      </c>
      <c r="F177" s="146" t="str">
        <f t="shared" si="12"/>
        <v>2012-13</v>
      </c>
      <c r="G177" s="1"/>
      <c r="H177" s="161"/>
      <c r="I177" s="37"/>
      <c r="J177" s="135">
        <f t="shared" si="14"/>
        <v>0.76382508261777382</v>
      </c>
      <c r="K177" s="112"/>
      <c r="L177" s="37">
        <v>21.4309570562</v>
      </c>
      <c r="M177" s="37" t="s">
        <v>288</v>
      </c>
      <c r="N177" s="37">
        <v>3592.3639024390236</v>
      </c>
      <c r="O177" s="130">
        <f t="shared" si="13"/>
        <v>76987.796523413766</v>
      </c>
      <c r="P177" s="132">
        <f t="shared" si="11"/>
        <v>243.69463539199853</v>
      </c>
      <c r="Q177" s="261">
        <v>4.1440993957167884E-3</v>
      </c>
      <c r="R177" s="92"/>
    </row>
    <row r="178" spans="1:18" x14ac:dyDescent="0.25">
      <c r="A178" s="353">
        <v>41183</v>
      </c>
      <c r="B178" s="353" t="s">
        <v>285</v>
      </c>
      <c r="C178" s="263" t="s">
        <v>445</v>
      </c>
      <c r="D178" s="157" t="s">
        <v>464</v>
      </c>
      <c r="E178" s="44">
        <f t="shared" si="10"/>
        <v>41183</v>
      </c>
      <c r="F178" s="146" t="str">
        <f t="shared" si="12"/>
        <v>2012-13</v>
      </c>
      <c r="G178" s="1"/>
      <c r="H178" s="161"/>
      <c r="I178" s="37"/>
      <c r="J178" s="135">
        <f t="shared" si="14"/>
        <v>0.76382508261777382</v>
      </c>
      <c r="K178" s="112"/>
      <c r="L178" s="37">
        <v>17.4638372199</v>
      </c>
      <c r="M178" s="37" t="s">
        <v>288</v>
      </c>
      <c r="N178" s="37">
        <v>812.22926829268283</v>
      </c>
      <c r="O178" s="130">
        <f t="shared" si="13"/>
        <v>14184.639726701898</v>
      </c>
      <c r="P178" s="132">
        <f t="shared" si="11"/>
        <v>44.899591395815676</v>
      </c>
      <c r="Q178" s="261">
        <v>4.1440993957167884E-3</v>
      </c>
      <c r="R178" s="92"/>
    </row>
    <row r="179" spans="1:18" x14ac:dyDescent="0.25">
      <c r="A179" s="353">
        <v>41183</v>
      </c>
      <c r="B179" s="353" t="s">
        <v>285</v>
      </c>
      <c r="C179" s="263" t="s">
        <v>445</v>
      </c>
      <c r="D179" s="157" t="s">
        <v>464</v>
      </c>
      <c r="E179" s="44">
        <f t="shared" si="10"/>
        <v>41183</v>
      </c>
      <c r="F179" s="146" t="str">
        <f t="shared" si="12"/>
        <v>2012-13</v>
      </c>
      <c r="G179" s="1"/>
      <c r="H179" s="161"/>
      <c r="I179" s="37"/>
      <c r="J179" s="135">
        <f t="shared" si="14"/>
        <v>0.76382508261777382</v>
      </c>
      <c r="K179" s="112"/>
      <c r="L179" s="37">
        <v>27.720335310700001</v>
      </c>
      <c r="M179" s="37" t="s">
        <v>288</v>
      </c>
      <c r="N179" s="37">
        <v>812.22926829268283</v>
      </c>
      <c r="O179" s="130">
        <f t="shared" si="13"/>
        <v>22515.26766623768</v>
      </c>
      <c r="P179" s="132">
        <f t="shared" si="11"/>
        <v>71.269086692309301</v>
      </c>
      <c r="Q179" s="261">
        <v>4.1440993957167884E-3</v>
      </c>
      <c r="R179" s="92"/>
    </row>
    <row r="180" spans="1:18" x14ac:dyDescent="0.25">
      <c r="A180" s="353">
        <v>41183</v>
      </c>
      <c r="B180" s="353" t="s">
        <v>285</v>
      </c>
      <c r="C180" s="263" t="s">
        <v>445</v>
      </c>
      <c r="D180" s="157" t="s">
        <v>464</v>
      </c>
      <c r="E180" s="44">
        <f t="shared" si="10"/>
        <v>41183</v>
      </c>
      <c r="F180" s="146" t="str">
        <f t="shared" si="12"/>
        <v>2012-13</v>
      </c>
      <c r="G180" s="1"/>
      <c r="H180" s="161"/>
      <c r="I180" s="37"/>
      <c r="J180" s="135">
        <f t="shared" si="14"/>
        <v>0.76382508261777382</v>
      </c>
      <c r="K180" s="112"/>
      <c r="L180" s="37">
        <v>4.8240983613499999</v>
      </c>
      <c r="M180" s="37" t="s">
        <v>288</v>
      </c>
      <c r="N180" s="37">
        <v>812.22926829268283</v>
      </c>
      <c r="O180" s="130">
        <f t="shared" si="13"/>
        <v>3918.2738822112406</v>
      </c>
      <c r="P180" s="132">
        <f t="shared" si="11"/>
        <v>12.402775091777867</v>
      </c>
      <c r="Q180" s="261">
        <v>4.1440993957167884E-3</v>
      </c>
      <c r="R180" s="92"/>
    </row>
    <row r="181" spans="1:18" x14ac:dyDescent="0.25">
      <c r="A181" s="353">
        <v>41183</v>
      </c>
      <c r="B181" s="353" t="s">
        <v>285</v>
      </c>
      <c r="C181" s="263" t="s">
        <v>445</v>
      </c>
      <c r="D181" s="157" t="s">
        <v>464</v>
      </c>
      <c r="E181" s="44">
        <f t="shared" si="10"/>
        <v>41183</v>
      </c>
      <c r="F181" s="146" t="str">
        <f t="shared" si="12"/>
        <v>2012-13</v>
      </c>
      <c r="G181" s="1"/>
      <c r="H181" s="161"/>
      <c r="I181" s="37"/>
      <c r="J181" s="135">
        <f t="shared" si="14"/>
        <v>0.76382508261777382</v>
      </c>
      <c r="K181" s="112"/>
      <c r="L181" s="37">
        <v>4.8794353156900003</v>
      </c>
      <c r="M181" s="37" t="s">
        <v>288</v>
      </c>
      <c r="N181" s="37">
        <v>812.22926829268283</v>
      </c>
      <c r="O181" s="130">
        <f t="shared" si="13"/>
        <v>3963.2201761443648</v>
      </c>
      <c r="P181" s="132">
        <f t="shared" si="11"/>
        <v>12.54504661021161</v>
      </c>
      <c r="Q181" s="261">
        <v>4.1440993957167884E-3</v>
      </c>
      <c r="R181" s="92"/>
    </row>
    <row r="182" spans="1:18" x14ac:dyDescent="0.25">
      <c r="A182" s="353">
        <v>41183</v>
      </c>
      <c r="B182" s="353" t="s">
        <v>285</v>
      </c>
      <c r="C182" s="263" t="s">
        <v>445</v>
      </c>
      <c r="D182" s="157" t="s">
        <v>464</v>
      </c>
      <c r="E182" s="44">
        <f t="shared" si="10"/>
        <v>41183</v>
      </c>
      <c r="F182" s="146" t="str">
        <f t="shared" si="12"/>
        <v>2012-13</v>
      </c>
      <c r="G182" s="1"/>
      <c r="H182" s="161"/>
      <c r="I182" s="37"/>
      <c r="J182" s="135">
        <f t="shared" si="14"/>
        <v>0.76382508261777382</v>
      </c>
      <c r="K182" s="112"/>
      <c r="L182" s="37">
        <v>27.905790242199998</v>
      </c>
      <c r="M182" s="37" t="s">
        <v>288</v>
      </c>
      <c r="N182" s="37">
        <v>950.87219512195099</v>
      </c>
      <c r="O182" s="130">
        <f t="shared" si="13"/>
        <v>26534.840024213434</v>
      </c>
      <c r="P182" s="132">
        <f t="shared" si="11"/>
        <v>83.992508642835631</v>
      </c>
      <c r="Q182" s="261">
        <v>4.1440993957167884E-3</v>
      </c>
      <c r="R182" s="92"/>
    </row>
    <row r="183" spans="1:18" x14ac:dyDescent="0.25">
      <c r="A183" s="353">
        <v>41167</v>
      </c>
      <c r="B183" s="353" t="s">
        <v>285</v>
      </c>
      <c r="C183" s="263" t="s">
        <v>444</v>
      </c>
      <c r="D183" s="157" t="s">
        <v>464</v>
      </c>
      <c r="E183" s="44">
        <f t="shared" si="10"/>
        <v>41167</v>
      </c>
      <c r="F183" s="146" t="str">
        <f t="shared" si="12"/>
        <v>2012-13</v>
      </c>
      <c r="G183" s="1"/>
      <c r="H183" s="161"/>
      <c r="I183" s="37"/>
      <c r="J183" s="135">
        <f t="shared" si="14"/>
        <v>0.76382508261777382</v>
      </c>
      <c r="K183" s="112"/>
      <c r="L183" s="37">
        <v>71.920538186300007</v>
      </c>
      <c r="M183" s="37" t="s">
        <v>288</v>
      </c>
      <c r="N183" s="37">
        <v>1162.6195121951216</v>
      </c>
      <c r="O183" s="130">
        <f t="shared" si="13"/>
        <v>83616.221022966725</v>
      </c>
      <c r="P183" s="132">
        <f t="shared" si="11"/>
        <v>58061.99705303432</v>
      </c>
      <c r="Q183" s="261">
        <v>0.90909133364846528</v>
      </c>
      <c r="R183" s="92"/>
    </row>
    <row r="184" spans="1:18" x14ac:dyDescent="0.25">
      <c r="A184" s="353">
        <v>41167</v>
      </c>
      <c r="B184" s="353" t="s">
        <v>285</v>
      </c>
      <c r="C184" s="263" t="s">
        <v>444</v>
      </c>
      <c r="D184" s="157" t="s">
        <v>464</v>
      </c>
      <c r="E184" s="44">
        <f t="shared" si="10"/>
        <v>41167</v>
      </c>
      <c r="F184" s="146" t="str">
        <f t="shared" si="12"/>
        <v>2012-13</v>
      </c>
      <c r="G184" s="1"/>
      <c r="H184" s="161"/>
      <c r="I184" s="37"/>
      <c r="J184" s="135">
        <f t="shared" si="14"/>
        <v>0.76382508261777382</v>
      </c>
      <c r="K184" s="112"/>
      <c r="L184" s="37">
        <v>20.841497307099999</v>
      </c>
      <c r="M184" s="37" t="s">
        <v>288</v>
      </c>
      <c r="N184" s="37">
        <v>1162.6195121951216</v>
      </c>
      <c r="O184" s="130">
        <f t="shared" si="13"/>
        <v>24230.731432596542</v>
      </c>
      <c r="P184" s="132">
        <f t="shared" si="11"/>
        <v>16825.499165357636</v>
      </c>
      <c r="Q184" s="261">
        <v>0.90909133364846528</v>
      </c>
      <c r="R184" s="92"/>
    </row>
    <row r="185" spans="1:18" x14ac:dyDescent="0.25">
      <c r="A185" s="353">
        <v>41167</v>
      </c>
      <c r="B185" s="353" t="s">
        <v>285</v>
      </c>
      <c r="C185" s="263" t="s">
        <v>444</v>
      </c>
      <c r="D185" s="157" t="s">
        <v>464</v>
      </c>
      <c r="E185" s="44">
        <f t="shared" si="10"/>
        <v>41167</v>
      </c>
      <c r="F185" s="146" t="str">
        <f t="shared" si="12"/>
        <v>2012-13</v>
      </c>
      <c r="G185" s="1"/>
      <c r="H185" s="161"/>
      <c r="I185" s="37"/>
      <c r="J185" s="135">
        <f t="shared" si="14"/>
        <v>0.76382508261777382</v>
      </c>
      <c r="K185" s="112"/>
      <c r="L185" s="37">
        <v>14.7463818613</v>
      </c>
      <c r="M185" s="37" t="s">
        <v>288</v>
      </c>
      <c r="N185" s="37">
        <v>1162.6195121951216</v>
      </c>
      <c r="O185" s="130">
        <f t="shared" si="13"/>
        <v>17144.431286227595</v>
      </c>
      <c r="P185" s="132">
        <f t="shared" si="11"/>
        <v>11904.866144853404</v>
      </c>
      <c r="Q185" s="261">
        <v>0.90909133364846528</v>
      </c>
      <c r="R185" s="92"/>
    </row>
    <row r="186" spans="1:18" x14ac:dyDescent="0.25">
      <c r="A186" s="353">
        <v>41183</v>
      </c>
      <c r="B186" s="353" t="s">
        <v>285</v>
      </c>
      <c r="C186" s="263" t="s">
        <v>445</v>
      </c>
      <c r="D186" s="157" t="s">
        <v>464</v>
      </c>
      <c r="E186" s="44">
        <f t="shared" si="10"/>
        <v>41183</v>
      </c>
      <c r="F186" s="146" t="str">
        <f t="shared" si="12"/>
        <v>2012-13</v>
      </c>
      <c r="G186" s="1"/>
      <c r="H186" s="161"/>
      <c r="I186" s="37"/>
      <c r="J186" s="135">
        <f t="shared" si="14"/>
        <v>0.76382508261777382</v>
      </c>
      <c r="K186" s="112"/>
      <c r="L186" s="37">
        <v>48.003886370099998</v>
      </c>
      <c r="M186" s="37" t="s">
        <v>288</v>
      </c>
      <c r="N186" s="37">
        <v>812.22926829268283</v>
      </c>
      <c r="O186" s="130">
        <f t="shared" si="13"/>
        <v>38990.161501591414</v>
      </c>
      <c r="P186" s="132">
        <f t="shared" si="11"/>
        <v>123.41817301026109</v>
      </c>
      <c r="Q186" s="261">
        <v>4.1440993957167884E-3</v>
      </c>
      <c r="R186" s="92"/>
    </row>
    <row r="187" spans="1:18" x14ac:dyDescent="0.25">
      <c r="A187" s="353">
        <v>41254</v>
      </c>
      <c r="B187" s="353" t="s">
        <v>285</v>
      </c>
      <c r="C187" s="263" t="s">
        <v>446</v>
      </c>
      <c r="D187" s="157" t="s">
        <v>465</v>
      </c>
      <c r="E187" s="44">
        <f t="shared" si="10"/>
        <v>41254</v>
      </c>
      <c r="F187" s="146" t="str">
        <f t="shared" si="12"/>
        <v>2012-13</v>
      </c>
      <c r="G187" s="1"/>
      <c r="H187" s="161"/>
      <c r="I187" s="37"/>
      <c r="J187" s="135">
        <f t="shared" si="14"/>
        <v>0.76382508261777382</v>
      </c>
      <c r="K187" s="112"/>
      <c r="L187" s="37">
        <v>57.293912662499999</v>
      </c>
      <c r="M187" s="37" t="s">
        <v>288</v>
      </c>
      <c r="N187" s="37">
        <v>812.22926829268283</v>
      </c>
      <c r="O187" s="130">
        <f t="shared" si="13"/>
        <v>46535.792759487253</v>
      </c>
      <c r="P187" s="132">
        <f t="shared" si="11"/>
        <v>2967.2538136080302</v>
      </c>
      <c r="Q187" s="261">
        <v>8.3478313068279256E-2</v>
      </c>
      <c r="R187" s="92"/>
    </row>
    <row r="188" spans="1:18" x14ac:dyDescent="0.25">
      <c r="A188" s="353">
        <v>41254</v>
      </c>
      <c r="B188" s="353" t="s">
        <v>285</v>
      </c>
      <c r="C188" s="263" t="s">
        <v>446</v>
      </c>
      <c r="D188" s="157" t="s">
        <v>465</v>
      </c>
      <c r="E188" s="44">
        <f t="shared" si="10"/>
        <v>41254</v>
      </c>
      <c r="F188" s="146" t="str">
        <f t="shared" si="12"/>
        <v>2012-13</v>
      </c>
      <c r="G188" s="1"/>
      <c r="H188" s="161"/>
      <c r="I188" s="37"/>
      <c r="J188" s="135">
        <f t="shared" si="14"/>
        <v>0.76382508261777382</v>
      </c>
      <c r="K188" s="112"/>
      <c r="L188" s="37">
        <v>113.088747609</v>
      </c>
      <c r="M188" s="37" t="s">
        <v>288</v>
      </c>
      <c r="N188" s="37">
        <v>812.22926829268283</v>
      </c>
      <c r="O188" s="130">
        <f t="shared" si="13"/>
        <v>91853.990722593953</v>
      </c>
      <c r="P188" s="132">
        <f t="shared" si="11"/>
        <v>5856.8703379651333</v>
      </c>
      <c r="Q188" s="261">
        <v>8.3478313068279256E-2</v>
      </c>
      <c r="R188" s="92"/>
    </row>
    <row r="189" spans="1:18" x14ac:dyDescent="0.25">
      <c r="A189" s="353">
        <v>41254</v>
      </c>
      <c r="B189" s="353" t="s">
        <v>285</v>
      </c>
      <c r="C189" s="263" t="s">
        <v>446</v>
      </c>
      <c r="D189" s="157" t="s">
        <v>465</v>
      </c>
      <c r="E189" s="44">
        <f t="shared" si="10"/>
        <v>41254</v>
      </c>
      <c r="F189" s="146" t="str">
        <f t="shared" si="12"/>
        <v>2012-13</v>
      </c>
      <c r="G189" s="1"/>
      <c r="H189" s="161"/>
      <c r="I189" s="37"/>
      <c r="J189" s="135">
        <f t="shared" si="14"/>
        <v>0.76382508261777382</v>
      </c>
      <c r="K189" s="112"/>
      <c r="L189" s="37">
        <v>73.054501810600001</v>
      </c>
      <c r="M189" s="37" t="s">
        <v>288</v>
      </c>
      <c r="N189" s="37">
        <v>812.22926829268283</v>
      </c>
      <c r="O189" s="130">
        <f t="shared" si="13"/>
        <v>59337.004551110113</v>
      </c>
      <c r="P189" s="132">
        <f t="shared" si="11"/>
        <v>3783.4952968855041</v>
      </c>
      <c r="Q189" s="261">
        <v>8.3478313068279256E-2</v>
      </c>
      <c r="R189" s="92"/>
    </row>
    <row r="190" spans="1:18" x14ac:dyDescent="0.25">
      <c r="A190" s="353">
        <v>41254</v>
      </c>
      <c r="B190" s="353" t="s">
        <v>285</v>
      </c>
      <c r="C190" s="263" t="s">
        <v>446</v>
      </c>
      <c r="D190" s="157" t="s">
        <v>465</v>
      </c>
      <c r="E190" s="44">
        <f t="shared" si="10"/>
        <v>41254</v>
      </c>
      <c r="F190" s="146" t="str">
        <f t="shared" si="12"/>
        <v>2012-13</v>
      </c>
      <c r="G190" s="1"/>
      <c r="H190" s="161"/>
      <c r="I190" s="37"/>
      <c r="J190" s="135">
        <f t="shared" si="14"/>
        <v>0.76382508261777382</v>
      </c>
      <c r="K190" s="112"/>
      <c r="L190" s="37">
        <v>118.918794711</v>
      </c>
      <c r="M190" s="37" t="s">
        <v>288</v>
      </c>
      <c r="N190" s="37">
        <v>812.22926829268283</v>
      </c>
      <c r="O190" s="130">
        <f t="shared" si="13"/>
        <v>96589.32561436329</v>
      </c>
      <c r="P190" s="132">
        <f t="shared" si="11"/>
        <v>6158.808688708049</v>
      </c>
      <c r="Q190" s="261">
        <v>8.3478313068279256E-2</v>
      </c>
      <c r="R190" s="92"/>
    </row>
    <row r="191" spans="1:18" x14ac:dyDescent="0.25">
      <c r="A191" s="353">
        <v>41254</v>
      </c>
      <c r="B191" s="353" t="s">
        <v>285</v>
      </c>
      <c r="C191" s="263" t="s">
        <v>446</v>
      </c>
      <c r="D191" s="157" t="s">
        <v>465</v>
      </c>
      <c r="E191" s="44">
        <f t="shared" si="10"/>
        <v>41254</v>
      </c>
      <c r="F191" s="146" t="str">
        <f t="shared" si="12"/>
        <v>2012-13</v>
      </c>
      <c r="G191" s="1"/>
      <c r="H191" s="161"/>
      <c r="I191" s="37"/>
      <c r="J191" s="135">
        <f t="shared" si="14"/>
        <v>0.76382508261777382</v>
      </c>
      <c r="K191" s="112"/>
      <c r="L191" s="37">
        <v>76.434016839899996</v>
      </c>
      <c r="M191" s="37" t="s">
        <v>288</v>
      </c>
      <c r="N191" s="37">
        <v>812.22926829268283</v>
      </c>
      <c r="O191" s="130">
        <f t="shared" si="13"/>
        <v>62081.945570542572</v>
      </c>
      <c r="P191" s="132">
        <f t="shared" si="11"/>
        <v>3958.5205027552279</v>
      </c>
      <c r="Q191" s="261">
        <v>8.3478313068279256E-2</v>
      </c>
      <c r="R191" s="92"/>
    </row>
    <row r="192" spans="1:18" x14ac:dyDescent="0.25">
      <c r="A192" s="353">
        <v>41254</v>
      </c>
      <c r="B192" s="353" t="s">
        <v>285</v>
      </c>
      <c r="C192" s="263" t="s">
        <v>446</v>
      </c>
      <c r="D192" s="157" t="s">
        <v>465</v>
      </c>
      <c r="E192" s="44">
        <f t="shared" si="10"/>
        <v>41254</v>
      </c>
      <c r="F192" s="146" t="str">
        <f t="shared" si="12"/>
        <v>2012-13</v>
      </c>
      <c r="G192" s="1"/>
      <c r="H192" s="161"/>
      <c r="I192" s="37"/>
      <c r="J192" s="135">
        <f t="shared" si="14"/>
        <v>0.76382508261777382</v>
      </c>
      <c r="K192" s="112"/>
      <c r="L192" s="37">
        <v>28.343159125100001</v>
      </c>
      <c r="M192" s="37" t="s">
        <v>288</v>
      </c>
      <c r="N192" s="37">
        <v>3336.4019512195118</v>
      </c>
      <c r="O192" s="130">
        <f t="shared" si="13"/>
        <v>94564.17140870876</v>
      </c>
      <c r="P192" s="132">
        <f t="shared" si="11"/>
        <v>6029.6791266324653</v>
      </c>
      <c r="Q192" s="261">
        <v>8.3478313068279256E-2</v>
      </c>
      <c r="R192" s="92"/>
    </row>
    <row r="193" spans="1:18" x14ac:dyDescent="0.25">
      <c r="A193" s="353">
        <v>41254</v>
      </c>
      <c r="B193" s="353" t="s">
        <v>285</v>
      </c>
      <c r="C193" s="263" t="s">
        <v>446</v>
      </c>
      <c r="D193" s="157" t="s">
        <v>465</v>
      </c>
      <c r="E193" s="44">
        <f t="shared" si="10"/>
        <v>41254</v>
      </c>
      <c r="F193" s="146" t="str">
        <f t="shared" si="12"/>
        <v>2012-13</v>
      </c>
      <c r="G193" s="1"/>
      <c r="H193" s="161"/>
      <c r="I193" s="37"/>
      <c r="J193" s="135">
        <f t="shared" si="14"/>
        <v>0.76382508261777382</v>
      </c>
      <c r="K193" s="112"/>
      <c r="L193" s="37">
        <v>30.0902512563</v>
      </c>
      <c r="M193" s="37" t="s">
        <v>288</v>
      </c>
      <c r="N193" s="37">
        <v>812.22926829268283</v>
      </c>
      <c r="O193" s="130">
        <f t="shared" si="13"/>
        <v>24440.182760647531</v>
      </c>
      <c r="P193" s="132">
        <f t="shared" si="11"/>
        <v>1558.3752032895991</v>
      </c>
      <c r="Q193" s="261">
        <v>8.3478313068279256E-2</v>
      </c>
      <c r="R193" s="92"/>
    </row>
    <row r="194" spans="1:18" x14ac:dyDescent="0.25">
      <c r="A194" s="353">
        <v>41254</v>
      </c>
      <c r="B194" s="353" t="s">
        <v>285</v>
      </c>
      <c r="C194" s="263" t="s">
        <v>446</v>
      </c>
      <c r="D194" s="157" t="s">
        <v>465</v>
      </c>
      <c r="E194" s="44">
        <f t="shared" si="10"/>
        <v>41254</v>
      </c>
      <c r="F194" s="146" t="str">
        <f t="shared" si="12"/>
        <v>2012-13</v>
      </c>
      <c r="G194" s="1"/>
      <c r="H194" s="161"/>
      <c r="I194" s="37"/>
      <c r="J194" s="135">
        <f t="shared" si="14"/>
        <v>0.76382508261777382</v>
      </c>
      <c r="K194" s="112"/>
      <c r="L194" s="37">
        <v>4.6379937022400002</v>
      </c>
      <c r="M194" s="37" t="s">
        <v>288</v>
      </c>
      <c r="N194" s="37">
        <v>812.22926829268283</v>
      </c>
      <c r="O194" s="130">
        <f t="shared" si="13"/>
        <v>3767.1142311164663</v>
      </c>
      <c r="P194" s="132">
        <f t="shared" si="11"/>
        <v>240.20186195922406</v>
      </c>
      <c r="Q194" s="261">
        <v>8.3478313068279256E-2</v>
      </c>
      <c r="R194" s="92"/>
    </row>
    <row r="195" spans="1:18" x14ac:dyDescent="0.25">
      <c r="A195" s="353">
        <v>41254</v>
      </c>
      <c r="B195" s="353" t="s">
        <v>285</v>
      </c>
      <c r="C195" s="263" t="s">
        <v>446</v>
      </c>
      <c r="D195" s="157" t="s">
        <v>465</v>
      </c>
      <c r="E195" s="44">
        <f t="shared" si="10"/>
        <v>41254</v>
      </c>
      <c r="F195" s="146" t="str">
        <f t="shared" si="12"/>
        <v>2012-13</v>
      </c>
      <c r="G195" s="1"/>
      <c r="H195" s="161"/>
      <c r="I195" s="37"/>
      <c r="J195" s="135">
        <f t="shared" si="14"/>
        <v>0.76382508261777382</v>
      </c>
      <c r="K195" s="112"/>
      <c r="L195" s="37">
        <v>43.628707699000003</v>
      </c>
      <c r="M195" s="37" t="s">
        <v>288</v>
      </c>
      <c r="N195" s="37">
        <v>3336.4019512195118</v>
      </c>
      <c r="O195" s="130">
        <f t="shared" si="13"/>
        <v>145562.90549612936</v>
      </c>
      <c r="P195" s="132">
        <f t="shared" si="11"/>
        <v>9281.5027066493694</v>
      </c>
      <c r="Q195" s="261">
        <v>8.3478313068279256E-2</v>
      </c>
      <c r="R195" s="92"/>
    </row>
    <row r="196" spans="1:18" x14ac:dyDescent="0.25">
      <c r="A196" s="353">
        <v>41254</v>
      </c>
      <c r="B196" s="353" t="s">
        <v>285</v>
      </c>
      <c r="C196" s="263" t="s">
        <v>446</v>
      </c>
      <c r="D196" s="157" t="s">
        <v>465</v>
      </c>
      <c r="E196" s="44">
        <f t="shared" si="10"/>
        <v>41254</v>
      </c>
      <c r="F196" s="146" t="str">
        <f t="shared" si="12"/>
        <v>2012-13</v>
      </c>
      <c r="G196" s="1"/>
      <c r="H196" s="161"/>
      <c r="I196" s="37"/>
      <c r="J196" s="135">
        <f t="shared" si="14"/>
        <v>0.76382508261777382</v>
      </c>
      <c r="K196" s="112"/>
      <c r="L196" s="37">
        <v>8.4893816618199995</v>
      </c>
      <c r="M196" s="37" t="s">
        <v>288</v>
      </c>
      <c r="N196" s="37">
        <v>812.22926829268283</v>
      </c>
      <c r="O196" s="130">
        <f t="shared" si="13"/>
        <v>6895.3242554373783</v>
      </c>
      <c r="P196" s="132">
        <f t="shared" si="11"/>
        <v>439.66538399282547</v>
      </c>
      <c r="Q196" s="261">
        <v>8.3478313068279256E-2</v>
      </c>
      <c r="R196" s="92"/>
    </row>
    <row r="197" spans="1:18" x14ac:dyDescent="0.25">
      <c r="A197" s="353">
        <v>41254</v>
      </c>
      <c r="B197" s="353" t="s">
        <v>285</v>
      </c>
      <c r="C197" s="263" t="s">
        <v>446</v>
      </c>
      <c r="D197" s="157" t="s">
        <v>465</v>
      </c>
      <c r="E197" s="44">
        <f t="shared" si="10"/>
        <v>41254</v>
      </c>
      <c r="F197" s="146" t="str">
        <f t="shared" si="12"/>
        <v>2012-13</v>
      </c>
      <c r="G197" s="1"/>
      <c r="H197" s="161"/>
      <c r="I197" s="37"/>
      <c r="J197" s="135">
        <f t="shared" si="14"/>
        <v>0.76382508261777382</v>
      </c>
      <c r="K197" s="112"/>
      <c r="L197" s="37">
        <v>44.192200464999999</v>
      </c>
      <c r="M197" s="37" t="s">
        <v>288</v>
      </c>
      <c r="N197" s="37">
        <v>3336.4019512195118</v>
      </c>
      <c r="O197" s="130">
        <f t="shared" si="13"/>
        <v>147442.94386010981</v>
      </c>
      <c r="P197" s="132">
        <f t="shared" si="11"/>
        <v>9401.3792720725105</v>
      </c>
      <c r="Q197" s="261">
        <v>8.3478313068279256E-2</v>
      </c>
      <c r="R197" s="92"/>
    </row>
    <row r="198" spans="1:18" x14ac:dyDescent="0.25">
      <c r="A198" s="353">
        <v>41254</v>
      </c>
      <c r="B198" s="353" t="s">
        <v>285</v>
      </c>
      <c r="C198" s="263" t="s">
        <v>446</v>
      </c>
      <c r="D198" s="157" t="s">
        <v>465</v>
      </c>
      <c r="E198" s="44">
        <f t="shared" si="10"/>
        <v>41254</v>
      </c>
      <c r="F198" s="146" t="str">
        <f t="shared" si="12"/>
        <v>2012-13</v>
      </c>
      <c r="G198" s="1"/>
      <c r="H198" s="161"/>
      <c r="I198" s="37"/>
      <c r="J198" s="135">
        <f t="shared" si="14"/>
        <v>0.76382508261777382</v>
      </c>
      <c r="K198" s="112"/>
      <c r="L198" s="37">
        <v>31.6485198785</v>
      </c>
      <c r="M198" s="37" t="s">
        <v>288</v>
      </c>
      <c r="N198" s="37">
        <v>3336.4019512195118</v>
      </c>
      <c r="O198" s="130">
        <f t="shared" si="13"/>
        <v>105592.18347583691</v>
      </c>
      <c r="P198" s="132">
        <f t="shared" si="11"/>
        <v>6732.85637842711</v>
      </c>
      <c r="Q198" s="261">
        <v>8.3478313068279256E-2</v>
      </c>
      <c r="R198" s="92"/>
    </row>
    <row r="199" spans="1:18" x14ac:dyDescent="0.25">
      <c r="A199" s="353">
        <v>41254</v>
      </c>
      <c r="B199" s="353" t="s">
        <v>285</v>
      </c>
      <c r="C199" s="263" t="s">
        <v>446</v>
      </c>
      <c r="D199" s="157" t="s">
        <v>465</v>
      </c>
      <c r="E199" s="44">
        <f t="shared" si="10"/>
        <v>41254</v>
      </c>
      <c r="F199" s="146" t="str">
        <f t="shared" si="12"/>
        <v>2012-13</v>
      </c>
      <c r="G199" s="1"/>
      <c r="H199" s="161"/>
      <c r="I199" s="37"/>
      <c r="J199" s="135">
        <f t="shared" si="14"/>
        <v>0.76382508261777382</v>
      </c>
      <c r="K199" s="112"/>
      <c r="L199" s="37">
        <v>118.894481559</v>
      </c>
      <c r="M199" s="37" t="s">
        <v>288</v>
      </c>
      <c r="N199" s="37">
        <v>3336.4019512195118</v>
      </c>
      <c r="O199" s="130">
        <f t="shared" si="13"/>
        <v>396679.78026267985</v>
      </c>
      <c r="P199" s="132">
        <f t="shared" si="11"/>
        <v>25293.425145866178</v>
      </c>
      <c r="Q199" s="261">
        <v>8.3478313068279256E-2</v>
      </c>
      <c r="R199" s="92"/>
    </row>
    <row r="200" spans="1:18" x14ac:dyDescent="0.25">
      <c r="A200" s="353">
        <v>41254</v>
      </c>
      <c r="B200" s="353" t="s">
        <v>285</v>
      </c>
      <c r="C200" s="263" t="s">
        <v>446</v>
      </c>
      <c r="D200" s="157" t="s">
        <v>465</v>
      </c>
      <c r="E200" s="44">
        <f t="shared" si="10"/>
        <v>41254</v>
      </c>
      <c r="F200" s="146" t="str">
        <f t="shared" si="12"/>
        <v>2012-13</v>
      </c>
      <c r="G200" s="1"/>
      <c r="H200" s="161"/>
      <c r="I200" s="37"/>
      <c r="J200" s="135">
        <f t="shared" si="14"/>
        <v>0.76382508261777382</v>
      </c>
      <c r="K200" s="112"/>
      <c r="L200" s="37">
        <v>41.3496138434</v>
      </c>
      <c r="M200" s="37" t="s">
        <v>288</v>
      </c>
      <c r="N200" s="37">
        <v>812.22926829268283</v>
      </c>
      <c r="O200" s="130">
        <f t="shared" si="13"/>
        <v>33585.366596209773</v>
      </c>
      <c r="P200" s="132">
        <f t="shared" si="11"/>
        <v>2141.4979998102699</v>
      </c>
      <c r="Q200" s="261">
        <v>8.3478313068279256E-2</v>
      </c>
      <c r="R200" s="92"/>
    </row>
    <row r="201" spans="1:18" x14ac:dyDescent="0.25">
      <c r="A201" s="353">
        <v>41254</v>
      </c>
      <c r="B201" s="353" t="s">
        <v>285</v>
      </c>
      <c r="C201" s="263" t="s">
        <v>446</v>
      </c>
      <c r="D201" s="157" t="s">
        <v>465</v>
      </c>
      <c r="E201" s="44">
        <f t="shared" si="10"/>
        <v>41254</v>
      </c>
      <c r="F201" s="146" t="str">
        <f t="shared" si="12"/>
        <v>2012-13</v>
      </c>
      <c r="G201" s="1"/>
      <c r="H201" s="161"/>
      <c r="I201" s="37"/>
      <c r="J201" s="135">
        <f t="shared" si="14"/>
        <v>0.76382508261777382</v>
      </c>
      <c r="K201" s="112"/>
      <c r="L201" s="37">
        <v>26.877008203999999</v>
      </c>
      <c r="M201" s="37" t="s">
        <v>288</v>
      </c>
      <c r="N201" s="37">
        <v>3336.4019512195118</v>
      </c>
      <c r="O201" s="130">
        <f t="shared" si="13"/>
        <v>89672.502614768426</v>
      </c>
      <c r="P201" s="132">
        <f t="shared" si="11"/>
        <v>5717.7724839597076</v>
      </c>
      <c r="Q201" s="261">
        <v>8.3478313068279256E-2</v>
      </c>
      <c r="R201" s="92"/>
    </row>
    <row r="202" spans="1:18" x14ac:dyDescent="0.25">
      <c r="A202" s="353">
        <v>41254</v>
      </c>
      <c r="B202" s="353" t="s">
        <v>285</v>
      </c>
      <c r="C202" s="263" t="s">
        <v>446</v>
      </c>
      <c r="D202" s="157" t="s">
        <v>465</v>
      </c>
      <c r="E202" s="44">
        <f t="shared" si="10"/>
        <v>41254</v>
      </c>
      <c r="F202" s="146" t="str">
        <f t="shared" si="12"/>
        <v>2012-13</v>
      </c>
      <c r="G202" s="1"/>
      <c r="H202" s="161"/>
      <c r="I202" s="37"/>
      <c r="J202" s="135">
        <f t="shared" si="14"/>
        <v>0.76382508261777382</v>
      </c>
      <c r="K202" s="112"/>
      <c r="L202" s="37">
        <v>29.4007090054</v>
      </c>
      <c r="M202" s="37" t="s">
        <v>288</v>
      </c>
      <c r="N202" s="37">
        <v>3336.4019512195118</v>
      </c>
      <c r="O202" s="130">
        <f t="shared" si="13"/>
        <v>98092.582892853636</v>
      </c>
      <c r="P202" s="132">
        <f t="shared" si="11"/>
        <v>6254.660626064916</v>
      </c>
      <c r="Q202" s="261">
        <v>8.3478313068279256E-2</v>
      </c>
      <c r="R202" s="92"/>
    </row>
    <row r="203" spans="1:18" x14ac:dyDescent="0.25">
      <c r="A203" s="353">
        <v>41254</v>
      </c>
      <c r="B203" s="353" t="s">
        <v>285</v>
      </c>
      <c r="C203" s="263" t="s">
        <v>446</v>
      </c>
      <c r="D203" s="157" t="s">
        <v>465</v>
      </c>
      <c r="E203" s="44">
        <f t="shared" si="10"/>
        <v>41254</v>
      </c>
      <c r="F203" s="146" t="str">
        <f t="shared" si="12"/>
        <v>2012-13</v>
      </c>
      <c r="G203" s="1"/>
      <c r="H203" s="161"/>
      <c r="I203" s="37"/>
      <c r="J203" s="135">
        <f t="shared" si="14"/>
        <v>0.76382508261777382</v>
      </c>
      <c r="K203" s="112"/>
      <c r="L203" s="37">
        <v>4.8294092159300002</v>
      </c>
      <c r="M203" s="37" t="s">
        <v>288</v>
      </c>
      <c r="N203" s="37">
        <v>812.22926829268283</v>
      </c>
      <c r="O203" s="130">
        <f t="shared" si="13"/>
        <v>3922.5875137407629</v>
      </c>
      <c r="P203" s="132">
        <f t="shared" si="11"/>
        <v>250.11527835175028</v>
      </c>
      <c r="Q203" s="261">
        <v>8.3478313068279256E-2</v>
      </c>
      <c r="R203" s="92"/>
    </row>
    <row r="204" spans="1:18" x14ac:dyDescent="0.25">
      <c r="A204" s="353">
        <v>41254</v>
      </c>
      <c r="B204" s="353" t="s">
        <v>285</v>
      </c>
      <c r="C204" s="263" t="s">
        <v>446</v>
      </c>
      <c r="D204" s="157" t="s">
        <v>465</v>
      </c>
      <c r="E204" s="44">
        <f t="shared" si="10"/>
        <v>41254</v>
      </c>
      <c r="F204" s="146" t="str">
        <f t="shared" si="12"/>
        <v>2012-13</v>
      </c>
      <c r="G204" s="1"/>
      <c r="H204" s="161"/>
      <c r="I204" s="37"/>
      <c r="J204" s="135">
        <f t="shared" si="14"/>
        <v>0.76382508261777382</v>
      </c>
      <c r="K204" s="112"/>
      <c r="L204" s="37">
        <v>46.454153436600002</v>
      </c>
      <c r="M204" s="37" t="s">
        <v>288</v>
      </c>
      <c r="N204" s="37">
        <v>812.22926829268283</v>
      </c>
      <c r="O204" s="130">
        <f t="shared" si="13"/>
        <v>37731.423054965635</v>
      </c>
      <c r="P204" s="132">
        <f t="shared" si="11"/>
        <v>2405.8622903738906</v>
      </c>
      <c r="Q204" s="261">
        <v>8.3478313068279256E-2</v>
      </c>
      <c r="R204" s="92"/>
    </row>
    <row r="205" spans="1:18" x14ac:dyDescent="0.25">
      <c r="A205" s="353">
        <v>41254</v>
      </c>
      <c r="B205" s="353" t="s">
        <v>285</v>
      </c>
      <c r="C205" s="263" t="s">
        <v>446</v>
      </c>
      <c r="D205" s="157" t="s">
        <v>465</v>
      </c>
      <c r="E205" s="44">
        <f t="shared" si="10"/>
        <v>41254</v>
      </c>
      <c r="F205" s="146" t="str">
        <f t="shared" si="12"/>
        <v>2012-13</v>
      </c>
      <c r="G205" s="1"/>
      <c r="H205" s="161"/>
      <c r="I205" s="37"/>
      <c r="J205" s="135">
        <f t="shared" si="14"/>
        <v>0.76382508261777382</v>
      </c>
      <c r="K205" s="112"/>
      <c r="L205" s="37">
        <v>23.519622894499999</v>
      </c>
      <c r="M205" s="37" t="s">
        <v>288</v>
      </c>
      <c r="N205" s="37">
        <v>3336.4019512195118</v>
      </c>
      <c r="O205" s="130">
        <f t="shared" si="13"/>
        <v>78470.915717156895</v>
      </c>
      <c r="P205" s="132">
        <f t="shared" si="11"/>
        <v>5003.5276098649538</v>
      </c>
      <c r="Q205" s="261">
        <v>8.3478313068279256E-2</v>
      </c>
      <c r="R205" s="92"/>
    </row>
    <row r="206" spans="1:18" x14ac:dyDescent="0.25">
      <c r="A206" s="353">
        <v>41254</v>
      </c>
      <c r="B206" s="353" t="s">
        <v>285</v>
      </c>
      <c r="C206" s="263" t="s">
        <v>446</v>
      </c>
      <c r="D206" s="157" t="s">
        <v>465</v>
      </c>
      <c r="E206" s="44">
        <f t="shared" si="10"/>
        <v>41254</v>
      </c>
      <c r="F206" s="146" t="str">
        <f t="shared" si="12"/>
        <v>2012-13</v>
      </c>
      <c r="G206" s="1"/>
      <c r="H206" s="161"/>
      <c r="I206" s="37"/>
      <c r="J206" s="135">
        <f t="shared" si="14"/>
        <v>0.76382508261777382</v>
      </c>
      <c r="K206" s="112"/>
      <c r="L206" s="37">
        <v>3.3563149435100001</v>
      </c>
      <c r="M206" s="37" t="s">
        <v>288</v>
      </c>
      <c r="N206" s="37">
        <v>3336.4019512195118</v>
      </c>
      <c r="O206" s="130">
        <f t="shared" si="13"/>
        <v>11198.01572643397</v>
      </c>
      <c r="P206" s="132">
        <f t="shared" si="11"/>
        <v>714.01716611628649</v>
      </c>
      <c r="Q206" s="261">
        <v>8.3478313068279256E-2</v>
      </c>
      <c r="R206" s="92"/>
    </row>
    <row r="207" spans="1:18" x14ac:dyDescent="0.25">
      <c r="A207" s="353">
        <v>41254</v>
      </c>
      <c r="B207" s="353" t="s">
        <v>285</v>
      </c>
      <c r="C207" s="263" t="s">
        <v>446</v>
      </c>
      <c r="D207" s="157" t="s">
        <v>465</v>
      </c>
      <c r="E207" s="44">
        <f t="shared" si="10"/>
        <v>41254</v>
      </c>
      <c r="F207" s="146" t="str">
        <f t="shared" si="12"/>
        <v>2012-13</v>
      </c>
      <c r="G207" s="1"/>
      <c r="H207" s="161"/>
      <c r="I207" s="37"/>
      <c r="J207" s="135">
        <f t="shared" si="14"/>
        <v>0.76382508261777382</v>
      </c>
      <c r="K207" s="112"/>
      <c r="L207" s="37">
        <v>30.171739712600001</v>
      </c>
      <c r="M207" s="37" t="s">
        <v>288</v>
      </c>
      <c r="N207" s="37">
        <v>3336.4019512195118</v>
      </c>
      <c r="O207" s="130">
        <f t="shared" si="13"/>
        <v>100665.05124880587</v>
      </c>
      <c r="P207" s="132">
        <f t="shared" si="11"/>
        <v>6418.6884869210971</v>
      </c>
      <c r="Q207" s="261">
        <v>8.3478313068279256E-2</v>
      </c>
      <c r="R207" s="92"/>
    </row>
    <row r="208" spans="1:18" x14ac:dyDescent="0.25">
      <c r="A208" s="353">
        <v>41254</v>
      </c>
      <c r="B208" s="353" t="s">
        <v>285</v>
      </c>
      <c r="C208" s="263" t="s">
        <v>446</v>
      </c>
      <c r="D208" s="157" t="s">
        <v>465</v>
      </c>
      <c r="E208" s="44">
        <f t="shared" si="10"/>
        <v>41254</v>
      </c>
      <c r="F208" s="146" t="str">
        <f t="shared" si="12"/>
        <v>2012-13</v>
      </c>
      <c r="G208" s="1"/>
      <c r="H208" s="161"/>
      <c r="I208" s="37"/>
      <c r="J208" s="135">
        <f t="shared" si="14"/>
        <v>0.76382508261777382</v>
      </c>
      <c r="K208" s="112"/>
      <c r="L208" s="37">
        <v>69.897093720699999</v>
      </c>
      <c r="M208" s="37" t="s">
        <v>288</v>
      </c>
      <c r="N208" s="37">
        <v>812.22926829268283</v>
      </c>
      <c r="O208" s="130">
        <f t="shared" si="13"/>
        <v>56772.46528854924</v>
      </c>
      <c r="P208" s="132">
        <f t="shared" si="11"/>
        <v>3619.9730174583437</v>
      </c>
      <c r="Q208" s="261">
        <v>8.3478313068279256E-2</v>
      </c>
      <c r="R208" s="92"/>
    </row>
    <row r="209" spans="1:18" x14ac:dyDescent="0.25">
      <c r="A209" s="353">
        <v>41254</v>
      </c>
      <c r="B209" s="353" t="s">
        <v>285</v>
      </c>
      <c r="C209" s="263" t="s">
        <v>446</v>
      </c>
      <c r="D209" s="157" t="s">
        <v>465</v>
      </c>
      <c r="E209" s="44">
        <f t="shared" si="10"/>
        <v>41254</v>
      </c>
      <c r="F209" s="146" t="str">
        <f t="shared" si="12"/>
        <v>2012-13</v>
      </c>
      <c r="G209" s="1"/>
      <c r="H209" s="161"/>
      <c r="I209" s="37"/>
      <c r="J209" s="135">
        <f t="shared" si="14"/>
        <v>0.76382508261777382</v>
      </c>
      <c r="K209" s="112"/>
      <c r="L209" s="37">
        <v>35.775045566999999</v>
      </c>
      <c r="M209" s="37" t="s">
        <v>288</v>
      </c>
      <c r="N209" s="37">
        <v>3336.4019512195118</v>
      </c>
      <c r="O209" s="130">
        <f t="shared" si="13"/>
        <v>119359.93183470574</v>
      </c>
      <c r="P209" s="132">
        <f t="shared" si="11"/>
        <v>7610.7269679277188</v>
      </c>
      <c r="Q209" s="261">
        <v>8.3478313068279256E-2</v>
      </c>
      <c r="R209" s="92"/>
    </row>
    <row r="210" spans="1:18" x14ac:dyDescent="0.25">
      <c r="A210" s="353">
        <v>41254</v>
      </c>
      <c r="B210" s="353" t="s">
        <v>285</v>
      </c>
      <c r="C210" s="263" t="s">
        <v>446</v>
      </c>
      <c r="D210" s="157" t="s">
        <v>465</v>
      </c>
      <c r="E210" s="44">
        <f t="shared" si="10"/>
        <v>41254</v>
      </c>
      <c r="F210" s="146" t="str">
        <f t="shared" si="12"/>
        <v>2012-13</v>
      </c>
      <c r="G210" s="1"/>
      <c r="H210" s="161"/>
      <c r="I210" s="37"/>
      <c r="J210" s="135">
        <f t="shared" si="14"/>
        <v>0.76382508261777382</v>
      </c>
      <c r="K210" s="112"/>
      <c r="L210" s="37">
        <v>35.663163581500001</v>
      </c>
      <c r="M210" s="37" t="s">
        <v>288</v>
      </c>
      <c r="N210" s="37">
        <v>3336.4019512195118</v>
      </c>
      <c r="O210" s="130">
        <f t="shared" si="13"/>
        <v>118986.64855997724</v>
      </c>
      <c r="P210" s="132">
        <f t="shared" si="11"/>
        <v>7586.9253701722264</v>
      </c>
      <c r="Q210" s="261">
        <v>8.3478313068279256E-2</v>
      </c>
      <c r="R210" s="92"/>
    </row>
    <row r="211" spans="1:18" x14ac:dyDescent="0.25">
      <c r="A211" s="353">
        <v>41254</v>
      </c>
      <c r="B211" s="353" t="s">
        <v>285</v>
      </c>
      <c r="C211" s="263" t="s">
        <v>446</v>
      </c>
      <c r="D211" s="157" t="s">
        <v>465</v>
      </c>
      <c r="E211" s="44">
        <f t="shared" si="10"/>
        <v>41254</v>
      </c>
      <c r="F211" s="146" t="str">
        <f t="shared" si="12"/>
        <v>2012-13</v>
      </c>
      <c r="G211" s="1"/>
      <c r="H211" s="161"/>
      <c r="I211" s="37"/>
      <c r="J211" s="135">
        <f t="shared" si="14"/>
        <v>0.76382508261777382</v>
      </c>
      <c r="K211" s="112"/>
      <c r="L211" s="37">
        <v>56.627307992600002</v>
      </c>
      <c r="M211" s="37" t="s">
        <v>288</v>
      </c>
      <c r="N211" s="37">
        <v>812.22926829268283</v>
      </c>
      <c r="O211" s="130">
        <f t="shared" si="13"/>
        <v>45994.356936213888</v>
      </c>
      <c r="P211" s="132">
        <f t="shared" si="11"/>
        <v>2932.730333590504</v>
      </c>
      <c r="Q211" s="261">
        <v>8.3478313068279256E-2</v>
      </c>
      <c r="R211" s="92"/>
    </row>
    <row r="212" spans="1:18" x14ac:dyDescent="0.25">
      <c r="A212" s="353">
        <v>41254</v>
      </c>
      <c r="B212" s="353" t="s">
        <v>285</v>
      </c>
      <c r="C212" s="263" t="s">
        <v>446</v>
      </c>
      <c r="D212" s="157" t="s">
        <v>465</v>
      </c>
      <c r="E212" s="44">
        <f t="shared" si="10"/>
        <v>41254</v>
      </c>
      <c r="F212" s="146" t="str">
        <f t="shared" si="12"/>
        <v>2012-13</v>
      </c>
      <c r="G212" s="1"/>
      <c r="H212" s="161"/>
      <c r="I212" s="37"/>
      <c r="J212" s="135">
        <f t="shared" si="14"/>
        <v>0.76382508261777382</v>
      </c>
      <c r="K212" s="112"/>
      <c r="L212" s="37">
        <v>22.769399184200001</v>
      </c>
      <c r="M212" s="37" t="s">
        <v>288</v>
      </c>
      <c r="N212" s="37">
        <v>3336.4019512195118</v>
      </c>
      <c r="O212" s="130">
        <f t="shared" si="13"/>
        <v>75967.867866260844</v>
      </c>
      <c r="P212" s="132">
        <f t="shared" si="11"/>
        <v>4843.9261968278779</v>
      </c>
      <c r="Q212" s="261">
        <v>8.3478313068279256E-2</v>
      </c>
      <c r="R212" s="92"/>
    </row>
    <row r="213" spans="1:18" x14ac:dyDescent="0.25">
      <c r="A213" s="353">
        <v>41254</v>
      </c>
      <c r="B213" s="353" t="s">
        <v>285</v>
      </c>
      <c r="C213" s="263" t="s">
        <v>446</v>
      </c>
      <c r="D213" s="157" t="s">
        <v>465</v>
      </c>
      <c r="E213" s="44">
        <f t="shared" si="10"/>
        <v>41254</v>
      </c>
      <c r="F213" s="146" t="str">
        <f t="shared" si="12"/>
        <v>2012-13</v>
      </c>
      <c r="G213" s="1"/>
      <c r="H213" s="161"/>
      <c r="I213" s="37"/>
      <c r="J213" s="135">
        <f t="shared" si="14"/>
        <v>0.76382508261777382</v>
      </c>
      <c r="K213" s="112"/>
      <c r="L213" s="37">
        <v>4.16913769603</v>
      </c>
      <c r="M213" s="37" t="s">
        <v>288</v>
      </c>
      <c r="N213" s="37">
        <v>812.22926829268283</v>
      </c>
      <c r="O213" s="130">
        <f t="shared" si="13"/>
        <v>3386.2956602578884</v>
      </c>
      <c r="P213" s="132">
        <f t="shared" si="11"/>
        <v>215.91979240229134</v>
      </c>
      <c r="Q213" s="261">
        <v>8.3478313068279256E-2</v>
      </c>
      <c r="R213" s="92"/>
    </row>
    <row r="214" spans="1:18" x14ac:dyDescent="0.25">
      <c r="A214" s="353">
        <v>41254</v>
      </c>
      <c r="B214" s="353" t="s">
        <v>285</v>
      </c>
      <c r="C214" s="263" t="s">
        <v>446</v>
      </c>
      <c r="D214" s="157" t="s">
        <v>465</v>
      </c>
      <c r="E214" s="44">
        <f t="shared" si="10"/>
        <v>41254</v>
      </c>
      <c r="F214" s="146" t="str">
        <f t="shared" si="12"/>
        <v>2012-13</v>
      </c>
      <c r="G214" s="1"/>
      <c r="H214" s="161"/>
      <c r="I214" s="37"/>
      <c r="J214" s="135">
        <f t="shared" si="14"/>
        <v>0.76382508261777382</v>
      </c>
      <c r="K214" s="112"/>
      <c r="L214" s="37">
        <v>22.805580216300001</v>
      </c>
      <c r="M214" s="37" t="s">
        <v>288</v>
      </c>
      <c r="N214" s="37">
        <v>812.22926829268283</v>
      </c>
      <c r="O214" s="130">
        <f t="shared" si="13"/>
        <v>18523.359732075434</v>
      </c>
      <c r="P214" s="132">
        <f t="shared" si="11"/>
        <v>1181.1018260697585</v>
      </c>
      <c r="Q214" s="261">
        <v>8.3478313068279256E-2</v>
      </c>
      <c r="R214" s="92"/>
    </row>
    <row r="215" spans="1:18" x14ac:dyDescent="0.25">
      <c r="A215" s="353">
        <v>41254</v>
      </c>
      <c r="B215" s="353" t="s">
        <v>285</v>
      </c>
      <c r="C215" s="263" t="s">
        <v>446</v>
      </c>
      <c r="D215" s="157" t="s">
        <v>465</v>
      </c>
      <c r="E215" s="44">
        <f t="shared" ref="E215:E278" si="15">IF(VALUE(A215)&lt;2022,DATEVALUE("30 Jun "&amp;A215),A215)</f>
        <v>41254</v>
      </c>
      <c r="F215" s="146" t="str">
        <f t="shared" si="12"/>
        <v>2012-13</v>
      </c>
      <c r="G215" s="1"/>
      <c r="H215" s="161"/>
      <c r="I215" s="37"/>
      <c r="J215" s="135">
        <f t="shared" si="14"/>
        <v>0.76382508261777382</v>
      </c>
      <c r="K215" s="112"/>
      <c r="L215" s="37">
        <v>25.031862436200001</v>
      </c>
      <c r="M215" s="37" t="s">
        <v>288</v>
      </c>
      <c r="N215" s="37">
        <v>812.22926829268283</v>
      </c>
      <c r="O215" s="130">
        <f t="shared" si="13"/>
        <v>20331.611310557819</v>
      </c>
      <c r="P215" s="132">
        <f t="shared" ref="P215:P278" si="16">IF(O215="-","-",IF(OR(E215&lt;$E$15,E215&gt;$E$16),0,O215*J215))*Q215</f>
        <v>1296.4010629377224</v>
      </c>
      <c r="Q215" s="261">
        <v>8.3478313068279256E-2</v>
      </c>
      <c r="R215" s="92"/>
    </row>
    <row r="216" spans="1:18" x14ac:dyDescent="0.25">
      <c r="A216" s="353">
        <v>41225</v>
      </c>
      <c r="B216" s="353" t="s">
        <v>285</v>
      </c>
      <c r="C216" s="263" t="s">
        <v>443</v>
      </c>
      <c r="D216" s="157" t="s">
        <v>464</v>
      </c>
      <c r="E216" s="44">
        <f t="shared" si="15"/>
        <v>41225</v>
      </c>
      <c r="F216" s="146" t="str">
        <f t="shared" ref="F216:F279" si="17">IF(E216="","-",IF(OR(E216&lt;$E$15,E216&gt;$E$16),"ERROR - date outside of range",IF(MONTH(E216)&gt;=7,YEAR(E216)&amp;"-"&amp;IF(YEAR(E216)=1999,"00",IF(AND(YEAR(E216)&gt;=2000,YEAR(E216)&lt;2009),"0","")&amp;RIGHT(YEAR(E216),2)+1),RIGHT(YEAR(E216),4)-1&amp;"-"&amp;RIGHT(YEAR(E216),2))))</f>
        <v>2012-13</v>
      </c>
      <c r="G216" s="1"/>
      <c r="H216" s="161"/>
      <c r="I216" s="37"/>
      <c r="J216" s="135">
        <f t="shared" si="14"/>
        <v>0.76382508261777382</v>
      </c>
      <c r="K216" s="112"/>
      <c r="L216" s="37">
        <v>75.059588772699996</v>
      </c>
      <c r="M216" s="37" t="s">
        <v>288</v>
      </c>
      <c r="N216" s="37">
        <v>4416.6341463414628</v>
      </c>
      <c r="O216" s="130">
        <f t="shared" ref="O216:O279" si="18">IF(N216="","-",L216*N216)</f>
        <v>331510.74278385512</v>
      </c>
      <c r="P216" s="132">
        <f t="shared" si="16"/>
        <v>230196.57133758254</v>
      </c>
      <c r="Q216" s="261">
        <v>0.90909093772537763</v>
      </c>
      <c r="R216" s="92"/>
    </row>
    <row r="217" spans="1:18" x14ac:dyDescent="0.25">
      <c r="A217" s="353">
        <v>41254</v>
      </c>
      <c r="B217" s="353" t="s">
        <v>285</v>
      </c>
      <c r="C217" s="263" t="s">
        <v>446</v>
      </c>
      <c r="D217" s="157" t="s">
        <v>465</v>
      </c>
      <c r="E217" s="44">
        <f t="shared" si="15"/>
        <v>41254</v>
      </c>
      <c r="F217" s="146" t="str">
        <f t="shared" si="17"/>
        <v>2012-13</v>
      </c>
      <c r="G217" s="1"/>
      <c r="H217" s="161"/>
      <c r="I217" s="37"/>
      <c r="J217" s="135">
        <f t="shared" ref="J217:J280" si="19">J216</f>
        <v>0.76382508261777382</v>
      </c>
      <c r="K217" s="112"/>
      <c r="L217" s="37">
        <v>52.0804246099</v>
      </c>
      <c r="M217" s="37" t="s">
        <v>288</v>
      </c>
      <c r="N217" s="37">
        <v>1162.6195121951216</v>
      </c>
      <c r="O217" s="130">
        <f t="shared" si="18"/>
        <v>60549.717854876748</v>
      </c>
      <c r="P217" s="132">
        <f t="shared" si="16"/>
        <v>3860.8213283557884</v>
      </c>
      <c r="Q217" s="261">
        <v>8.3478313068279256E-2</v>
      </c>
      <c r="R217" s="92"/>
    </row>
    <row r="218" spans="1:18" x14ac:dyDescent="0.25">
      <c r="A218" s="353">
        <v>41254</v>
      </c>
      <c r="B218" s="353" t="s">
        <v>285</v>
      </c>
      <c r="C218" s="263" t="s">
        <v>446</v>
      </c>
      <c r="D218" s="157" t="s">
        <v>465</v>
      </c>
      <c r="E218" s="44">
        <f t="shared" si="15"/>
        <v>41254</v>
      </c>
      <c r="F218" s="146" t="str">
        <f t="shared" si="17"/>
        <v>2012-13</v>
      </c>
      <c r="G218" s="1"/>
      <c r="H218" s="161"/>
      <c r="I218" s="37"/>
      <c r="J218" s="135">
        <f t="shared" si="19"/>
        <v>0.76382508261777382</v>
      </c>
      <c r="K218" s="112"/>
      <c r="L218" s="37">
        <v>4.8118164969199997</v>
      </c>
      <c r="M218" s="37" t="s">
        <v>288</v>
      </c>
      <c r="N218" s="37">
        <v>1162.6195121951216</v>
      </c>
      <c r="O218" s="130">
        <f t="shared" si="18"/>
        <v>5594.3117484215691</v>
      </c>
      <c r="P218" s="132">
        <f t="shared" si="16"/>
        <v>356.70914549171221</v>
      </c>
      <c r="Q218" s="261">
        <v>8.3478313068279256E-2</v>
      </c>
      <c r="R218" s="92"/>
    </row>
    <row r="219" spans="1:18" x14ac:dyDescent="0.25">
      <c r="A219" s="353">
        <v>41254</v>
      </c>
      <c r="B219" s="353" t="s">
        <v>285</v>
      </c>
      <c r="C219" s="263" t="s">
        <v>446</v>
      </c>
      <c r="D219" s="157" t="s">
        <v>465</v>
      </c>
      <c r="E219" s="44">
        <f t="shared" si="15"/>
        <v>41254</v>
      </c>
      <c r="F219" s="146" t="str">
        <f t="shared" si="17"/>
        <v>2012-13</v>
      </c>
      <c r="G219" s="1"/>
      <c r="H219" s="161"/>
      <c r="I219" s="37"/>
      <c r="J219" s="135">
        <f t="shared" si="19"/>
        <v>0.76382508261777382</v>
      </c>
      <c r="K219" s="112"/>
      <c r="L219" s="37">
        <v>7.09987640737</v>
      </c>
      <c r="M219" s="37" t="s">
        <v>288</v>
      </c>
      <c r="N219" s="37">
        <v>1162.6195121951216</v>
      </c>
      <c r="O219" s="130">
        <f t="shared" si="18"/>
        <v>8254.4548453821626</v>
      </c>
      <c r="P219" s="132">
        <f t="shared" si="16"/>
        <v>526.327395899409</v>
      </c>
      <c r="Q219" s="261">
        <v>8.3478313068279256E-2</v>
      </c>
      <c r="R219" s="92"/>
    </row>
    <row r="220" spans="1:18" x14ac:dyDescent="0.25">
      <c r="A220" s="353">
        <v>41254</v>
      </c>
      <c r="B220" s="353" t="s">
        <v>285</v>
      </c>
      <c r="C220" s="263" t="s">
        <v>446</v>
      </c>
      <c r="D220" s="157" t="s">
        <v>465</v>
      </c>
      <c r="E220" s="44">
        <f t="shared" si="15"/>
        <v>41254</v>
      </c>
      <c r="F220" s="146" t="str">
        <f t="shared" si="17"/>
        <v>2012-13</v>
      </c>
      <c r="G220" s="1"/>
      <c r="H220" s="161"/>
      <c r="I220" s="37"/>
      <c r="J220" s="135">
        <f t="shared" si="19"/>
        <v>0.76382508261777382</v>
      </c>
      <c r="K220" s="112"/>
      <c r="L220" s="37">
        <v>22.6562353522</v>
      </c>
      <c r="M220" s="37" t="s">
        <v>288</v>
      </c>
      <c r="N220" s="37">
        <v>3875.3912195121943</v>
      </c>
      <c r="O220" s="130">
        <f t="shared" si="18"/>
        <v>87801.775551117651</v>
      </c>
      <c r="P220" s="132">
        <f t="shared" si="16"/>
        <v>5598.4896333907591</v>
      </c>
      <c r="Q220" s="261">
        <v>8.3478313068279256E-2</v>
      </c>
      <c r="R220" s="92"/>
    </row>
    <row r="221" spans="1:18" x14ac:dyDescent="0.25">
      <c r="A221" s="353">
        <v>41225</v>
      </c>
      <c r="B221" s="353" t="s">
        <v>285</v>
      </c>
      <c r="C221" s="263" t="s">
        <v>443</v>
      </c>
      <c r="D221" s="157" t="s">
        <v>464</v>
      </c>
      <c r="E221" s="44">
        <f t="shared" si="15"/>
        <v>41225</v>
      </c>
      <c r="F221" s="146" t="str">
        <f t="shared" si="17"/>
        <v>2012-13</v>
      </c>
      <c r="G221" s="1"/>
      <c r="H221" s="161"/>
      <c r="I221" s="37"/>
      <c r="J221" s="135">
        <f t="shared" si="19"/>
        <v>0.76382508261777382</v>
      </c>
      <c r="K221" s="112"/>
      <c r="L221" s="37">
        <v>88.082172782000001</v>
      </c>
      <c r="M221" s="37" t="s">
        <v>288</v>
      </c>
      <c r="N221" s="37">
        <v>1680.8751219512192</v>
      </c>
      <c r="O221" s="130">
        <f t="shared" si="18"/>
        <v>148055.13291667262</v>
      </c>
      <c r="P221" s="132">
        <f t="shared" si="16"/>
        <v>102807.47972191479</v>
      </c>
      <c r="Q221" s="261">
        <v>0.90909093772537763</v>
      </c>
      <c r="R221" s="92"/>
    </row>
    <row r="222" spans="1:18" x14ac:dyDescent="0.25">
      <c r="A222" s="353">
        <v>41225</v>
      </c>
      <c r="B222" s="353" t="s">
        <v>285</v>
      </c>
      <c r="C222" s="263" t="s">
        <v>443</v>
      </c>
      <c r="D222" s="157" t="s">
        <v>464</v>
      </c>
      <c r="E222" s="44">
        <f t="shared" si="15"/>
        <v>41225</v>
      </c>
      <c r="F222" s="146" t="str">
        <f t="shared" si="17"/>
        <v>2012-13</v>
      </c>
      <c r="G222" s="1"/>
      <c r="H222" s="161"/>
      <c r="I222" s="37"/>
      <c r="J222" s="135">
        <f t="shared" si="19"/>
        <v>0.76382508261777382</v>
      </c>
      <c r="K222" s="112"/>
      <c r="L222" s="37">
        <v>120.06016169</v>
      </c>
      <c r="M222" s="37" t="s">
        <v>288</v>
      </c>
      <c r="N222" s="37">
        <v>1361.4565853658535</v>
      </c>
      <c r="O222" s="130">
        <f t="shared" si="18"/>
        <v>163456.69777293966</v>
      </c>
      <c r="P222" s="132">
        <f t="shared" si="16"/>
        <v>113502.11783039283</v>
      </c>
      <c r="Q222" s="261">
        <v>0.90909093772537763</v>
      </c>
      <c r="R222" s="92"/>
    </row>
    <row r="223" spans="1:18" x14ac:dyDescent="0.25">
      <c r="A223" s="353">
        <v>41225</v>
      </c>
      <c r="B223" s="353" t="s">
        <v>285</v>
      </c>
      <c r="C223" s="263" t="s">
        <v>443</v>
      </c>
      <c r="D223" s="157" t="s">
        <v>464</v>
      </c>
      <c r="E223" s="44">
        <f t="shared" si="15"/>
        <v>41225</v>
      </c>
      <c r="F223" s="146" t="str">
        <f t="shared" si="17"/>
        <v>2012-13</v>
      </c>
      <c r="G223" s="1"/>
      <c r="H223" s="161"/>
      <c r="I223" s="37"/>
      <c r="J223" s="135">
        <f t="shared" si="19"/>
        <v>0.76382508261777382</v>
      </c>
      <c r="K223" s="112"/>
      <c r="L223" s="37">
        <v>117.46155577499999</v>
      </c>
      <c r="M223" s="37" t="s">
        <v>288</v>
      </c>
      <c r="N223" s="37">
        <v>1361.4565853658535</v>
      </c>
      <c r="O223" s="130">
        <f t="shared" si="18"/>
        <v>159918.80863719224</v>
      </c>
      <c r="P223" s="132">
        <f t="shared" si="16"/>
        <v>111045.45551537236</v>
      </c>
      <c r="Q223" s="261">
        <v>0.90909093772537763</v>
      </c>
      <c r="R223" s="92"/>
    </row>
    <row r="224" spans="1:18" x14ac:dyDescent="0.25">
      <c r="A224" s="353">
        <v>41254</v>
      </c>
      <c r="B224" s="353" t="s">
        <v>285</v>
      </c>
      <c r="C224" s="263" t="s">
        <v>446</v>
      </c>
      <c r="D224" s="157" t="s">
        <v>465</v>
      </c>
      <c r="E224" s="44">
        <f t="shared" si="15"/>
        <v>41254</v>
      </c>
      <c r="F224" s="146" t="str">
        <f t="shared" si="17"/>
        <v>2012-13</v>
      </c>
      <c r="G224" s="1"/>
      <c r="H224" s="161"/>
      <c r="I224" s="37"/>
      <c r="J224" s="135">
        <f t="shared" si="19"/>
        <v>0.76382508261777382</v>
      </c>
      <c r="K224" s="112"/>
      <c r="L224" s="37">
        <v>54.586009816500003</v>
      </c>
      <c r="M224" s="37" t="s">
        <v>288</v>
      </c>
      <c r="N224" s="37">
        <v>950.87219512195099</v>
      </c>
      <c r="O224" s="130">
        <f t="shared" si="18"/>
        <v>51904.318977163726</v>
      </c>
      <c r="P224" s="132">
        <f t="shared" si="16"/>
        <v>3309.566234827234</v>
      </c>
      <c r="Q224" s="261">
        <v>8.3478313068279256E-2</v>
      </c>
      <c r="R224" s="92"/>
    </row>
    <row r="225" spans="1:18" x14ac:dyDescent="0.25">
      <c r="A225" s="353">
        <v>41254</v>
      </c>
      <c r="B225" s="353" t="s">
        <v>285</v>
      </c>
      <c r="C225" s="263" t="s">
        <v>446</v>
      </c>
      <c r="D225" s="157" t="s">
        <v>465</v>
      </c>
      <c r="E225" s="44">
        <f t="shared" si="15"/>
        <v>41254</v>
      </c>
      <c r="F225" s="146" t="str">
        <f t="shared" si="17"/>
        <v>2012-13</v>
      </c>
      <c r="G225" s="1"/>
      <c r="H225" s="161"/>
      <c r="I225" s="37"/>
      <c r="J225" s="135">
        <f t="shared" si="19"/>
        <v>0.76382508261777382</v>
      </c>
      <c r="K225" s="112"/>
      <c r="L225" s="37">
        <v>5.0154354746100003</v>
      </c>
      <c r="M225" s="37" t="s">
        <v>288</v>
      </c>
      <c r="N225" s="37">
        <v>950.87219512195099</v>
      </c>
      <c r="O225" s="130">
        <f t="shared" si="18"/>
        <v>4769.0381392349154</v>
      </c>
      <c r="P225" s="132">
        <f t="shared" si="16"/>
        <v>304.08736516048697</v>
      </c>
      <c r="Q225" s="261">
        <v>8.3478313068279256E-2</v>
      </c>
      <c r="R225" s="92"/>
    </row>
    <row r="226" spans="1:18" x14ac:dyDescent="0.25">
      <c r="A226" s="353">
        <v>41254</v>
      </c>
      <c r="B226" s="353" t="s">
        <v>285</v>
      </c>
      <c r="C226" s="263" t="s">
        <v>446</v>
      </c>
      <c r="D226" s="157" t="s">
        <v>465</v>
      </c>
      <c r="E226" s="44">
        <f t="shared" si="15"/>
        <v>41254</v>
      </c>
      <c r="F226" s="146" t="str">
        <f t="shared" si="17"/>
        <v>2012-13</v>
      </c>
      <c r="G226" s="1"/>
      <c r="H226" s="161"/>
      <c r="I226" s="37"/>
      <c r="J226" s="135">
        <f t="shared" si="19"/>
        <v>0.76382508261777382</v>
      </c>
      <c r="K226" s="112"/>
      <c r="L226" s="37">
        <v>19.126051238100001</v>
      </c>
      <c r="M226" s="37" t="s">
        <v>288</v>
      </c>
      <c r="N226" s="37">
        <v>3592.3639024390236</v>
      </c>
      <c r="O226" s="130">
        <f t="shared" si="18"/>
        <v>68707.736063949633</v>
      </c>
      <c r="P226" s="132">
        <f t="shared" si="16"/>
        <v>4380.9996514685972</v>
      </c>
      <c r="Q226" s="261">
        <v>8.3478313068279256E-2</v>
      </c>
      <c r="R226" s="92"/>
    </row>
    <row r="227" spans="1:18" x14ac:dyDescent="0.25">
      <c r="A227" s="353">
        <v>41254</v>
      </c>
      <c r="B227" s="353" t="s">
        <v>285</v>
      </c>
      <c r="C227" s="263" t="s">
        <v>446</v>
      </c>
      <c r="D227" s="157" t="s">
        <v>465</v>
      </c>
      <c r="E227" s="44">
        <f t="shared" si="15"/>
        <v>41254</v>
      </c>
      <c r="F227" s="146" t="str">
        <f t="shared" si="17"/>
        <v>2012-13</v>
      </c>
      <c r="G227" s="1"/>
      <c r="H227" s="161"/>
      <c r="I227" s="37"/>
      <c r="J227" s="135">
        <f t="shared" si="19"/>
        <v>0.76382508261777382</v>
      </c>
      <c r="K227" s="112"/>
      <c r="L227" s="37">
        <v>4.6195290885500002</v>
      </c>
      <c r="M227" s="37" t="s">
        <v>288</v>
      </c>
      <c r="N227" s="37">
        <v>950.87219512195099</v>
      </c>
      <c r="O227" s="130">
        <f t="shared" si="18"/>
        <v>4392.5817648592447</v>
      </c>
      <c r="P227" s="132">
        <f t="shared" si="16"/>
        <v>280.08344159359916</v>
      </c>
      <c r="Q227" s="261">
        <v>8.3478313068279256E-2</v>
      </c>
      <c r="R227" s="92"/>
    </row>
    <row r="228" spans="1:18" x14ac:dyDescent="0.25">
      <c r="A228" s="353">
        <v>41225</v>
      </c>
      <c r="B228" s="353" t="s">
        <v>285</v>
      </c>
      <c r="C228" s="263" t="s">
        <v>443</v>
      </c>
      <c r="D228" s="157" t="s">
        <v>464</v>
      </c>
      <c r="E228" s="44">
        <f t="shared" si="15"/>
        <v>41225</v>
      </c>
      <c r="F228" s="146" t="str">
        <f t="shared" si="17"/>
        <v>2012-13</v>
      </c>
      <c r="G228" s="1"/>
      <c r="H228" s="161"/>
      <c r="I228" s="37"/>
      <c r="J228" s="135">
        <f t="shared" si="19"/>
        <v>0.76382508261777382</v>
      </c>
      <c r="K228" s="112"/>
      <c r="L228" s="37">
        <v>84.933201482100003</v>
      </c>
      <c r="M228" s="37" t="s">
        <v>288</v>
      </c>
      <c r="N228" s="37">
        <v>1361.4565853658535</v>
      </c>
      <c r="O228" s="130">
        <f t="shared" si="18"/>
        <v>115632.86647400992</v>
      </c>
      <c r="P228" s="132">
        <f t="shared" si="16"/>
        <v>80293.896881672685</v>
      </c>
      <c r="Q228" s="261">
        <v>0.90909093772537763</v>
      </c>
      <c r="R228" s="92"/>
    </row>
    <row r="229" spans="1:18" x14ac:dyDescent="0.25">
      <c r="A229" s="353">
        <v>41254</v>
      </c>
      <c r="B229" s="353" t="s">
        <v>285</v>
      </c>
      <c r="C229" s="263" t="s">
        <v>446</v>
      </c>
      <c r="D229" s="157" t="s">
        <v>465</v>
      </c>
      <c r="E229" s="44">
        <f t="shared" si="15"/>
        <v>41254</v>
      </c>
      <c r="F229" s="146" t="str">
        <f t="shared" si="17"/>
        <v>2012-13</v>
      </c>
      <c r="G229" s="1"/>
      <c r="H229" s="161"/>
      <c r="I229" s="37"/>
      <c r="J229" s="135">
        <f t="shared" si="19"/>
        <v>0.76382508261777382</v>
      </c>
      <c r="K229" s="112"/>
      <c r="L229" s="37">
        <v>17.245835807599999</v>
      </c>
      <c r="M229" s="37" t="s">
        <v>288</v>
      </c>
      <c r="N229" s="37">
        <v>3875.3912195121943</v>
      </c>
      <c r="O229" s="130">
        <f t="shared" si="18"/>
        <v>66834.360661922023</v>
      </c>
      <c r="P229" s="132">
        <f t="shared" si="16"/>
        <v>4261.5479353515948</v>
      </c>
      <c r="Q229" s="261">
        <v>8.3478313068279256E-2</v>
      </c>
      <c r="R229" s="92"/>
    </row>
    <row r="230" spans="1:18" x14ac:dyDescent="0.25">
      <c r="A230" s="353">
        <v>41254</v>
      </c>
      <c r="B230" s="353" t="s">
        <v>285</v>
      </c>
      <c r="C230" s="263" t="s">
        <v>446</v>
      </c>
      <c r="D230" s="157" t="s">
        <v>465</v>
      </c>
      <c r="E230" s="44">
        <f t="shared" si="15"/>
        <v>41254</v>
      </c>
      <c r="F230" s="146" t="str">
        <f t="shared" si="17"/>
        <v>2012-13</v>
      </c>
      <c r="G230" s="1"/>
      <c r="H230" s="161"/>
      <c r="I230" s="37"/>
      <c r="J230" s="135">
        <f t="shared" si="19"/>
        <v>0.76382508261777382</v>
      </c>
      <c r="K230" s="112"/>
      <c r="L230" s="37">
        <v>56.646612950300003</v>
      </c>
      <c r="M230" s="37" t="s">
        <v>288</v>
      </c>
      <c r="N230" s="37">
        <v>3592.3639024390236</v>
      </c>
      <c r="O230" s="130">
        <f t="shared" si="18"/>
        <v>203495.24755809264</v>
      </c>
      <c r="P230" s="132">
        <f t="shared" si="16"/>
        <v>12975.432748908297</v>
      </c>
      <c r="Q230" s="261">
        <v>8.3478313068279256E-2</v>
      </c>
      <c r="R230" s="92"/>
    </row>
    <row r="231" spans="1:18" x14ac:dyDescent="0.25">
      <c r="A231" s="353">
        <v>41254</v>
      </c>
      <c r="B231" s="353" t="s">
        <v>285</v>
      </c>
      <c r="C231" s="263" t="s">
        <v>446</v>
      </c>
      <c r="D231" s="157" t="s">
        <v>465</v>
      </c>
      <c r="E231" s="44">
        <f t="shared" si="15"/>
        <v>41254</v>
      </c>
      <c r="F231" s="146" t="str">
        <f t="shared" si="17"/>
        <v>2012-13</v>
      </c>
      <c r="G231" s="1"/>
      <c r="H231" s="161"/>
      <c r="I231" s="37"/>
      <c r="J231" s="135">
        <f t="shared" si="19"/>
        <v>0.76382508261777382</v>
      </c>
      <c r="K231" s="112"/>
      <c r="L231" s="37">
        <v>25.417707528400001</v>
      </c>
      <c r="M231" s="37" t="s">
        <v>288</v>
      </c>
      <c r="N231" s="37">
        <v>950.87219512195099</v>
      </c>
      <c r="O231" s="130">
        <f t="shared" si="18"/>
        <v>24168.991352497447</v>
      </c>
      <c r="P231" s="132">
        <f t="shared" si="16"/>
        <v>1541.0832718034421</v>
      </c>
      <c r="Q231" s="261">
        <v>8.3478313068279256E-2</v>
      </c>
      <c r="R231" s="92"/>
    </row>
    <row r="232" spans="1:18" x14ac:dyDescent="0.25">
      <c r="A232" s="353">
        <v>41254</v>
      </c>
      <c r="B232" s="353" t="s">
        <v>285</v>
      </c>
      <c r="C232" s="263" t="s">
        <v>446</v>
      </c>
      <c r="D232" s="157" t="s">
        <v>465</v>
      </c>
      <c r="E232" s="44">
        <f t="shared" si="15"/>
        <v>41254</v>
      </c>
      <c r="F232" s="146" t="str">
        <f t="shared" si="17"/>
        <v>2012-13</v>
      </c>
      <c r="G232" s="1"/>
      <c r="H232" s="161"/>
      <c r="I232" s="37"/>
      <c r="J232" s="135">
        <f t="shared" si="19"/>
        <v>0.76382508261777382</v>
      </c>
      <c r="K232" s="112"/>
      <c r="L232" s="37">
        <v>21.082918343500001</v>
      </c>
      <c r="M232" s="37" t="s">
        <v>288</v>
      </c>
      <c r="N232" s="37">
        <v>3592.3639024390236</v>
      </c>
      <c r="O232" s="130">
        <f t="shared" si="18"/>
        <v>75737.514815258939</v>
      </c>
      <c r="P232" s="132">
        <f t="shared" si="16"/>
        <v>4829.2382345405631</v>
      </c>
      <c r="Q232" s="261">
        <v>8.3478313068279256E-2</v>
      </c>
      <c r="R232" s="92"/>
    </row>
    <row r="233" spans="1:18" x14ac:dyDescent="0.25">
      <c r="A233" s="353">
        <v>41254</v>
      </c>
      <c r="B233" s="353" t="s">
        <v>285</v>
      </c>
      <c r="C233" s="263" t="s">
        <v>446</v>
      </c>
      <c r="D233" s="157" t="s">
        <v>465</v>
      </c>
      <c r="E233" s="44">
        <f t="shared" si="15"/>
        <v>41254</v>
      </c>
      <c r="F233" s="146" t="str">
        <f t="shared" si="17"/>
        <v>2012-13</v>
      </c>
      <c r="G233" s="1"/>
      <c r="H233" s="161"/>
      <c r="I233" s="37"/>
      <c r="J233" s="135">
        <f t="shared" si="19"/>
        <v>0.76382508261777382</v>
      </c>
      <c r="K233" s="112"/>
      <c r="L233" s="37">
        <v>30.112975789</v>
      </c>
      <c r="M233" s="37" t="s">
        <v>288</v>
      </c>
      <c r="N233" s="37">
        <v>3592.3639024390236</v>
      </c>
      <c r="O233" s="130">
        <f t="shared" si="18"/>
        <v>108176.76721942387</v>
      </c>
      <c r="P233" s="132">
        <f t="shared" si="16"/>
        <v>6897.6567506778701</v>
      </c>
      <c r="Q233" s="261">
        <v>8.3478313068279256E-2</v>
      </c>
      <c r="R233" s="92"/>
    </row>
    <row r="234" spans="1:18" x14ac:dyDescent="0.25">
      <c r="A234" s="353">
        <v>41254</v>
      </c>
      <c r="B234" s="353" t="s">
        <v>285</v>
      </c>
      <c r="C234" s="263" t="s">
        <v>446</v>
      </c>
      <c r="D234" s="157" t="s">
        <v>465</v>
      </c>
      <c r="E234" s="44">
        <f t="shared" si="15"/>
        <v>41254</v>
      </c>
      <c r="F234" s="146" t="str">
        <f t="shared" si="17"/>
        <v>2012-13</v>
      </c>
      <c r="G234" s="1"/>
      <c r="H234" s="161"/>
      <c r="I234" s="37"/>
      <c r="J234" s="135">
        <f t="shared" si="19"/>
        <v>0.76382508261777382</v>
      </c>
      <c r="K234" s="112"/>
      <c r="L234" s="37">
        <v>21.5912012866</v>
      </c>
      <c r="M234" s="37" t="s">
        <v>288</v>
      </c>
      <c r="N234" s="37">
        <v>1162.6195121951216</v>
      </c>
      <c r="O234" s="130">
        <f t="shared" si="18"/>
        <v>25102.351907533575</v>
      </c>
      <c r="P234" s="132">
        <f t="shared" si="16"/>
        <v>1600.5969816206587</v>
      </c>
      <c r="Q234" s="261">
        <v>8.3478313068279256E-2</v>
      </c>
      <c r="R234" s="92"/>
    </row>
    <row r="235" spans="1:18" x14ac:dyDescent="0.25">
      <c r="A235" s="353">
        <v>41225</v>
      </c>
      <c r="B235" s="353" t="s">
        <v>285</v>
      </c>
      <c r="C235" s="263" t="s">
        <v>443</v>
      </c>
      <c r="D235" s="157" t="s">
        <v>464</v>
      </c>
      <c r="E235" s="44">
        <f t="shared" si="15"/>
        <v>41225</v>
      </c>
      <c r="F235" s="146" t="str">
        <f t="shared" si="17"/>
        <v>2012-13</v>
      </c>
      <c r="G235" s="1"/>
      <c r="H235" s="161"/>
      <c r="I235" s="37"/>
      <c r="J235" s="135">
        <f t="shared" si="19"/>
        <v>0.76382508261777382</v>
      </c>
      <c r="K235" s="112"/>
      <c r="L235" s="37">
        <v>41.732796335700002</v>
      </c>
      <c r="M235" s="37" t="s">
        <v>288</v>
      </c>
      <c r="N235" s="37">
        <v>1361.4565853658535</v>
      </c>
      <c r="O235" s="130">
        <f t="shared" si="18"/>
        <v>56817.390396970724</v>
      </c>
      <c r="P235" s="132">
        <f t="shared" si="16"/>
        <v>39453.226619142057</v>
      </c>
      <c r="Q235" s="261">
        <v>0.90909093772537763</v>
      </c>
      <c r="R235" s="92"/>
    </row>
    <row r="236" spans="1:18" x14ac:dyDescent="0.25">
      <c r="A236" s="353">
        <v>41225</v>
      </c>
      <c r="B236" s="353" t="s">
        <v>285</v>
      </c>
      <c r="C236" s="263" t="s">
        <v>443</v>
      </c>
      <c r="D236" s="157" t="s">
        <v>464</v>
      </c>
      <c r="E236" s="44">
        <f t="shared" si="15"/>
        <v>41225</v>
      </c>
      <c r="F236" s="146" t="str">
        <f t="shared" si="17"/>
        <v>2012-13</v>
      </c>
      <c r="G236" s="1"/>
      <c r="H236" s="161"/>
      <c r="I236" s="37"/>
      <c r="J236" s="135">
        <f t="shared" si="19"/>
        <v>0.76382508261777382</v>
      </c>
      <c r="K236" s="112"/>
      <c r="L236" s="37">
        <v>83.424290665200004</v>
      </c>
      <c r="M236" s="37" t="s">
        <v>288</v>
      </c>
      <c r="N236" s="37">
        <v>1162.6195121951216</v>
      </c>
      <c r="O236" s="130">
        <f t="shared" si="18"/>
        <v>96990.708118398863</v>
      </c>
      <c r="P236" s="132">
        <f t="shared" si="16"/>
        <v>67349.034522892674</v>
      </c>
      <c r="Q236" s="261">
        <v>0.90909093772537763</v>
      </c>
      <c r="R236" s="92"/>
    </row>
    <row r="237" spans="1:18" x14ac:dyDescent="0.25">
      <c r="A237" s="353">
        <v>41183</v>
      </c>
      <c r="B237" s="353" t="s">
        <v>285</v>
      </c>
      <c r="C237" s="263" t="s">
        <v>445</v>
      </c>
      <c r="D237" s="157" t="s">
        <v>464</v>
      </c>
      <c r="E237" s="44">
        <f t="shared" si="15"/>
        <v>41183</v>
      </c>
      <c r="F237" s="146" t="str">
        <f t="shared" si="17"/>
        <v>2012-13</v>
      </c>
      <c r="G237" s="1"/>
      <c r="H237" s="161"/>
      <c r="I237" s="37"/>
      <c r="J237" s="135">
        <f t="shared" si="19"/>
        <v>0.76382508261777382</v>
      </c>
      <c r="K237" s="112"/>
      <c r="L237" s="37">
        <v>117.86995913</v>
      </c>
      <c r="M237" s="37" t="s">
        <v>288</v>
      </c>
      <c r="N237" s="37">
        <v>812.22926829268283</v>
      </c>
      <c r="O237" s="130">
        <f t="shared" si="18"/>
        <v>95737.430657848323</v>
      </c>
      <c r="P237" s="132">
        <f t="shared" si="16"/>
        <v>303.04410973024386</v>
      </c>
      <c r="Q237" s="261">
        <v>4.1440993957167884E-3</v>
      </c>
      <c r="R237" s="92"/>
    </row>
    <row r="238" spans="1:18" x14ac:dyDescent="0.25">
      <c r="A238" s="353">
        <v>41183</v>
      </c>
      <c r="B238" s="353" t="s">
        <v>285</v>
      </c>
      <c r="C238" s="263" t="s">
        <v>445</v>
      </c>
      <c r="D238" s="157" t="s">
        <v>464</v>
      </c>
      <c r="E238" s="44">
        <f t="shared" si="15"/>
        <v>41183</v>
      </c>
      <c r="F238" s="146" t="str">
        <f t="shared" si="17"/>
        <v>2012-13</v>
      </c>
      <c r="G238" s="1"/>
      <c r="H238" s="161"/>
      <c r="I238" s="37"/>
      <c r="J238" s="135">
        <f t="shared" si="19"/>
        <v>0.76382508261777382</v>
      </c>
      <c r="K238" s="112"/>
      <c r="L238" s="37">
        <v>20.121244718</v>
      </c>
      <c r="M238" s="37" t="s">
        <v>288</v>
      </c>
      <c r="N238" s="37">
        <v>812.22926829268283</v>
      </c>
      <c r="O238" s="130">
        <f t="shared" si="18"/>
        <v>16343.063874439149</v>
      </c>
      <c r="P238" s="132">
        <f t="shared" si="16"/>
        <v>51.731796101715361</v>
      </c>
      <c r="Q238" s="261">
        <v>4.1440993957167884E-3</v>
      </c>
      <c r="R238" s="92"/>
    </row>
    <row r="239" spans="1:18" x14ac:dyDescent="0.25">
      <c r="A239" s="353">
        <v>41183</v>
      </c>
      <c r="B239" s="353" t="s">
        <v>285</v>
      </c>
      <c r="C239" s="263" t="s">
        <v>445</v>
      </c>
      <c r="D239" s="157" t="s">
        <v>464</v>
      </c>
      <c r="E239" s="44">
        <f t="shared" si="15"/>
        <v>41183</v>
      </c>
      <c r="F239" s="146" t="str">
        <f t="shared" si="17"/>
        <v>2012-13</v>
      </c>
      <c r="G239" s="1"/>
      <c r="H239" s="161"/>
      <c r="I239" s="37"/>
      <c r="J239" s="135">
        <f t="shared" si="19"/>
        <v>0.76382508261777382</v>
      </c>
      <c r="K239" s="112"/>
      <c r="L239" s="37">
        <v>24.676927564</v>
      </c>
      <c r="M239" s="37" t="s">
        <v>288</v>
      </c>
      <c r="N239" s="37">
        <v>812.22926829268283</v>
      </c>
      <c r="O239" s="130">
        <f t="shared" si="18"/>
        <v>20043.322819019257</v>
      </c>
      <c r="P239" s="132">
        <f t="shared" si="16"/>
        <v>63.444473890606126</v>
      </c>
      <c r="Q239" s="261">
        <v>4.1440993957167884E-3</v>
      </c>
      <c r="R239" s="92"/>
    </row>
    <row r="240" spans="1:18" x14ac:dyDescent="0.25">
      <c r="A240" s="353">
        <v>41183</v>
      </c>
      <c r="B240" s="353" t="s">
        <v>285</v>
      </c>
      <c r="C240" s="263" t="s">
        <v>445</v>
      </c>
      <c r="D240" s="157" t="s">
        <v>464</v>
      </c>
      <c r="E240" s="44">
        <f t="shared" si="15"/>
        <v>41183</v>
      </c>
      <c r="F240" s="146" t="str">
        <f t="shared" si="17"/>
        <v>2012-13</v>
      </c>
      <c r="G240" s="1"/>
      <c r="H240" s="161"/>
      <c r="I240" s="37"/>
      <c r="J240" s="135">
        <f t="shared" si="19"/>
        <v>0.76382508261777382</v>
      </c>
      <c r="K240" s="112"/>
      <c r="L240" s="37">
        <v>2.4554123889900001</v>
      </c>
      <c r="M240" s="37" t="s">
        <v>288</v>
      </c>
      <c r="N240" s="37">
        <v>812.22926829268283</v>
      </c>
      <c r="O240" s="130">
        <f t="shared" si="18"/>
        <v>1994.3578080661362</v>
      </c>
      <c r="P240" s="132">
        <f t="shared" si="16"/>
        <v>6.3128745181069608</v>
      </c>
      <c r="Q240" s="261">
        <v>4.1440993957167884E-3</v>
      </c>
      <c r="R240" s="92"/>
    </row>
    <row r="241" spans="1:18" x14ac:dyDescent="0.25">
      <c r="A241" s="353">
        <v>41167</v>
      </c>
      <c r="B241" s="353" t="s">
        <v>285</v>
      </c>
      <c r="C241" s="263" t="s">
        <v>444</v>
      </c>
      <c r="D241" s="157" t="s">
        <v>464</v>
      </c>
      <c r="E241" s="44">
        <f t="shared" si="15"/>
        <v>41167</v>
      </c>
      <c r="F241" s="146" t="str">
        <f t="shared" si="17"/>
        <v>2012-13</v>
      </c>
      <c r="G241" s="1"/>
      <c r="H241" s="161"/>
      <c r="I241" s="37"/>
      <c r="J241" s="135">
        <f t="shared" si="19"/>
        <v>0.76382508261777382</v>
      </c>
      <c r="K241" s="112"/>
      <c r="L241" s="37">
        <v>68.972095205200006</v>
      </c>
      <c r="M241" s="37" t="s">
        <v>288</v>
      </c>
      <c r="N241" s="37">
        <v>1162.6195121951216</v>
      </c>
      <c r="O241" s="130">
        <f t="shared" si="18"/>
        <v>80188.303682545113</v>
      </c>
      <c r="P241" s="132">
        <f t="shared" si="16"/>
        <v>55681.696627080637</v>
      </c>
      <c r="Q241" s="261">
        <v>0.90909133364846528</v>
      </c>
      <c r="R241" s="92"/>
    </row>
    <row r="242" spans="1:18" x14ac:dyDescent="0.25">
      <c r="A242" s="353">
        <v>41183</v>
      </c>
      <c r="B242" s="353" t="s">
        <v>285</v>
      </c>
      <c r="C242" s="263" t="s">
        <v>445</v>
      </c>
      <c r="D242" s="157" t="s">
        <v>464</v>
      </c>
      <c r="E242" s="44">
        <f t="shared" si="15"/>
        <v>41183</v>
      </c>
      <c r="F242" s="146" t="str">
        <f t="shared" si="17"/>
        <v>2012-13</v>
      </c>
      <c r="G242" s="1"/>
      <c r="H242" s="161"/>
      <c r="I242" s="37"/>
      <c r="J242" s="135">
        <f t="shared" si="19"/>
        <v>0.76382508261777382</v>
      </c>
      <c r="K242" s="112"/>
      <c r="L242" s="37">
        <v>8.5151874906000007</v>
      </c>
      <c r="M242" s="37" t="s">
        <v>288</v>
      </c>
      <c r="N242" s="37">
        <v>812.22926829268283</v>
      </c>
      <c r="O242" s="130">
        <f t="shared" si="18"/>
        <v>6916.2845048650443</v>
      </c>
      <c r="P242" s="132">
        <f t="shared" si="16"/>
        <v>21.89257917217865</v>
      </c>
      <c r="Q242" s="261">
        <v>4.1440993957167884E-3</v>
      </c>
      <c r="R242" s="92"/>
    </row>
    <row r="243" spans="1:18" x14ac:dyDescent="0.25">
      <c r="A243" s="353">
        <v>41183</v>
      </c>
      <c r="B243" s="353" t="s">
        <v>285</v>
      </c>
      <c r="C243" s="263" t="s">
        <v>445</v>
      </c>
      <c r="D243" s="157" t="s">
        <v>464</v>
      </c>
      <c r="E243" s="44">
        <f t="shared" si="15"/>
        <v>41183</v>
      </c>
      <c r="F243" s="146" t="str">
        <f t="shared" si="17"/>
        <v>2012-13</v>
      </c>
      <c r="G243" s="1"/>
      <c r="H243" s="161"/>
      <c r="I243" s="37"/>
      <c r="J243" s="135">
        <f t="shared" si="19"/>
        <v>0.76382508261777382</v>
      </c>
      <c r="K243" s="112"/>
      <c r="L243" s="37">
        <v>1.81065568234</v>
      </c>
      <c r="M243" s="37" t="s">
        <v>288</v>
      </c>
      <c r="N243" s="37">
        <v>812.22926829268283</v>
      </c>
      <c r="O243" s="130">
        <f t="shared" si="18"/>
        <v>1470.6675399970065</v>
      </c>
      <c r="P243" s="132">
        <f t="shared" si="16"/>
        <v>4.655202592185141</v>
      </c>
      <c r="Q243" s="261">
        <v>4.1440993957167884E-3</v>
      </c>
      <c r="R243" s="92"/>
    </row>
    <row r="244" spans="1:18" x14ac:dyDescent="0.25">
      <c r="A244" s="353">
        <v>41167</v>
      </c>
      <c r="B244" s="353" t="s">
        <v>285</v>
      </c>
      <c r="C244" s="263" t="s">
        <v>444</v>
      </c>
      <c r="D244" s="157" t="s">
        <v>464</v>
      </c>
      <c r="E244" s="44">
        <f t="shared" si="15"/>
        <v>41167</v>
      </c>
      <c r="F244" s="146" t="str">
        <f t="shared" si="17"/>
        <v>2012-13</v>
      </c>
      <c r="G244" s="1"/>
      <c r="H244" s="161"/>
      <c r="I244" s="37"/>
      <c r="J244" s="135">
        <f t="shared" si="19"/>
        <v>0.76382508261777382</v>
      </c>
      <c r="K244" s="112"/>
      <c r="L244" s="37">
        <v>81.639282266600006</v>
      </c>
      <c r="M244" s="37" t="s">
        <v>288</v>
      </c>
      <c r="N244" s="37">
        <v>1162.6195121951216</v>
      </c>
      <c r="O244" s="130">
        <f t="shared" si="18"/>
        <v>94915.422524754336</v>
      </c>
      <c r="P244" s="132">
        <f t="shared" si="16"/>
        <v>65908.013008697235</v>
      </c>
      <c r="Q244" s="261">
        <v>0.90909133364846528</v>
      </c>
      <c r="R244" s="92"/>
    </row>
    <row r="245" spans="1:18" x14ac:dyDescent="0.25">
      <c r="A245" s="353">
        <v>41167</v>
      </c>
      <c r="B245" s="353" t="s">
        <v>285</v>
      </c>
      <c r="C245" s="263" t="s">
        <v>444</v>
      </c>
      <c r="D245" s="157" t="s">
        <v>464</v>
      </c>
      <c r="E245" s="44">
        <f t="shared" si="15"/>
        <v>41167</v>
      </c>
      <c r="F245" s="146" t="str">
        <f t="shared" si="17"/>
        <v>2012-13</v>
      </c>
      <c r="G245" s="1"/>
      <c r="H245" s="161"/>
      <c r="I245" s="37"/>
      <c r="J245" s="135">
        <f t="shared" si="19"/>
        <v>0.76382508261777382</v>
      </c>
      <c r="K245" s="112"/>
      <c r="L245" s="37">
        <v>70.784463048000006</v>
      </c>
      <c r="M245" s="37" t="s">
        <v>288</v>
      </c>
      <c r="N245" s="37">
        <v>3875.3912195121943</v>
      </c>
      <c r="O245" s="130">
        <f t="shared" si="18"/>
        <v>274317.48657410458</v>
      </c>
      <c r="P245" s="132">
        <f t="shared" si="16"/>
        <v>190482.43154503102</v>
      </c>
      <c r="Q245" s="261">
        <v>0.90909133364846528</v>
      </c>
      <c r="R245" s="92"/>
    </row>
    <row r="246" spans="1:18" x14ac:dyDescent="0.25">
      <c r="A246" s="353">
        <v>41167</v>
      </c>
      <c r="B246" s="353" t="s">
        <v>285</v>
      </c>
      <c r="C246" s="263" t="s">
        <v>444</v>
      </c>
      <c r="D246" s="157" t="s">
        <v>464</v>
      </c>
      <c r="E246" s="44">
        <f t="shared" si="15"/>
        <v>41167</v>
      </c>
      <c r="F246" s="146" t="str">
        <f t="shared" si="17"/>
        <v>2012-13</v>
      </c>
      <c r="G246" s="1"/>
      <c r="H246" s="161"/>
      <c r="I246" s="37"/>
      <c r="J246" s="135">
        <f t="shared" si="19"/>
        <v>0.76382508261777382</v>
      </c>
      <c r="K246" s="112"/>
      <c r="L246" s="37">
        <v>25.982842531199999</v>
      </c>
      <c r="M246" s="37" t="s">
        <v>288</v>
      </c>
      <c r="N246" s="37">
        <v>1162.6195121951216</v>
      </c>
      <c r="O246" s="130">
        <f t="shared" si="18"/>
        <v>30208.159709066404</v>
      </c>
      <c r="P246" s="132">
        <f t="shared" si="16"/>
        <v>20976.14623750636</v>
      </c>
      <c r="Q246" s="261">
        <v>0.90909133364846528</v>
      </c>
      <c r="R246" s="92"/>
    </row>
    <row r="247" spans="1:18" x14ac:dyDescent="0.25">
      <c r="A247" s="353">
        <v>41254</v>
      </c>
      <c r="B247" s="353" t="s">
        <v>285</v>
      </c>
      <c r="C247" s="263" t="s">
        <v>446</v>
      </c>
      <c r="D247" s="157" t="s">
        <v>465</v>
      </c>
      <c r="E247" s="44">
        <f t="shared" si="15"/>
        <v>41254</v>
      </c>
      <c r="F247" s="146" t="str">
        <f t="shared" si="17"/>
        <v>2012-13</v>
      </c>
      <c r="G247" s="1"/>
      <c r="H247" s="161"/>
      <c r="I247" s="37"/>
      <c r="J247" s="135">
        <f t="shared" si="19"/>
        <v>0.76382508261777382</v>
      </c>
      <c r="K247" s="112"/>
      <c r="L247" s="37">
        <v>32.272865705000001</v>
      </c>
      <c r="M247" s="37" t="s">
        <v>288</v>
      </c>
      <c r="N247" s="37">
        <v>3336.4019512195118</v>
      </c>
      <c r="O247" s="130">
        <f t="shared" si="18"/>
        <v>107675.25210960727</v>
      </c>
      <c r="P247" s="132">
        <f t="shared" si="16"/>
        <v>6865.6787283010626</v>
      </c>
      <c r="Q247" s="261">
        <v>8.3478313068279256E-2</v>
      </c>
      <c r="R247" s="92"/>
    </row>
    <row r="248" spans="1:18" x14ac:dyDescent="0.25">
      <c r="A248" s="353">
        <v>41254</v>
      </c>
      <c r="B248" s="353" t="s">
        <v>285</v>
      </c>
      <c r="C248" s="263" t="s">
        <v>446</v>
      </c>
      <c r="D248" s="157" t="s">
        <v>465</v>
      </c>
      <c r="E248" s="44">
        <f t="shared" si="15"/>
        <v>41254</v>
      </c>
      <c r="F248" s="146" t="str">
        <f t="shared" si="17"/>
        <v>2012-13</v>
      </c>
      <c r="G248" s="1"/>
      <c r="H248" s="161"/>
      <c r="I248" s="37"/>
      <c r="J248" s="135">
        <f t="shared" si="19"/>
        <v>0.76382508261777382</v>
      </c>
      <c r="K248" s="112"/>
      <c r="L248" s="37">
        <v>16.023449380100001</v>
      </c>
      <c r="M248" s="37" t="s">
        <v>288</v>
      </c>
      <c r="N248" s="37">
        <v>812.22926829268283</v>
      </c>
      <c r="O248" s="130">
        <f t="shared" si="18"/>
        <v>13014.714565523465</v>
      </c>
      <c r="P248" s="132">
        <f t="shared" si="16"/>
        <v>829.85502422103741</v>
      </c>
      <c r="Q248" s="261">
        <v>8.3478313068279256E-2</v>
      </c>
      <c r="R248" s="92"/>
    </row>
    <row r="249" spans="1:18" x14ac:dyDescent="0.25">
      <c r="A249" s="353">
        <v>41167</v>
      </c>
      <c r="B249" s="353" t="s">
        <v>285</v>
      </c>
      <c r="C249" s="263" t="s">
        <v>444</v>
      </c>
      <c r="D249" s="157" t="s">
        <v>464</v>
      </c>
      <c r="E249" s="44">
        <f t="shared" si="15"/>
        <v>41167</v>
      </c>
      <c r="F249" s="146" t="str">
        <f t="shared" si="17"/>
        <v>2012-13</v>
      </c>
      <c r="G249" s="1"/>
      <c r="H249" s="161"/>
      <c r="I249" s="37"/>
      <c r="J249" s="135">
        <f t="shared" si="19"/>
        <v>0.76382508261777382</v>
      </c>
      <c r="K249" s="112"/>
      <c r="L249" s="37">
        <v>118.35794955999999</v>
      </c>
      <c r="M249" s="37" t="s">
        <v>288</v>
      </c>
      <c r="N249" s="37">
        <v>1162.6195121951216</v>
      </c>
      <c r="O249" s="130">
        <f t="shared" si="18"/>
        <v>137605.261581862</v>
      </c>
      <c r="P249" s="132">
        <f t="shared" si="16"/>
        <v>95551.272165882605</v>
      </c>
      <c r="Q249" s="261">
        <v>0.90909133364846528</v>
      </c>
      <c r="R249" s="92"/>
    </row>
    <row r="250" spans="1:18" x14ac:dyDescent="0.25">
      <c r="A250" s="353">
        <v>41167</v>
      </c>
      <c r="B250" s="353" t="s">
        <v>285</v>
      </c>
      <c r="C250" s="263" t="s">
        <v>444</v>
      </c>
      <c r="D250" s="157" t="s">
        <v>464</v>
      </c>
      <c r="E250" s="44">
        <f t="shared" si="15"/>
        <v>41167</v>
      </c>
      <c r="F250" s="146" t="str">
        <f t="shared" si="17"/>
        <v>2012-13</v>
      </c>
      <c r="G250" s="1"/>
      <c r="H250" s="161"/>
      <c r="I250" s="37"/>
      <c r="J250" s="135">
        <f t="shared" si="19"/>
        <v>0.76382508261777382</v>
      </c>
      <c r="K250" s="112"/>
      <c r="L250" s="37">
        <v>21.792298846200001</v>
      </c>
      <c r="M250" s="37" t="s">
        <v>288</v>
      </c>
      <c r="N250" s="37">
        <v>1162.6195121951216</v>
      </c>
      <c r="O250" s="130">
        <f t="shared" si="18"/>
        <v>25336.151854179356</v>
      </c>
      <c r="P250" s="132">
        <f t="shared" si="16"/>
        <v>17593.088473689048</v>
      </c>
      <c r="Q250" s="261">
        <v>0.90909133364846528</v>
      </c>
      <c r="R250" s="92"/>
    </row>
    <row r="251" spans="1:18" x14ac:dyDescent="0.25">
      <c r="A251" s="353">
        <v>41167</v>
      </c>
      <c r="B251" s="353" t="s">
        <v>285</v>
      </c>
      <c r="C251" s="263" t="s">
        <v>444</v>
      </c>
      <c r="D251" s="157" t="s">
        <v>464</v>
      </c>
      <c r="E251" s="44">
        <f t="shared" si="15"/>
        <v>41167</v>
      </c>
      <c r="F251" s="146" t="str">
        <f t="shared" si="17"/>
        <v>2012-13</v>
      </c>
      <c r="G251" s="1"/>
      <c r="H251" s="161"/>
      <c r="I251" s="37"/>
      <c r="J251" s="135">
        <f t="shared" si="19"/>
        <v>0.76382508261777382</v>
      </c>
      <c r="K251" s="112"/>
      <c r="L251" s="37">
        <v>39.1878003976</v>
      </c>
      <c r="M251" s="37" t="s">
        <v>288</v>
      </c>
      <c r="N251" s="37">
        <v>1162.6195121951216</v>
      </c>
      <c r="O251" s="130">
        <f t="shared" si="18"/>
        <v>45560.501382257506</v>
      </c>
      <c r="P251" s="132">
        <f t="shared" si="16"/>
        <v>31636.609076901619</v>
      </c>
      <c r="Q251" s="261">
        <v>0.90909133364846528</v>
      </c>
      <c r="R251" s="92"/>
    </row>
    <row r="252" spans="1:18" x14ac:dyDescent="0.25">
      <c r="A252" s="353">
        <v>41167</v>
      </c>
      <c r="B252" s="353" t="s">
        <v>285</v>
      </c>
      <c r="C252" s="263" t="s">
        <v>444</v>
      </c>
      <c r="D252" s="157" t="s">
        <v>464</v>
      </c>
      <c r="E252" s="44">
        <f t="shared" si="15"/>
        <v>41167</v>
      </c>
      <c r="F252" s="146" t="str">
        <f t="shared" si="17"/>
        <v>2012-13</v>
      </c>
      <c r="G252" s="1"/>
      <c r="H252" s="161"/>
      <c r="I252" s="37"/>
      <c r="J252" s="135">
        <f t="shared" si="19"/>
        <v>0.76382508261777382</v>
      </c>
      <c r="K252" s="112"/>
      <c r="L252" s="37">
        <v>56.276185416200001</v>
      </c>
      <c r="M252" s="37" t="s">
        <v>288</v>
      </c>
      <c r="N252" s="37">
        <v>1162.6195121951216</v>
      </c>
      <c r="O252" s="130">
        <f t="shared" si="18"/>
        <v>65427.791236784658</v>
      </c>
      <c r="P252" s="132">
        <f t="shared" si="16"/>
        <v>45432.192169188165</v>
      </c>
      <c r="Q252" s="261">
        <v>0.90909133364846528</v>
      </c>
      <c r="R252" s="92"/>
    </row>
    <row r="253" spans="1:18" x14ac:dyDescent="0.25">
      <c r="A253" s="353">
        <v>41225</v>
      </c>
      <c r="B253" s="353" t="s">
        <v>285</v>
      </c>
      <c r="C253" s="263" t="s">
        <v>443</v>
      </c>
      <c r="D253" s="157" t="s">
        <v>464</v>
      </c>
      <c r="E253" s="44">
        <f t="shared" si="15"/>
        <v>41225</v>
      </c>
      <c r="F253" s="146" t="str">
        <f t="shared" si="17"/>
        <v>2012-13</v>
      </c>
      <c r="G253" s="1"/>
      <c r="H253" s="161"/>
      <c r="I253" s="37"/>
      <c r="J253" s="135">
        <f t="shared" si="19"/>
        <v>0.76382508261777382</v>
      </c>
      <c r="K253" s="112"/>
      <c r="L253" s="37">
        <v>86.481758270200004</v>
      </c>
      <c r="M253" s="37" t="s">
        <v>288</v>
      </c>
      <c r="N253" s="37">
        <v>3875.3912195121943</v>
      </c>
      <c r="O253" s="130">
        <f t="shared" si="18"/>
        <v>335150.64664830919</v>
      </c>
      <c r="P253" s="132">
        <f t="shared" si="16"/>
        <v>232724.07129900024</v>
      </c>
      <c r="Q253" s="261">
        <v>0.90909093772537763</v>
      </c>
      <c r="R253" s="92"/>
    </row>
    <row r="254" spans="1:18" x14ac:dyDescent="0.25">
      <c r="A254" s="353">
        <v>41225</v>
      </c>
      <c r="B254" s="353" t="s">
        <v>285</v>
      </c>
      <c r="C254" s="263" t="s">
        <v>443</v>
      </c>
      <c r="D254" s="157" t="s">
        <v>464</v>
      </c>
      <c r="E254" s="44">
        <f t="shared" si="15"/>
        <v>41225</v>
      </c>
      <c r="F254" s="146" t="str">
        <f t="shared" si="17"/>
        <v>2012-13</v>
      </c>
      <c r="G254" s="1"/>
      <c r="H254" s="161"/>
      <c r="I254" s="37"/>
      <c r="J254" s="135">
        <f t="shared" si="19"/>
        <v>0.76382508261777382</v>
      </c>
      <c r="K254" s="112"/>
      <c r="L254" s="37">
        <v>27.392032491199998</v>
      </c>
      <c r="M254" s="37" t="s">
        <v>288</v>
      </c>
      <c r="N254" s="37">
        <v>1162.6195121951216</v>
      </c>
      <c r="O254" s="130">
        <f t="shared" si="18"/>
        <v>31846.511452951865</v>
      </c>
      <c r="P254" s="132">
        <f t="shared" si="16"/>
        <v>22113.786370755275</v>
      </c>
      <c r="Q254" s="261">
        <v>0.90909093772537763</v>
      </c>
      <c r="R254" s="92"/>
    </row>
    <row r="255" spans="1:18" x14ac:dyDescent="0.25">
      <c r="A255" s="353">
        <v>41225</v>
      </c>
      <c r="B255" s="353" t="s">
        <v>285</v>
      </c>
      <c r="C255" s="263" t="s">
        <v>443</v>
      </c>
      <c r="D255" s="157" t="s">
        <v>464</v>
      </c>
      <c r="E255" s="44">
        <f t="shared" si="15"/>
        <v>41225</v>
      </c>
      <c r="F255" s="146" t="str">
        <f t="shared" si="17"/>
        <v>2012-13</v>
      </c>
      <c r="G255" s="1"/>
      <c r="H255" s="161"/>
      <c r="I255" s="37"/>
      <c r="J255" s="135">
        <f t="shared" si="19"/>
        <v>0.76382508261777382</v>
      </c>
      <c r="K255" s="112"/>
      <c r="L255" s="37">
        <v>53.753521521899998</v>
      </c>
      <c r="M255" s="37" t="s">
        <v>288</v>
      </c>
      <c r="N255" s="37">
        <v>1162.6195121951216</v>
      </c>
      <c r="O255" s="130">
        <f t="shared" si="18"/>
        <v>62494.892970561348</v>
      </c>
      <c r="P255" s="132">
        <f t="shared" si="16"/>
        <v>43395.60753635109</v>
      </c>
      <c r="Q255" s="261">
        <v>0.90909093772537763</v>
      </c>
      <c r="R255" s="92"/>
    </row>
    <row r="256" spans="1:18" x14ac:dyDescent="0.25">
      <c r="A256" s="353">
        <v>41225</v>
      </c>
      <c r="B256" s="353" t="s">
        <v>285</v>
      </c>
      <c r="C256" s="263" t="s">
        <v>443</v>
      </c>
      <c r="D256" s="157" t="s">
        <v>464</v>
      </c>
      <c r="E256" s="44">
        <f t="shared" si="15"/>
        <v>41225</v>
      </c>
      <c r="F256" s="146" t="str">
        <f t="shared" si="17"/>
        <v>2012-13</v>
      </c>
      <c r="G256" s="1"/>
      <c r="H256" s="161"/>
      <c r="I256" s="37"/>
      <c r="J256" s="135">
        <f t="shared" si="19"/>
        <v>0.76382508261777382</v>
      </c>
      <c r="K256" s="112"/>
      <c r="L256" s="37">
        <v>122.02891582300001</v>
      </c>
      <c r="M256" s="37" t="s">
        <v>288</v>
      </c>
      <c r="N256" s="37">
        <v>1361.4565853658535</v>
      </c>
      <c r="O256" s="130">
        <f t="shared" si="18"/>
        <v>166137.07105227874</v>
      </c>
      <c r="P256" s="132">
        <f t="shared" si="16"/>
        <v>115363.33274496054</v>
      </c>
      <c r="Q256" s="261">
        <v>0.90909093772537763</v>
      </c>
      <c r="R256" s="92"/>
    </row>
    <row r="257" spans="1:18" x14ac:dyDescent="0.25">
      <c r="A257" s="353">
        <v>41225</v>
      </c>
      <c r="B257" s="353" t="s">
        <v>285</v>
      </c>
      <c r="C257" s="263" t="s">
        <v>443</v>
      </c>
      <c r="D257" s="157" t="s">
        <v>464</v>
      </c>
      <c r="E257" s="44">
        <f t="shared" si="15"/>
        <v>41225</v>
      </c>
      <c r="F257" s="146" t="str">
        <f t="shared" si="17"/>
        <v>2012-13</v>
      </c>
      <c r="G257" s="1"/>
      <c r="H257" s="161"/>
      <c r="I257" s="37"/>
      <c r="J257" s="135">
        <f t="shared" si="19"/>
        <v>0.76382508261777382</v>
      </c>
      <c r="K257" s="112"/>
      <c r="L257" s="37">
        <v>42.661185977400002</v>
      </c>
      <c r="M257" s="37" t="s">
        <v>288</v>
      </c>
      <c r="N257" s="37">
        <v>1361.4565853658535</v>
      </c>
      <c r="O257" s="130">
        <f t="shared" si="18"/>
        <v>58081.352588448637</v>
      </c>
      <c r="P257" s="132">
        <f t="shared" si="16"/>
        <v>40330.904851633779</v>
      </c>
      <c r="Q257" s="261">
        <v>0.90909093772537763</v>
      </c>
      <c r="R257" s="92"/>
    </row>
    <row r="258" spans="1:18" x14ac:dyDescent="0.25">
      <c r="A258" s="353">
        <v>41225</v>
      </c>
      <c r="B258" s="353" t="s">
        <v>285</v>
      </c>
      <c r="C258" s="263" t="s">
        <v>443</v>
      </c>
      <c r="D258" s="157" t="s">
        <v>464</v>
      </c>
      <c r="E258" s="44">
        <f t="shared" si="15"/>
        <v>41225</v>
      </c>
      <c r="F258" s="146" t="str">
        <f t="shared" si="17"/>
        <v>2012-13</v>
      </c>
      <c r="G258" s="1"/>
      <c r="H258" s="161"/>
      <c r="I258" s="37"/>
      <c r="J258" s="135">
        <f t="shared" si="19"/>
        <v>0.76382508261777382</v>
      </c>
      <c r="K258" s="112"/>
      <c r="L258" s="37">
        <v>119.85877515200001</v>
      </c>
      <c r="M258" s="37" t="s">
        <v>288</v>
      </c>
      <c r="N258" s="37">
        <v>3875.3912195121943</v>
      </c>
      <c r="O258" s="130">
        <f t="shared" si="18"/>
        <v>464499.6448055472</v>
      </c>
      <c r="P258" s="132">
        <f t="shared" si="16"/>
        <v>322542.2643135211</v>
      </c>
      <c r="Q258" s="261">
        <v>0.90909093772537763</v>
      </c>
      <c r="R258" s="92"/>
    </row>
    <row r="259" spans="1:18" x14ac:dyDescent="0.25">
      <c r="A259" s="353">
        <v>41225</v>
      </c>
      <c r="B259" s="353" t="s">
        <v>285</v>
      </c>
      <c r="C259" s="263" t="s">
        <v>443</v>
      </c>
      <c r="D259" s="157" t="s">
        <v>464</v>
      </c>
      <c r="E259" s="44">
        <f t="shared" si="15"/>
        <v>41225</v>
      </c>
      <c r="F259" s="146" t="str">
        <f t="shared" si="17"/>
        <v>2012-13</v>
      </c>
      <c r="G259" s="1"/>
      <c r="H259" s="161"/>
      <c r="I259" s="37"/>
      <c r="J259" s="135">
        <f t="shared" si="19"/>
        <v>0.76382508261777382</v>
      </c>
      <c r="K259" s="112"/>
      <c r="L259" s="37">
        <v>61.0496538401</v>
      </c>
      <c r="M259" s="37" t="s">
        <v>288</v>
      </c>
      <c r="N259" s="37">
        <v>1162.6195121951216</v>
      </c>
      <c r="O259" s="130">
        <f t="shared" si="18"/>
        <v>70977.518767258094</v>
      </c>
      <c r="P259" s="132">
        <f t="shared" si="16"/>
        <v>49285.828040042165</v>
      </c>
      <c r="Q259" s="261">
        <v>0.90909093772537763</v>
      </c>
      <c r="R259" s="92"/>
    </row>
    <row r="260" spans="1:18" x14ac:dyDescent="0.25">
      <c r="A260" s="353">
        <v>41225</v>
      </c>
      <c r="B260" s="353" t="s">
        <v>285</v>
      </c>
      <c r="C260" s="263" t="s">
        <v>443</v>
      </c>
      <c r="D260" s="157" t="s">
        <v>464</v>
      </c>
      <c r="E260" s="44">
        <f t="shared" si="15"/>
        <v>41225</v>
      </c>
      <c r="F260" s="146" t="str">
        <f t="shared" si="17"/>
        <v>2012-13</v>
      </c>
      <c r="G260" s="1"/>
      <c r="H260" s="161"/>
      <c r="I260" s="37"/>
      <c r="J260" s="135">
        <f t="shared" si="19"/>
        <v>0.76382508261777382</v>
      </c>
      <c r="K260" s="112"/>
      <c r="L260" s="37">
        <v>47.997923288400003</v>
      </c>
      <c r="M260" s="37" t="s">
        <v>288</v>
      </c>
      <c r="N260" s="37">
        <v>1162.6195121951216</v>
      </c>
      <c r="O260" s="130">
        <f t="shared" si="18"/>
        <v>55803.322159938478</v>
      </c>
      <c r="P260" s="132">
        <f t="shared" si="16"/>
        <v>38749.07136520699</v>
      </c>
      <c r="Q260" s="261">
        <v>0.90909093772537763</v>
      </c>
      <c r="R260" s="92"/>
    </row>
    <row r="261" spans="1:18" x14ac:dyDescent="0.25">
      <c r="A261" s="353">
        <v>41225</v>
      </c>
      <c r="B261" s="353" t="s">
        <v>285</v>
      </c>
      <c r="C261" s="263" t="s">
        <v>443</v>
      </c>
      <c r="D261" s="157" t="s">
        <v>464</v>
      </c>
      <c r="E261" s="44">
        <f t="shared" si="15"/>
        <v>41225</v>
      </c>
      <c r="F261" s="146" t="str">
        <f t="shared" si="17"/>
        <v>2012-13</v>
      </c>
      <c r="G261" s="1"/>
      <c r="H261" s="161"/>
      <c r="I261" s="37"/>
      <c r="J261" s="135">
        <f t="shared" si="19"/>
        <v>0.76382508261777382</v>
      </c>
      <c r="K261" s="112"/>
      <c r="L261" s="37">
        <v>34.337255568800003</v>
      </c>
      <c r="M261" s="37" t="s">
        <v>288</v>
      </c>
      <c r="N261" s="37">
        <v>1162.6195121951216</v>
      </c>
      <c r="O261" s="130">
        <f t="shared" si="18"/>
        <v>39921.16331951748</v>
      </c>
      <c r="P261" s="132">
        <f t="shared" si="16"/>
        <v>27720.715301079334</v>
      </c>
      <c r="Q261" s="261">
        <v>0.90909093772537763</v>
      </c>
      <c r="R261" s="92"/>
    </row>
    <row r="262" spans="1:18" x14ac:dyDescent="0.25">
      <c r="A262" s="353">
        <v>44119</v>
      </c>
      <c r="B262" s="353" t="s">
        <v>285</v>
      </c>
      <c r="C262" s="263" t="s">
        <v>447</v>
      </c>
      <c r="D262" s="157" t="s">
        <v>464</v>
      </c>
      <c r="E262" s="44">
        <f t="shared" si="15"/>
        <v>44119</v>
      </c>
      <c r="F262" s="146" t="str">
        <f t="shared" si="17"/>
        <v>2020-21</v>
      </c>
      <c r="G262" s="1"/>
      <c r="H262" s="161"/>
      <c r="I262" s="37"/>
      <c r="J262" s="135">
        <f t="shared" si="19"/>
        <v>0.76382508261777382</v>
      </c>
      <c r="K262" s="112"/>
      <c r="L262" s="37">
        <v>21.589834946100002</v>
      </c>
      <c r="M262" s="37" t="s">
        <v>288</v>
      </c>
      <c r="N262" s="37">
        <v>1162.6195121951216</v>
      </c>
      <c r="O262" s="130">
        <f t="shared" si="18"/>
        <v>25100.763373407975</v>
      </c>
      <c r="P262" s="132">
        <f t="shared" si="16"/>
        <v>19172.592657462537</v>
      </c>
      <c r="Q262" s="261">
        <v>1</v>
      </c>
      <c r="R262" s="92"/>
    </row>
    <row r="263" spans="1:18" x14ac:dyDescent="0.25">
      <c r="A263" s="353">
        <v>44119</v>
      </c>
      <c r="B263" s="353" t="s">
        <v>285</v>
      </c>
      <c r="C263" s="263" t="s">
        <v>447</v>
      </c>
      <c r="D263" s="157" t="s">
        <v>464</v>
      </c>
      <c r="E263" s="44">
        <f t="shared" si="15"/>
        <v>44119</v>
      </c>
      <c r="F263" s="146" t="str">
        <f t="shared" si="17"/>
        <v>2020-21</v>
      </c>
      <c r="G263" s="1"/>
      <c r="H263" s="161"/>
      <c r="I263" s="37"/>
      <c r="J263" s="135">
        <f t="shared" si="19"/>
        <v>0.76382508261777382</v>
      </c>
      <c r="K263" s="112"/>
      <c r="L263" s="37">
        <v>4.2301614626399999</v>
      </c>
      <c r="M263" s="37" t="s">
        <v>288</v>
      </c>
      <c r="N263" s="37">
        <v>1162.6195121951216</v>
      </c>
      <c r="O263" s="130">
        <f t="shared" si="18"/>
        <v>4918.0682562011189</v>
      </c>
      <c r="P263" s="132">
        <f t="shared" si="16"/>
        <v>3756.5438921126706</v>
      </c>
      <c r="Q263" s="261">
        <v>1</v>
      </c>
      <c r="R263" s="92"/>
    </row>
    <row r="264" spans="1:18" x14ac:dyDescent="0.25">
      <c r="A264" s="353">
        <v>44119</v>
      </c>
      <c r="B264" s="353" t="s">
        <v>285</v>
      </c>
      <c r="C264" s="263" t="s">
        <v>447</v>
      </c>
      <c r="D264" s="157" t="s">
        <v>464</v>
      </c>
      <c r="E264" s="44">
        <f t="shared" si="15"/>
        <v>44119</v>
      </c>
      <c r="F264" s="146" t="str">
        <f t="shared" si="17"/>
        <v>2020-21</v>
      </c>
      <c r="G264" s="1"/>
      <c r="H264" s="161"/>
      <c r="I264" s="37"/>
      <c r="J264" s="135">
        <f t="shared" si="19"/>
        <v>0.76382508261777382</v>
      </c>
      <c r="K264" s="112"/>
      <c r="L264" s="37">
        <v>3.7973266912399999</v>
      </c>
      <c r="M264" s="37" t="s">
        <v>288</v>
      </c>
      <c r="N264" s="37">
        <v>1162.6195121951216</v>
      </c>
      <c r="O264" s="130">
        <f t="shared" si="18"/>
        <v>4414.8461054149639</v>
      </c>
      <c r="P264" s="132">
        <f t="shared" si="16"/>
        <v>3372.1701912133417</v>
      </c>
      <c r="Q264" s="261">
        <v>1</v>
      </c>
      <c r="R264" s="92"/>
    </row>
    <row r="265" spans="1:18" x14ac:dyDescent="0.25">
      <c r="A265" s="353">
        <v>44119</v>
      </c>
      <c r="B265" s="353" t="s">
        <v>285</v>
      </c>
      <c r="C265" s="263" t="s">
        <v>447</v>
      </c>
      <c r="D265" s="157" t="s">
        <v>464</v>
      </c>
      <c r="E265" s="44">
        <f t="shared" si="15"/>
        <v>44119</v>
      </c>
      <c r="F265" s="146" t="str">
        <f t="shared" si="17"/>
        <v>2020-21</v>
      </c>
      <c r="G265" s="1"/>
      <c r="H265" s="161"/>
      <c r="I265" s="37"/>
      <c r="J265" s="135">
        <f t="shared" si="19"/>
        <v>0.76382508261777382</v>
      </c>
      <c r="K265" s="112"/>
      <c r="L265" s="37">
        <v>88.387718037799999</v>
      </c>
      <c r="M265" s="37" t="s">
        <v>288</v>
      </c>
      <c r="N265" s="37">
        <v>1162.6195121951216</v>
      </c>
      <c r="O265" s="130">
        <f t="shared" si="18"/>
        <v>102761.28562914698</v>
      </c>
      <c r="P265" s="132">
        <f t="shared" si="16"/>
        <v>78491.64748559185</v>
      </c>
      <c r="Q265" s="261">
        <v>1</v>
      </c>
      <c r="R265" s="92"/>
    </row>
    <row r="266" spans="1:18" x14ac:dyDescent="0.25">
      <c r="A266" s="353">
        <v>43306</v>
      </c>
      <c r="B266" s="353" t="s">
        <v>285</v>
      </c>
      <c r="C266" s="263" t="s">
        <v>448</v>
      </c>
      <c r="D266" s="157" t="s">
        <v>464</v>
      </c>
      <c r="E266" s="44">
        <f t="shared" si="15"/>
        <v>43306</v>
      </c>
      <c r="F266" s="146" t="str">
        <f t="shared" si="17"/>
        <v>2018-19</v>
      </c>
      <c r="G266" s="1"/>
      <c r="H266" s="161"/>
      <c r="I266" s="37"/>
      <c r="J266" s="135">
        <f t="shared" si="19"/>
        <v>0.76382508261777382</v>
      </c>
      <c r="K266" s="112"/>
      <c r="L266" s="37">
        <v>100.497702023</v>
      </c>
      <c r="M266" s="37" t="s">
        <v>288</v>
      </c>
      <c r="N266" s="37">
        <v>1162.6195121951216</v>
      </c>
      <c r="O266" s="130">
        <f t="shared" si="18"/>
        <v>116840.58930271096</v>
      </c>
      <c r="P266" s="132">
        <f t="shared" si="16"/>
        <v>89245.772777252583</v>
      </c>
      <c r="Q266" s="261">
        <v>1</v>
      </c>
      <c r="R266" s="92"/>
    </row>
    <row r="267" spans="1:18" x14ac:dyDescent="0.25">
      <c r="A267" s="353">
        <v>43306</v>
      </c>
      <c r="B267" s="353" t="s">
        <v>285</v>
      </c>
      <c r="C267" s="263" t="s">
        <v>448</v>
      </c>
      <c r="D267" s="157" t="s">
        <v>464</v>
      </c>
      <c r="E267" s="44">
        <f t="shared" si="15"/>
        <v>43306</v>
      </c>
      <c r="F267" s="146" t="str">
        <f t="shared" si="17"/>
        <v>2018-19</v>
      </c>
      <c r="G267" s="1"/>
      <c r="H267" s="161"/>
      <c r="I267" s="37"/>
      <c r="J267" s="135">
        <f t="shared" si="19"/>
        <v>0.76382508261777382</v>
      </c>
      <c r="K267" s="112"/>
      <c r="L267" s="37">
        <v>90.7448029862</v>
      </c>
      <c r="M267" s="37" t="s">
        <v>288</v>
      </c>
      <c r="N267" s="37">
        <v>1162.6195121951216</v>
      </c>
      <c r="O267" s="130">
        <f t="shared" si="18"/>
        <v>105501.67858205826</v>
      </c>
      <c r="P267" s="132">
        <f t="shared" si="16"/>
        <v>80584.828359254461</v>
      </c>
      <c r="Q267" s="261">
        <v>1</v>
      </c>
      <c r="R267" s="92"/>
    </row>
    <row r="268" spans="1:18" x14ac:dyDescent="0.25">
      <c r="A268" s="353">
        <v>43306</v>
      </c>
      <c r="B268" s="353" t="s">
        <v>285</v>
      </c>
      <c r="C268" s="263" t="s">
        <v>448</v>
      </c>
      <c r="D268" s="157" t="s">
        <v>464</v>
      </c>
      <c r="E268" s="44">
        <f t="shared" si="15"/>
        <v>43306</v>
      </c>
      <c r="F268" s="146" t="str">
        <f t="shared" si="17"/>
        <v>2018-19</v>
      </c>
      <c r="G268" s="1"/>
      <c r="H268" s="161"/>
      <c r="I268" s="37"/>
      <c r="J268" s="135">
        <f t="shared" si="19"/>
        <v>0.76382508261777382</v>
      </c>
      <c r="K268" s="112"/>
      <c r="L268" s="37">
        <v>42.690867337199997</v>
      </c>
      <c r="M268" s="37" t="s">
        <v>288</v>
      </c>
      <c r="N268" s="37">
        <v>1162.6195121951216</v>
      </c>
      <c r="O268" s="130">
        <f t="shared" si="18"/>
        <v>49633.235358762111</v>
      </c>
      <c r="P268" s="132">
        <f t="shared" si="16"/>
        <v>37911.110098493882</v>
      </c>
      <c r="Q268" s="261">
        <v>1</v>
      </c>
      <c r="R268" s="92"/>
    </row>
    <row r="269" spans="1:18" x14ac:dyDescent="0.25">
      <c r="A269" s="353">
        <v>43306</v>
      </c>
      <c r="B269" s="353" t="s">
        <v>285</v>
      </c>
      <c r="C269" s="263" t="s">
        <v>448</v>
      </c>
      <c r="D269" s="157" t="s">
        <v>464</v>
      </c>
      <c r="E269" s="44">
        <f t="shared" si="15"/>
        <v>43306</v>
      </c>
      <c r="F269" s="146" t="str">
        <f t="shared" si="17"/>
        <v>2018-19</v>
      </c>
      <c r="G269" s="1"/>
      <c r="H269" s="161"/>
      <c r="I269" s="37"/>
      <c r="J269" s="135">
        <f t="shared" si="19"/>
        <v>0.76382508261777382</v>
      </c>
      <c r="K269" s="112"/>
      <c r="L269" s="37">
        <v>81.281880742300004</v>
      </c>
      <c r="M269" s="37" t="s">
        <v>288</v>
      </c>
      <c r="N269" s="37">
        <v>1162.6195121951216</v>
      </c>
      <c r="O269" s="130">
        <f t="shared" si="18"/>
        <v>94499.900538914881</v>
      </c>
      <c r="P269" s="132">
        <f t="shared" si="16"/>
        <v>72181.394336508063</v>
      </c>
      <c r="Q269" s="261">
        <v>1</v>
      </c>
      <c r="R269" s="92"/>
    </row>
    <row r="270" spans="1:18" x14ac:dyDescent="0.25">
      <c r="A270" s="353">
        <v>43306</v>
      </c>
      <c r="B270" s="353" t="s">
        <v>285</v>
      </c>
      <c r="C270" s="263" t="s">
        <v>448</v>
      </c>
      <c r="D270" s="157" t="s">
        <v>464</v>
      </c>
      <c r="E270" s="44">
        <f t="shared" si="15"/>
        <v>43306</v>
      </c>
      <c r="F270" s="146" t="str">
        <f t="shared" si="17"/>
        <v>2018-19</v>
      </c>
      <c r="G270" s="1"/>
      <c r="H270" s="161"/>
      <c r="I270" s="37"/>
      <c r="J270" s="135">
        <f t="shared" si="19"/>
        <v>0.76382508261777382</v>
      </c>
      <c r="K270" s="112"/>
      <c r="L270" s="37">
        <v>85.345206081000001</v>
      </c>
      <c r="M270" s="37" t="s">
        <v>288</v>
      </c>
      <c r="N270" s="37">
        <v>1162.6195121951216</v>
      </c>
      <c r="O270" s="130">
        <f t="shared" si="18"/>
        <v>99224.001862084348</v>
      </c>
      <c r="P270" s="132">
        <f t="shared" si="16"/>
        <v>75789.781419972715</v>
      </c>
      <c r="Q270" s="261">
        <v>1</v>
      </c>
      <c r="R270" s="92"/>
    </row>
    <row r="271" spans="1:18" x14ac:dyDescent="0.25">
      <c r="A271" s="353">
        <v>43306</v>
      </c>
      <c r="B271" s="353" t="s">
        <v>285</v>
      </c>
      <c r="C271" s="263" t="s">
        <v>448</v>
      </c>
      <c r="D271" s="157" t="s">
        <v>464</v>
      </c>
      <c r="E271" s="44">
        <f t="shared" si="15"/>
        <v>43306</v>
      </c>
      <c r="F271" s="146" t="str">
        <f t="shared" si="17"/>
        <v>2018-19</v>
      </c>
      <c r="G271" s="1"/>
      <c r="H271" s="161"/>
      <c r="I271" s="37"/>
      <c r="J271" s="135">
        <f t="shared" si="19"/>
        <v>0.76382508261777382</v>
      </c>
      <c r="K271" s="112"/>
      <c r="L271" s="37">
        <v>64.430101676199996</v>
      </c>
      <c r="M271" s="37" t="s">
        <v>288</v>
      </c>
      <c r="N271" s="37">
        <v>1361.4565853658535</v>
      </c>
      <c r="O271" s="130">
        <f t="shared" si="18"/>
        <v>87718.786222854003</v>
      </c>
      <c r="P271" s="132">
        <f t="shared" si="16"/>
        <v>67001.809133802293</v>
      </c>
      <c r="Q271" s="261">
        <v>1</v>
      </c>
      <c r="R271" s="92"/>
    </row>
    <row r="272" spans="1:18" x14ac:dyDescent="0.25">
      <c r="A272" s="353">
        <v>43306</v>
      </c>
      <c r="B272" s="353" t="s">
        <v>285</v>
      </c>
      <c r="C272" s="263" t="s">
        <v>448</v>
      </c>
      <c r="D272" s="157" t="s">
        <v>464</v>
      </c>
      <c r="E272" s="44">
        <f t="shared" si="15"/>
        <v>43306</v>
      </c>
      <c r="F272" s="146" t="str">
        <f t="shared" si="17"/>
        <v>2018-19</v>
      </c>
      <c r="G272" s="1"/>
      <c r="H272" s="161"/>
      <c r="I272" s="37"/>
      <c r="J272" s="135">
        <f t="shared" si="19"/>
        <v>0.76382508261777382</v>
      </c>
      <c r="K272" s="112"/>
      <c r="L272" s="37">
        <v>74.527401169000001</v>
      </c>
      <c r="M272" s="37" t="s">
        <v>288</v>
      </c>
      <c r="N272" s="37">
        <v>1361.4565853658535</v>
      </c>
      <c r="O272" s="130">
        <f t="shared" si="18"/>
        <v>101465.82111173785</v>
      </c>
      <c r="P272" s="132">
        <f t="shared" si="16"/>
        <v>77502.139193553419</v>
      </c>
      <c r="Q272" s="261">
        <v>1</v>
      </c>
      <c r="R272" s="92"/>
    </row>
    <row r="273" spans="1:18" x14ac:dyDescent="0.25">
      <c r="A273" s="353">
        <v>43306</v>
      </c>
      <c r="B273" s="353" t="s">
        <v>285</v>
      </c>
      <c r="C273" s="263" t="s">
        <v>448</v>
      </c>
      <c r="D273" s="157" t="s">
        <v>464</v>
      </c>
      <c r="E273" s="44">
        <f t="shared" si="15"/>
        <v>43306</v>
      </c>
      <c r="F273" s="146" t="str">
        <f t="shared" si="17"/>
        <v>2018-19</v>
      </c>
      <c r="G273" s="1"/>
      <c r="H273" s="161"/>
      <c r="I273" s="37"/>
      <c r="J273" s="135">
        <f t="shared" si="19"/>
        <v>0.76382508261777382</v>
      </c>
      <c r="K273" s="112"/>
      <c r="L273" s="37">
        <v>41.415379993400002</v>
      </c>
      <c r="M273" s="37" t="s">
        <v>288</v>
      </c>
      <c r="N273" s="37">
        <v>1361.4565853658535</v>
      </c>
      <c r="O273" s="130">
        <f t="shared" si="18"/>
        <v>56385.24182744365</v>
      </c>
      <c r="P273" s="132">
        <f t="shared" si="16"/>
        <v>43068.4619972703</v>
      </c>
      <c r="Q273" s="261">
        <v>1</v>
      </c>
      <c r="R273" s="92"/>
    </row>
    <row r="274" spans="1:18" x14ac:dyDescent="0.25">
      <c r="A274" s="353">
        <v>43306</v>
      </c>
      <c r="B274" s="353" t="s">
        <v>285</v>
      </c>
      <c r="C274" s="263" t="s">
        <v>448</v>
      </c>
      <c r="D274" s="157" t="s">
        <v>464</v>
      </c>
      <c r="E274" s="44">
        <f t="shared" si="15"/>
        <v>43306</v>
      </c>
      <c r="F274" s="146" t="str">
        <f t="shared" si="17"/>
        <v>2018-19</v>
      </c>
      <c r="G274" s="1"/>
      <c r="H274" s="161"/>
      <c r="I274" s="37"/>
      <c r="J274" s="135">
        <f t="shared" si="19"/>
        <v>0.76382508261777382</v>
      </c>
      <c r="K274" s="112"/>
      <c r="L274" s="37">
        <v>3.9116340575300002</v>
      </c>
      <c r="M274" s="37" t="s">
        <v>288</v>
      </c>
      <c r="N274" s="37">
        <v>1361.4565853658535</v>
      </c>
      <c r="O274" s="130">
        <f t="shared" si="18"/>
        <v>5325.5199471655724</v>
      </c>
      <c r="P274" s="132">
        <f t="shared" si="16"/>
        <v>4067.7657136263456</v>
      </c>
      <c r="Q274" s="261">
        <v>1</v>
      </c>
      <c r="R274" s="92"/>
    </row>
    <row r="275" spans="1:18" x14ac:dyDescent="0.25">
      <c r="A275" s="353">
        <v>41954</v>
      </c>
      <c r="B275" s="353" t="s">
        <v>285</v>
      </c>
      <c r="C275" s="263" t="s">
        <v>449</v>
      </c>
      <c r="D275" s="157" t="s">
        <v>464</v>
      </c>
      <c r="E275" s="44">
        <f t="shared" si="15"/>
        <v>41954</v>
      </c>
      <c r="F275" s="146" t="str">
        <f t="shared" si="17"/>
        <v>2014-15</v>
      </c>
      <c r="G275" s="1"/>
      <c r="H275" s="161"/>
      <c r="I275" s="37"/>
      <c r="J275" s="135">
        <f t="shared" si="19"/>
        <v>0.76382508261777382</v>
      </c>
      <c r="K275" s="112"/>
      <c r="L275" s="37">
        <v>51.026952338900003</v>
      </c>
      <c r="M275" s="37" t="s">
        <v>288</v>
      </c>
      <c r="N275" s="37">
        <v>950.87219512195099</v>
      </c>
      <c r="O275" s="130">
        <f t="shared" si="18"/>
        <v>48520.110180873016</v>
      </c>
      <c r="P275" s="132">
        <f t="shared" si="16"/>
        <v>20845.582283213291</v>
      </c>
      <c r="Q275" s="261">
        <v>0.56246866983162802</v>
      </c>
      <c r="R275" s="92"/>
    </row>
    <row r="276" spans="1:18" x14ac:dyDescent="0.25">
      <c r="A276" s="353">
        <v>41954</v>
      </c>
      <c r="B276" s="353" t="s">
        <v>285</v>
      </c>
      <c r="C276" s="263" t="s">
        <v>449</v>
      </c>
      <c r="D276" s="157" t="s">
        <v>464</v>
      </c>
      <c r="E276" s="44">
        <f t="shared" si="15"/>
        <v>41954</v>
      </c>
      <c r="F276" s="146" t="str">
        <f t="shared" si="17"/>
        <v>2014-15</v>
      </c>
      <c r="G276" s="1"/>
      <c r="H276" s="161"/>
      <c r="I276" s="37"/>
      <c r="J276" s="135">
        <f t="shared" si="19"/>
        <v>0.76382508261777382</v>
      </c>
      <c r="K276" s="112"/>
      <c r="L276" s="37">
        <v>23.7168920023</v>
      </c>
      <c r="M276" s="37" t="s">
        <v>288</v>
      </c>
      <c r="N276" s="37">
        <v>3336.4019512195118</v>
      </c>
      <c r="O276" s="130">
        <f t="shared" si="18"/>
        <v>79129.084753336152</v>
      </c>
      <c r="P276" s="132">
        <f t="shared" si="16"/>
        <v>33996.044960987507</v>
      </c>
      <c r="Q276" s="261">
        <v>0.56246866983162802</v>
      </c>
      <c r="R276" s="92"/>
    </row>
    <row r="277" spans="1:18" x14ac:dyDescent="0.25">
      <c r="A277" s="353">
        <v>41954</v>
      </c>
      <c r="B277" s="353" t="s">
        <v>285</v>
      </c>
      <c r="C277" s="263" t="s">
        <v>449</v>
      </c>
      <c r="D277" s="157" t="s">
        <v>464</v>
      </c>
      <c r="E277" s="44">
        <f t="shared" si="15"/>
        <v>41954</v>
      </c>
      <c r="F277" s="146" t="str">
        <f t="shared" si="17"/>
        <v>2014-15</v>
      </c>
      <c r="G277" s="1"/>
      <c r="H277" s="161"/>
      <c r="I277" s="37"/>
      <c r="J277" s="135">
        <f t="shared" si="19"/>
        <v>0.76382508261777382</v>
      </c>
      <c r="K277" s="112"/>
      <c r="L277" s="37">
        <v>24.6552348397</v>
      </c>
      <c r="M277" s="37" t="s">
        <v>288</v>
      </c>
      <c r="N277" s="37">
        <v>950.87219512195099</v>
      </c>
      <c r="O277" s="130">
        <f t="shared" si="18"/>
        <v>23443.977273272743</v>
      </c>
      <c r="P277" s="132">
        <f t="shared" si="16"/>
        <v>10072.181523784744</v>
      </c>
      <c r="Q277" s="261">
        <v>0.56246866983162802</v>
      </c>
      <c r="R277" s="92"/>
    </row>
    <row r="278" spans="1:18" x14ac:dyDescent="0.25">
      <c r="A278" s="353">
        <v>41842</v>
      </c>
      <c r="B278" s="353" t="s">
        <v>285</v>
      </c>
      <c r="C278" s="263" t="s">
        <v>450</v>
      </c>
      <c r="D278" s="157" t="s">
        <v>464</v>
      </c>
      <c r="E278" s="44">
        <f t="shared" si="15"/>
        <v>41842</v>
      </c>
      <c r="F278" s="146" t="str">
        <f t="shared" si="17"/>
        <v>2014-15</v>
      </c>
      <c r="G278" s="1"/>
      <c r="H278" s="161"/>
      <c r="I278" s="37"/>
      <c r="J278" s="135">
        <f t="shared" si="19"/>
        <v>0.76382508261777382</v>
      </c>
      <c r="K278" s="112"/>
      <c r="L278" s="37">
        <v>26.795851880800001</v>
      </c>
      <c r="M278" s="37" t="s">
        <v>288</v>
      </c>
      <c r="N278" s="37">
        <v>812.22926829268283</v>
      </c>
      <c r="O278" s="130">
        <f t="shared" si="18"/>
        <v>21764.375166421294</v>
      </c>
      <c r="P278" s="132">
        <f t="shared" si="16"/>
        <v>156.91514042243713</v>
      </c>
      <c r="Q278" s="261">
        <v>9.4389727127114579E-3</v>
      </c>
      <c r="R278" s="92"/>
    </row>
    <row r="279" spans="1:18" x14ac:dyDescent="0.25">
      <c r="A279" s="353">
        <v>41842</v>
      </c>
      <c r="B279" s="353" t="s">
        <v>285</v>
      </c>
      <c r="C279" s="263" t="s">
        <v>450</v>
      </c>
      <c r="D279" s="157" t="s">
        <v>464</v>
      </c>
      <c r="E279" s="44">
        <f t="shared" ref="E279:E342" si="20">IF(VALUE(A279)&lt;2022,DATEVALUE("30 Jun "&amp;A279),A279)</f>
        <v>41842</v>
      </c>
      <c r="F279" s="146" t="str">
        <f t="shared" si="17"/>
        <v>2014-15</v>
      </c>
      <c r="G279" s="1"/>
      <c r="H279" s="161"/>
      <c r="I279" s="37"/>
      <c r="J279" s="135">
        <f t="shared" si="19"/>
        <v>0.76382508261777382</v>
      </c>
      <c r="K279" s="112"/>
      <c r="L279" s="37">
        <v>38.172352736599997</v>
      </c>
      <c r="M279" s="37" t="s">
        <v>288</v>
      </c>
      <c r="N279" s="37">
        <v>812.22926829268283</v>
      </c>
      <c r="O279" s="130">
        <f t="shared" si="18"/>
        <v>31004.702132258804</v>
      </c>
      <c r="P279" s="132">
        <f t="shared" ref="P279:P342" si="21">IF(O279="-","-",IF(OR(E279&lt;$E$15,E279&gt;$E$16),0,O279*J279))*Q279</f>
        <v>223.53534855185066</v>
      </c>
      <c r="Q279" s="261">
        <v>9.4389727127114579E-3</v>
      </c>
      <c r="R279" s="92"/>
    </row>
    <row r="280" spans="1:18" x14ac:dyDescent="0.25">
      <c r="A280" s="353">
        <v>41842</v>
      </c>
      <c r="B280" s="353" t="s">
        <v>285</v>
      </c>
      <c r="C280" s="263" t="s">
        <v>450</v>
      </c>
      <c r="D280" s="157" t="s">
        <v>464</v>
      </c>
      <c r="E280" s="44">
        <f t="shared" si="20"/>
        <v>41842</v>
      </c>
      <c r="F280" s="146" t="str">
        <f t="shared" ref="F280:F343" si="22">IF(E280="","-",IF(OR(E280&lt;$E$15,E280&gt;$E$16),"ERROR - date outside of range",IF(MONTH(E280)&gt;=7,YEAR(E280)&amp;"-"&amp;IF(YEAR(E280)=1999,"00",IF(AND(YEAR(E280)&gt;=2000,YEAR(E280)&lt;2009),"0","")&amp;RIGHT(YEAR(E280),2)+1),RIGHT(YEAR(E280),4)-1&amp;"-"&amp;RIGHT(YEAR(E280),2))))</f>
        <v>2014-15</v>
      </c>
      <c r="G280" s="1"/>
      <c r="H280" s="161"/>
      <c r="I280" s="37"/>
      <c r="J280" s="135">
        <f t="shared" si="19"/>
        <v>0.76382508261777382</v>
      </c>
      <c r="K280" s="112"/>
      <c r="L280" s="37">
        <v>8.1083801094899997</v>
      </c>
      <c r="M280" s="37" t="s">
        <v>288</v>
      </c>
      <c r="N280" s="37">
        <v>812.22926829268283</v>
      </c>
      <c r="O280" s="130">
        <f t="shared" ref="O280:O343" si="23">IF(N280="","-",L280*N280)</f>
        <v>6585.8636433700058</v>
      </c>
      <c r="P280" s="132">
        <f t="shared" si="21"/>
        <v>47.482259908697991</v>
      </c>
      <c r="Q280" s="261">
        <v>9.4389727127114579E-3</v>
      </c>
      <c r="R280" s="92"/>
    </row>
    <row r="281" spans="1:18" x14ac:dyDescent="0.25">
      <c r="A281" s="353">
        <v>41842</v>
      </c>
      <c r="B281" s="353" t="s">
        <v>285</v>
      </c>
      <c r="C281" s="263" t="s">
        <v>450</v>
      </c>
      <c r="D281" s="157" t="s">
        <v>464</v>
      </c>
      <c r="E281" s="44">
        <f t="shared" si="20"/>
        <v>41842</v>
      </c>
      <c r="F281" s="146" t="str">
        <f t="shared" si="22"/>
        <v>2014-15</v>
      </c>
      <c r="G281" s="1"/>
      <c r="H281" s="161"/>
      <c r="I281" s="37"/>
      <c r="J281" s="135">
        <f t="shared" ref="J281:J344" si="24">J280</f>
        <v>0.76382508261777382</v>
      </c>
      <c r="K281" s="112"/>
      <c r="L281" s="37">
        <v>79.600209922600001</v>
      </c>
      <c r="M281" s="37" t="s">
        <v>288</v>
      </c>
      <c r="N281" s="37">
        <v>3336.4019512195118</v>
      </c>
      <c r="O281" s="130">
        <f t="shared" si="23"/>
        <v>265578.29570324539</v>
      </c>
      <c r="P281" s="132">
        <f t="shared" si="21"/>
        <v>1914.7462421857617</v>
      </c>
      <c r="Q281" s="261">
        <v>9.4389727127114579E-3</v>
      </c>
      <c r="R281" s="92"/>
    </row>
    <row r="282" spans="1:18" x14ac:dyDescent="0.25">
      <c r="A282" s="353">
        <v>41842</v>
      </c>
      <c r="B282" s="353" t="s">
        <v>285</v>
      </c>
      <c r="C282" s="263" t="s">
        <v>450</v>
      </c>
      <c r="D282" s="157" t="s">
        <v>464</v>
      </c>
      <c r="E282" s="44">
        <f t="shared" si="20"/>
        <v>41842</v>
      </c>
      <c r="F282" s="146" t="str">
        <f t="shared" si="22"/>
        <v>2014-15</v>
      </c>
      <c r="G282" s="1"/>
      <c r="H282" s="161"/>
      <c r="I282" s="37"/>
      <c r="J282" s="135">
        <f t="shared" si="24"/>
        <v>0.76382508261777382</v>
      </c>
      <c r="K282" s="112"/>
      <c r="L282" s="37">
        <v>34.999738964700001</v>
      </c>
      <c r="M282" s="37" t="s">
        <v>288</v>
      </c>
      <c r="N282" s="37">
        <v>812.22926829268283</v>
      </c>
      <c r="O282" s="130">
        <f t="shared" si="23"/>
        <v>28427.812369733183</v>
      </c>
      <c r="P282" s="132">
        <f t="shared" si="21"/>
        <v>204.95668429671062</v>
      </c>
      <c r="Q282" s="261">
        <v>9.4389727127114579E-3</v>
      </c>
      <c r="R282" s="92"/>
    </row>
    <row r="283" spans="1:18" x14ac:dyDescent="0.25">
      <c r="A283" s="353">
        <v>41842</v>
      </c>
      <c r="B283" s="353" t="s">
        <v>285</v>
      </c>
      <c r="C283" s="263" t="s">
        <v>450</v>
      </c>
      <c r="D283" s="157" t="s">
        <v>464</v>
      </c>
      <c r="E283" s="44">
        <f t="shared" si="20"/>
        <v>41842</v>
      </c>
      <c r="F283" s="146" t="str">
        <f t="shared" si="22"/>
        <v>2014-15</v>
      </c>
      <c r="G283" s="1"/>
      <c r="H283" s="161"/>
      <c r="I283" s="37"/>
      <c r="J283" s="135">
        <f t="shared" si="24"/>
        <v>0.76382508261777382</v>
      </c>
      <c r="K283" s="112"/>
      <c r="L283" s="37">
        <v>31.9006769981</v>
      </c>
      <c r="M283" s="37" t="s">
        <v>288</v>
      </c>
      <c r="N283" s="37">
        <v>812.22926829268283</v>
      </c>
      <c r="O283" s="130">
        <f t="shared" si="23"/>
        <v>25910.66353620798</v>
      </c>
      <c r="P283" s="132">
        <f t="shared" si="21"/>
        <v>186.80873565786499</v>
      </c>
      <c r="Q283" s="261">
        <v>9.4389727127114579E-3</v>
      </c>
      <c r="R283" s="92"/>
    </row>
    <row r="284" spans="1:18" x14ac:dyDescent="0.25">
      <c r="A284" s="353">
        <v>41842</v>
      </c>
      <c r="B284" s="353" t="s">
        <v>285</v>
      </c>
      <c r="C284" s="263" t="s">
        <v>450</v>
      </c>
      <c r="D284" s="157" t="s">
        <v>464</v>
      </c>
      <c r="E284" s="44">
        <f t="shared" si="20"/>
        <v>41842</v>
      </c>
      <c r="F284" s="146" t="str">
        <f t="shared" si="22"/>
        <v>2014-15</v>
      </c>
      <c r="G284" s="1"/>
      <c r="H284" s="161"/>
      <c r="I284" s="37"/>
      <c r="J284" s="135">
        <f t="shared" si="24"/>
        <v>0.76382508261777382</v>
      </c>
      <c r="K284" s="112"/>
      <c r="L284" s="37">
        <v>15.7250883708</v>
      </c>
      <c r="M284" s="37" t="s">
        <v>288</v>
      </c>
      <c r="N284" s="37">
        <v>812.22926829268283</v>
      </c>
      <c r="O284" s="130">
        <f t="shared" si="23"/>
        <v>12772.37702125266</v>
      </c>
      <c r="P284" s="132">
        <f t="shared" si="21"/>
        <v>92.085314579132799</v>
      </c>
      <c r="Q284" s="261">
        <v>9.4389727127114579E-3</v>
      </c>
      <c r="R284" s="92"/>
    </row>
    <row r="285" spans="1:18" x14ac:dyDescent="0.25">
      <c r="A285" s="353">
        <v>41842</v>
      </c>
      <c r="B285" s="353" t="s">
        <v>285</v>
      </c>
      <c r="C285" s="263" t="s">
        <v>450</v>
      </c>
      <c r="D285" s="157" t="s">
        <v>464</v>
      </c>
      <c r="E285" s="44">
        <f t="shared" si="20"/>
        <v>41842</v>
      </c>
      <c r="F285" s="146" t="str">
        <f t="shared" si="22"/>
        <v>2014-15</v>
      </c>
      <c r="G285" s="1"/>
      <c r="H285" s="161"/>
      <c r="I285" s="37"/>
      <c r="J285" s="135">
        <f t="shared" si="24"/>
        <v>0.76382508261777382</v>
      </c>
      <c r="K285" s="112"/>
      <c r="L285" s="37">
        <v>11.0960350839</v>
      </c>
      <c r="M285" s="37" t="s">
        <v>288</v>
      </c>
      <c r="N285" s="37">
        <v>812.22926829268283</v>
      </c>
      <c r="O285" s="130">
        <f t="shared" si="23"/>
        <v>9012.5244571460353</v>
      </c>
      <c r="P285" s="132">
        <f t="shared" si="21"/>
        <v>64.977814889700582</v>
      </c>
      <c r="Q285" s="261">
        <v>9.4389727127114579E-3</v>
      </c>
      <c r="R285" s="92"/>
    </row>
    <row r="286" spans="1:18" x14ac:dyDescent="0.25">
      <c r="A286" s="353">
        <v>41842</v>
      </c>
      <c r="B286" s="353" t="s">
        <v>285</v>
      </c>
      <c r="C286" s="263" t="s">
        <v>450</v>
      </c>
      <c r="D286" s="157" t="s">
        <v>464</v>
      </c>
      <c r="E286" s="44">
        <f t="shared" si="20"/>
        <v>41842</v>
      </c>
      <c r="F286" s="146" t="str">
        <f t="shared" si="22"/>
        <v>2014-15</v>
      </c>
      <c r="G286" s="1"/>
      <c r="H286" s="161"/>
      <c r="I286" s="37"/>
      <c r="J286" s="135">
        <f t="shared" si="24"/>
        <v>0.76382508261777382</v>
      </c>
      <c r="K286" s="112"/>
      <c r="L286" s="37">
        <v>38.007347254899997</v>
      </c>
      <c r="M286" s="37" t="s">
        <v>288</v>
      </c>
      <c r="N286" s="37">
        <v>3336.4019512195118</v>
      </c>
      <c r="O286" s="130">
        <f t="shared" si="23"/>
        <v>126807.78754192591</v>
      </c>
      <c r="P286" s="132">
        <f t="shared" si="21"/>
        <v>914.24916344481983</v>
      </c>
      <c r="Q286" s="261">
        <v>9.4389727127114579E-3</v>
      </c>
      <c r="R286" s="92"/>
    </row>
    <row r="287" spans="1:18" x14ac:dyDescent="0.25">
      <c r="A287" s="353">
        <v>41842</v>
      </c>
      <c r="B287" s="353" t="s">
        <v>285</v>
      </c>
      <c r="C287" s="263" t="s">
        <v>450</v>
      </c>
      <c r="D287" s="157" t="s">
        <v>464</v>
      </c>
      <c r="E287" s="44">
        <f t="shared" si="20"/>
        <v>41842</v>
      </c>
      <c r="F287" s="146" t="str">
        <f t="shared" si="22"/>
        <v>2014-15</v>
      </c>
      <c r="G287" s="1"/>
      <c r="H287" s="161"/>
      <c r="I287" s="37"/>
      <c r="J287" s="135">
        <f t="shared" si="24"/>
        <v>0.76382508261777382</v>
      </c>
      <c r="K287" s="112"/>
      <c r="L287" s="37">
        <v>44.3855558988</v>
      </c>
      <c r="M287" s="37" t="s">
        <v>288</v>
      </c>
      <c r="N287" s="37">
        <v>812.22926829268283</v>
      </c>
      <c r="O287" s="130">
        <f t="shared" si="23"/>
        <v>36051.247590446299</v>
      </c>
      <c r="P287" s="132">
        <f t="shared" si="21"/>
        <v>259.91954902462311</v>
      </c>
      <c r="Q287" s="261">
        <v>9.4389727127114579E-3</v>
      </c>
      <c r="R287" s="92"/>
    </row>
    <row r="288" spans="1:18" x14ac:dyDescent="0.25">
      <c r="A288" s="353">
        <v>41842</v>
      </c>
      <c r="B288" s="353" t="s">
        <v>285</v>
      </c>
      <c r="C288" s="263" t="s">
        <v>450</v>
      </c>
      <c r="D288" s="157" t="s">
        <v>464</v>
      </c>
      <c r="E288" s="44">
        <f t="shared" si="20"/>
        <v>41842</v>
      </c>
      <c r="F288" s="146" t="str">
        <f t="shared" si="22"/>
        <v>2014-15</v>
      </c>
      <c r="G288" s="1"/>
      <c r="H288" s="161"/>
      <c r="I288" s="37"/>
      <c r="J288" s="135">
        <f t="shared" si="24"/>
        <v>0.76382508261777382</v>
      </c>
      <c r="K288" s="112"/>
      <c r="L288" s="37">
        <v>15.066425927899999</v>
      </c>
      <c r="M288" s="37" t="s">
        <v>288</v>
      </c>
      <c r="N288" s="37">
        <v>812.22926829268283</v>
      </c>
      <c r="O288" s="130">
        <f t="shared" si="23"/>
        <v>12237.392107204121</v>
      </c>
      <c r="P288" s="132">
        <f t="shared" si="21"/>
        <v>88.228220944699942</v>
      </c>
      <c r="Q288" s="261">
        <v>9.4389727127114579E-3</v>
      </c>
      <c r="R288" s="92"/>
    </row>
    <row r="289" spans="1:18" x14ac:dyDescent="0.25">
      <c r="A289" s="353">
        <v>41842</v>
      </c>
      <c r="B289" s="353" t="s">
        <v>285</v>
      </c>
      <c r="C289" s="263" t="s">
        <v>450</v>
      </c>
      <c r="D289" s="157" t="s">
        <v>464</v>
      </c>
      <c r="E289" s="44">
        <f t="shared" si="20"/>
        <v>41842</v>
      </c>
      <c r="F289" s="146" t="str">
        <f t="shared" si="22"/>
        <v>2014-15</v>
      </c>
      <c r="G289" s="1"/>
      <c r="H289" s="161"/>
      <c r="I289" s="37"/>
      <c r="J289" s="135">
        <f t="shared" si="24"/>
        <v>0.76382508261777382</v>
      </c>
      <c r="K289" s="112"/>
      <c r="L289" s="37">
        <v>14.194161664299999</v>
      </c>
      <c r="M289" s="37" t="s">
        <v>288</v>
      </c>
      <c r="N289" s="37">
        <v>812.22926829268283</v>
      </c>
      <c r="O289" s="130">
        <f t="shared" si="23"/>
        <v>11528.913542622438</v>
      </c>
      <c r="P289" s="132">
        <f t="shared" si="21"/>
        <v>83.120285954719662</v>
      </c>
      <c r="Q289" s="261">
        <v>9.4389727127114579E-3</v>
      </c>
      <c r="R289" s="92"/>
    </row>
    <row r="290" spans="1:18" x14ac:dyDescent="0.25">
      <c r="A290" s="353">
        <v>41842</v>
      </c>
      <c r="B290" s="353" t="s">
        <v>285</v>
      </c>
      <c r="C290" s="263" t="s">
        <v>450</v>
      </c>
      <c r="D290" s="157" t="s">
        <v>464</v>
      </c>
      <c r="E290" s="44">
        <f t="shared" si="20"/>
        <v>41842</v>
      </c>
      <c r="F290" s="146" t="str">
        <f t="shared" si="22"/>
        <v>2014-15</v>
      </c>
      <c r="G290" s="1"/>
      <c r="H290" s="161"/>
      <c r="I290" s="37"/>
      <c r="J290" s="135">
        <f t="shared" si="24"/>
        <v>0.76382508261777382</v>
      </c>
      <c r="K290" s="112"/>
      <c r="L290" s="37">
        <v>59.4217206422</v>
      </c>
      <c r="M290" s="37" t="s">
        <v>288</v>
      </c>
      <c r="N290" s="37">
        <v>812.22926829268283</v>
      </c>
      <c r="O290" s="130">
        <f t="shared" si="23"/>
        <v>48264.060677906316</v>
      </c>
      <c r="P290" s="132">
        <f t="shared" si="21"/>
        <v>347.97056201802184</v>
      </c>
      <c r="Q290" s="261">
        <v>9.4389727127114579E-3</v>
      </c>
      <c r="R290" s="92"/>
    </row>
    <row r="291" spans="1:18" x14ac:dyDescent="0.25">
      <c r="A291" s="353">
        <v>41842</v>
      </c>
      <c r="B291" s="353" t="s">
        <v>285</v>
      </c>
      <c r="C291" s="263" t="s">
        <v>450</v>
      </c>
      <c r="D291" s="157" t="s">
        <v>464</v>
      </c>
      <c r="E291" s="44">
        <f t="shared" si="20"/>
        <v>41842</v>
      </c>
      <c r="F291" s="146" t="str">
        <f t="shared" si="22"/>
        <v>2014-15</v>
      </c>
      <c r="G291" s="1"/>
      <c r="H291" s="161"/>
      <c r="I291" s="37"/>
      <c r="J291" s="135">
        <f t="shared" si="24"/>
        <v>0.76382508261777382</v>
      </c>
      <c r="K291" s="112"/>
      <c r="L291" s="37">
        <v>28.3915432129</v>
      </c>
      <c r="M291" s="37" t="s">
        <v>288</v>
      </c>
      <c r="N291" s="37">
        <v>3336.4019512195118</v>
      </c>
      <c r="O291" s="130">
        <f t="shared" si="23"/>
        <v>94725.600173652652</v>
      </c>
      <c r="P291" s="132">
        <f t="shared" si="21"/>
        <v>682.94544360642919</v>
      </c>
      <c r="Q291" s="261">
        <v>9.4389727127114579E-3</v>
      </c>
      <c r="R291" s="92"/>
    </row>
    <row r="292" spans="1:18" x14ac:dyDescent="0.25">
      <c r="A292" s="353">
        <v>41842</v>
      </c>
      <c r="B292" s="353" t="s">
        <v>285</v>
      </c>
      <c r="C292" s="263" t="s">
        <v>450</v>
      </c>
      <c r="D292" s="157" t="s">
        <v>464</v>
      </c>
      <c r="E292" s="44">
        <f t="shared" si="20"/>
        <v>41842</v>
      </c>
      <c r="F292" s="146" t="str">
        <f t="shared" si="22"/>
        <v>2014-15</v>
      </c>
      <c r="G292" s="1"/>
      <c r="H292" s="161"/>
      <c r="I292" s="37"/>
      <c r="J292" s="135">
        <f t="shared" si="24"/>
        <v>0.76382508261777382</v>
      </c>
      <c r="K292" s="112"/>
      <c r="L292" s="37">
        <v>94.648933044299994</v>
      </c>
      <c r="M292" s="37" t="s">
        <v>288</v>
      </c>
      <c r="N292" s="37">
        <v>3336.4019512195118</v>
      </c>
      <c r="O292" s="130">
        <f t="shared" si="23"/>
        <v>315786.88488984742</v>
      </c>
      <c r="P292" s="132">
        <f t="shared" si="21"/>
        <v>2276.7363182796194</v>
      </c>
      <c r="Q292" s="261">
        <v>9.4389727127114579E-3</v>
      </c>
      <c r="R292" s="92"/>
    </row>
    <row r="293" spans="1:18" x14ac:dyDescent="0.25">
      <c r="A293" s="353">
        <v>41842</v>
      </c>
      <c r="B293" s="353" t="s">
        <v>285</v>
      </c>
      <c r="C293" s="263" t="s">
        <v>450</v>
      </c>
      <c r="D293" s="157" t="s">
        <v>464</v>
      </c>
      <c r="E293" s="44">
        <f t="shared" si="20"/>
        <v>41842</v>
      </c>
      <c r="F293" s="146" t="str">
        <f t="shared" si="22"/>
        <v>2014-15</v>
      </c>
      <c r="G293" s="1"/>
      <c r="H293" s="161"/>
      <c r="I293" s="37"/>
      <c r="J293" s="135">
        <f t="shared" si="24"/>
        <v>0.76382508261777382</v>
      </c>
      <c r="K293" s="112"/>
      <c r="L293" s="37">
        <v>39.925645173299998</v>
      </c>
      <c r="M293" s="37" t="s">
        <v>288</v>
      </c>
      <c r="N293" s="37">
        <v>3336.4019512195118</v>
      </c>
      <c r="O293" s="130">
        <f t="shared" si="23"/>
        <v>133208.00045989599</v>
      </c>
      <c r="P293" s="132">
        <f t="shared" si="21"/>
        <v>960.39293284217058</v>
      </c>
      <c r="Q293" s="261">
        <v>9.4389727127114579E-3</v>
      </c>
      <c r="R293" s="92"/>
    </row>
    <row r="294" spans="1:18" x14ac:dyDescent="0.25">
      <c r="A294" s="353">
        <v>41842</v>
      </c>
      <c r="B294" s="353" t="s">
        <v>285</v>
      </c>
      <c r="C294" s="263" t="s">
        <v>450</v>
      </c>
      <c r="D294" s="157" t="s">
        <v>464</v>
      </c>
      <c r="E294" s="44">
        <f t="shared" si="20"/>
        <v>41842</v>
      </c>
      <c r="F294" s="146" t="str">
        <f t="shared" si="22"/>
        <v>2014-15</v>
      </c>
      <c r="G294" s="1"/>
      <c r="H294" s="161"/>
      <c r="I294" s="37"/>
      <c r="J294" s="135">
        <f t="shared" si="24"/>
        <v>0.76382508261777382</v>
      </c>
      <c r="K294" s="112"/>
      <c r="L294" s="37">
        <v>27.238063626500001</v>
      </c>
      <c r="M294" s="37" t="s">
        <v>288</v>
      </c>
      <c r="N294" s="37">
        <v>812.22926829268283</v>
      </c>
      <c r="O294" s="130">
        <f t="shared" si="23"/>
        <v>22123.552489061636</v>
      </c>
      <c r="P294" s="132">
        <f t="shared" si="21"/>
        <v>159.50470982600169</v>
      </c>
      <c r="Q294" s="261">
        <v>9.4389727127114579E-3</v>
      </c>
      <c r="R294" s="92"/>
    </row>
    <row r="295" spans="1:18" x14ac:dyDescent="0.25">
      <c r="A295" s="353">
        <v>41842</v>
      </c>
      <c r="B295" s="353" t="s">
        <v>285</v>
      </c>
      <c r="C295" s="263" t="s">
        <v>450</v>
      </c>
      <c r="D295" s="157" t="s">
        <v>464</v>
      </c>
      <c r="E295" s="44">
        <f t="shared" si="20"/>
        <v>41842</v>
      </c>
      <c r="F295" s="146" t="str">
        <f t="shared" si="22"/>
        <v>2014-15</v>
      </c>
      <c r="G295" s="1"/>
      <c r="H295" s="161"/>
      <c r="I295" s="37"/>
      <c r="J295" s="135">
        <f t="shared" si="24"/>
        <v>0.76382508261777382</v>
      </c>
      <c r="K295" s="112"/>
      <c r="L295" s="37">
        <v>110.99751073199999</v>
      </c>
      <c r="M295" s="37" t="s">
        <v>288</v>
      </c>
      <c r="N295" s="37">
        <v>3336.4019512195118</v>
      </c>
      <c r="O295" s="130">
        <f t="shared" si="23"/>
        <v>370332.31138675351</v>
      </c>
      <c r="P295" s="132">
        <f t="shared" si="21"/>
        <v>2669.9937948998913</v>
      </c>
      <c r="Q295" s="261">
        <v>9.4389727127114579E-3</v>
      </c>
      <c r="R295" s="92"/>
    </row>
    <row r="296" spans="1:18" x14ac:dyDescent="0.25">
      <c r="A296" s="353">
        <v>41842</v>
      </c>
      <c r="B296" s="353" t="s">
        <v>285</v>
      </c>
      <c r="C296" s="263" t="s">
        <v>450</v>
      </c>
      <c r="D296" s="157" t="s">
        <v>464</v>
      </c>
      <c r="E296" s="44">
        <f t="shared" si="20"/>
        <v>41842</v>
      </c>
      <c r="F296" s="146" t="str">
        <f t="shared" si="22"/>
        <v>2014-15</v>
      </c>
      <c r="G296" s="1"/>
      <c r="H296" s="161"/>
      <c r="I296" s="37"/>
      <c r="J296" s="135">
        <f t="shared" si="24"/>
        <v>0.76382508261777382</v>
      </c>
      <c r="K296" s="112"/>
      <c r="L296" s="37">
        <v>19.894840793699998</v>
      </c>
      <c r="M296" s="37" t="s">
        <v>288</v>
      </c>
      <c r="N296" s="37">
        <v>812.22926829268283</v>
      </c>
      <c r="O296" s="130">
        <f t="shared" si="23"/>
        <v>16159.171980666368</v>
      </c>
      <c r="P296" s="132">
        <f t="shared" si="21"/>
        <v>116.50317186080309</v>
      </c>
      <c r="Q296" s="261">
        <v>9.4389727127114579E-3</v>
      </c>
      <c r="R296" s="92"/>
    </row>
    <row r="297" spans="1:18" x14ac:dyDescent="0.25">
      <c r="A297" s="353">
        <v>41842</v>
      </c>
      <c r="B297" s="353" t="s">
        <v>285</v>
      </c>
      <c r="C297" s="263" t="s">
        <v>450</v>
      </c>
      <c r="D297" s="157" t="s">
        <v>464</v>
      </c>
      <c r="E297" s="44">
        <f t="shared" si="20"/>
        <v>41842</v>
      </c>
      <c r="F297" s="146" t="str">
        <f t="shared" si="22"/>
        <v>2014-15</v>
      </c>
      <c r="G297" s="1"/>
      <c r="H297" s="161"/>
      <c r="I297" s="37"/>
      <c r="J297" s="135">
        <f t="shared" si="24"/>
        <v>0.76382508261777382</v>
      </c>
      <c r="K297" s="112"/>
      <c r="L297" s="37">
        <v>66.664112548999995</v>
      </c>
      <c r="M297" s="37" t="s">
        <v>288</v>
      </c>
      <c r="N297" s="37">
        <v>812.22926829268283</v>
      </c>
      <c r="O297" s="130">
        <f t="shared" si="23"/>
        <v>54146.543357055321</v>
      </c>
      <c r="P297" s="132">
        <f t="shared" si="21"/>
        <v>390.38163922897388</v>
      </c>
      <c r="Q297" s="261">
        <v>9.4389727127114579E-3</v>
      </c>
      <c r="R297" s="92"/>
    </row>
    <row r="298" spans="1:18" x14ac:dyDescent="0.25">
      <c r="A298" s="353">
        <v>41842</v>
      </c>
      <c r="B298" s="353" t="s">
        <v>285</v>
      </c>
      <c r="C298" s="263" t="s">
        <v>450</v>
      </c>
      <c r="D298" s="157" t="s">
        <v>464</v>
      </c>
      <c r="E298" s="44">
        <f t="shared" si="20"/>
        <v>41842</v>
      </c>
      <c r="F298" s="146" t="str">
        <f t="shared" si="22"/>
        <v>2014-15</v>
      </c>
      <c r="G298" s="1"/>
      <c r="H298" s="161"/>
      <c r="I298" s="37"/>
      <c r="J298" s="135">
        <f t="shared" si="24"/>
        <v>0.76382508261777382</v>
      </c>
      <c r="K298" s="112"/>
      <c r="L298" s="37">
        <v>70.392454515300003</v>
      </c>
      <c r="M298" s="37" t="s">
        <v>288</v>
      </c>
      <c r="N298" s="37">
        <v>812.22926829268283</v>
      </c>
      <c r="O298" s="130">
        <f t="shared" si="23"/>
        <v>57174.811824288081</v>
      </c>
      <c r="P298" s="132">
        <f t="shared" si="21"/>
        <v>412.21461941513564</v>
      </c>
      <c r="Q298" s="261">
        <v>9.4389727127114579E-3</v>
      </c>
      <c r="R298" s="92"/>
    </row>
    <row r="299" spans="1:18" x14ac:dyDescent="0.25">
      <c r="A299" s="353">
        <v>41842</v>
      </c>
      <c r="B299" s="353" t="s">
        <v>285</v>
      </c>
      <c r="C299" s="263" t="s">
        <v>450</v>
      </c>
      <c r="D299" s="157" t="s">
        <v>464</v>
      </c>
      <c r="E299" s="44">
        <f t="shared" si="20"/>
        <v>41842</v>
      </c>
      <c r="F299" s="146" t="str">
        <f t="shared" si="22"/>
        <v>2014-15</v>
      </c>
      <c r="G299" s="1"/>
      <c r="H299" s="161"/>
      <c r="I299" s="37"/>
      <c r="J299" s="135">
        <f t="shared" si="24"/>
        <v>0.76382508261777382</v>
      </c>
      <c r="K299" s="112"/>
      <c r="L299" s="37">
        <v>39.063000839200001</v>
      </c>
      <c r="M299" s="37" t="s">
        <v>288</v>
      </c>
      <c r="N299" s="37">
        <v>3336.4019512195118</v>
      </c>
      <c r="O299" s="130">
        <f t="shared" si="23"/>
        <v>130329.87222039631</v>
      </c>
      <c r="P299" s="132">
        <f t="shared" si="21"/>
        <v>939.64242227609429</v>
      </c>
      <c r="Q299" s="261">
        <v>9.4389727127114579E-3</v>
      </c>
      <c r="R299" s="92"/>
    </row>
    <row r="300" spans="1:18" x14ac:dyDescent="0.25">
      <c r="A300" s="353">
        <v>41842</v>
      </c>
      <c r="B300" s="353" t="s">
        <v>285</v>
      </c>
      <c r="C300" s="263" t="s">
        <v>450</v>
      </c>
      <c r="D300" s="157" t="s">
        <v>464</v>
      </c>
      <c r="E300" s="44">
        <f t="shared" si="20"/>
        <v>41842</v>
      </c>
      <c r="F300" s="146" t="str">
        <f t="shared" si="22"/>
        <v>2014-15</v>
      </c>
      <c r="G300" s="1"/>
      <c r="H300" s="161"/>
      <c r="I300" s="37"/>
      <c r="J300" s="135">
        <f t="shared" si="24"/>
        <v>0.76382508261777382</v>
      </c>
      <c r="K300" s="112"/>
      <c r="L300" s="37">
        <v>36.952927946700001</v>
      </c>
      <c r="M300" s="37" t="s">
        <v>288</v>
      </c>
      <c r="N300" s="37">
        <v>812.22926829268283</v>
      </c>
      <c r="O300" s="130">
        <f t="shared" si="23"/>
        <v>30014.249627420373</v>
      </c>
      <c r="P300" s="132">
        <f t="shared" si="21"/>
        <v>216.39445924581355</v>
      </c>
      <c r="Q300" s="261">
        <v>9.4389727127114579E-3</v>
      </c>
      <c r="R300" s="92"/>
    </row>
    <row r="301" spans="1:18" x14ac:dyDescent="0.25">
      <c r="A301" s="353">
        <v>41842</v>
      </c>
      <c r="B301" s="353" t="s">
        <v>285</v>
      </c>
      <c r="C301" s="263" t="s">
        <v>450</v>
      </c>
      <c r="D301" s="157" t="s">
        <v>464</v>
      </c>
      <c r="E301" s="44">
        <f t="shared" si="20"/>
        <v>41842</v>
      </c>
      <c r="F301" s="146" t="str">
        <f t="shared" si="22"/>
        <v>2014-15</v>
      </c>
      <c r="G301" s="1"/>
      <c r="H301" s="161"/>
      <c r="I301" s="37"/>
      <c r="J301" s="135">
        <f t="shared" si="24"/>
        <v>0.76382508261777382</v>
      </c>
      <c r="K301" s="112"/>
      <c r="L301" s="37">
        <v>6.49401016814</v>
      </c>
      <c r="M301" s="37" t="s">
        <v>288</v>
      </c>
      <c r="N301" s="37">
        <v>812.22926829268283</v>
      </c>
      <c r="O301" s="130">
        <f t="shared" si="23"/>
        <v>5274.6251271535948</v>
      </c>
      <c r="P301" s="132">
        <f t="shared" si="21"/>
        <v>38.028591961600284</v>
      </c>
      <c r="Q301" s="261">
        <v>9.4389727127114579E-3</v>
      </c>
      <c r="R301" s="92"/>
    </row>
    <row r="302" spans="1:18" x14ac:dyDescent="0.25">
      <c r="A302" s="353">
        <v>41842</v>
      </c>
      <c r="B302" s="353" t="s">
        <v>285</v>
      </c>
      <c r="C302" s="263" t="s">
        <v>450</v>
      </c>
      <c r="D302" s="157" t="s">
        <v>464</v>
      </c>
      <c r="E302" s="44">
        <f t="shared" si="20"/>
        <v>41842</v>
      </c>
      <c r="F302" s="146" t="str">
        <f t="shared" si="22"/>
        <v>2014-15</v>
      </c>
      <c r="G302" s="1"/>
      <c r="H302" s="161"/>
      <c r="I302" s="37"/>
      <c r="J302" s="135">
        <f t="shared" si="24"/>
        <v>0.76382508261777382</v>
      </c>
      <c r="K302" s="112"/>
      <c r="L302" s="37">
        <v>14.359812326</v>
      </c>
      <c r="M302" s="37" t="s">
        <v>288</v>
      </c>
      <c r="N302" s="37">
        <v>812.22926829268283</v>
      </c>
      <c r="O302" s="130">
        <f t="shared" si="23"/>
        <v>11663.459858367229</v>
      </c>
      <c r="P302" s="132">
        <f t="shared" si="21"/>
        <v>84.090327771540942</v>
      </c>
      <c r="Q302" s="261">
        <v>9.4389727127114579E-3</v>
      </c>
      <c r="R302" s="92"/>
    </row>
    <row r="303" spans="1:18" x14ac:dyDescent="0.25">
      <c r="A303" s="353">
        <v>41842</v>
      </c>
      <c r="B303" s="353" t="s">
        <v>285</v>
      </c>
      <c r="C303" s="263" t="s">
        <v>450</v>
      </c>
      <c r="D303" s="157" t="s">
        <v>464</v>
      </c>
      <c r="E303" s="44">
        <f t="shared" si="20"/>
        <v>41842</v>
      </c>
      <c r="F303" s="146" t="str">
        <f t="shared" si="22"/>
        <v>2014-15</v>
      </c>
      <c r="G303" s="1"/>
      <c r="H303" s="161"/>
      <c r="I303" s="37"/>
      <c r="J303" s="135">
        <f t="shared" si="24"/>
        <v>0.76382508261777382</v>
      </c>
      <c r="K303" s="112"/>
      <c r="L303" s="37">
        <v>14.031017069300001</v>
      </c>
      <c r="M303" s="37" t="s">
        <v>288</v>
      </c>
      <c r="N303" s="37">
        <v>812.22926829268283</v>
      </c>
      <c r="O303" s="130">
        <f t="shared" si="23"/>
        <v>11396.402727599683</v>
      </c>
      <c r="P303" s="132">
        <f t="shared" si="21"/>
        <v>82.164919536534256</v>
      </c>
      <c r="Q303" s="261">
        <v>9.4389727127114579E-3</v>
      </c>
      <c r="R303" s="92"/>
    </row>
    <row r="304" spans="1:18" x14ac:dyDescent="0.25">
      <c r="A304" s="353">
        <v>41842</v>
      </c>
      <c r="B304" s="353" t="s">
        <v>285</v>
      </c>
      <c r="C304" s="263" t="s">
        <v>450</v>
      </c>
      <c r="D304" s="157" t="s">
        <v>464</v>
      </c>
      <c r="E304" s="44">
        <f t="shared" si="20"/>
        <v>41842</v>
      </c>
      <c r="F304" s="146" t="str">
        <f t="shared" si="22"/>
        <v>2014-15</v>
      </c>
      <c r="G304" s="1"/>
      <c r="H304" s="161"/>
      <c r="I304" s="37"/>
      <c r="J304" s="135">
        <f t="shared" si="24"/>
        <v>0.76382508261777382</v>
      </c>
      <c r="K304" s="112"/>
      <c r="L304" s="37">
        <v>10.9260769263</v>
      </c>
      <c r="M304" s="37" t="s">
        <v>288</v>
      </c>
      <c r="N304" s="37">
        <v>812.22926829268283</v>
      </c>
      <c r="O304" s="130">
        <f t="shared" si="23"/>
        <v>8874.4794671582149</v>
      </c>
      <c r="P304" s="132">
        <f t="shared" si="21"/>
        <v>63.982548596828899</v>
      </c>
      <c r="Q304" s="261">
        <v>9.4389727127114579E-3</v>
      </c>
      <c r="R304" s="92"/>
    </row>
    <row r="305" spans="1:18" x14ac:dyDescent="0.25">
      <c r="A305" s="353">
        <v>41842</v>
      </c>
      <c r="B305" s="353" t="s">
        <v>285</v>
      </c>
      <c r="C305" s="263" t="s">
        <v>450</v>
      </c>
      <c r="D305" s="157" t="s">
        <v>464</v>
      </c>
      <c r="E305" s="44">
        <f t="shared" si="20"/>
        <v>41842</v>
      </c>
      <c r="F305" s="146" t="str">
        <f t="shared" si="22"/>
        <v>2014-15</v>
      </c>
      <c r="G305" s="1"/>
      <c r="H305" s="161"/>
      <c r="I305" s="37"/>
      <c r="J305" s="135">
        <f t="shared" si="24"/>
        <v>0.76382508261777382</v>
      </c>
      <c r="K305" s="112"/>
      <c r="L305" s="37">
        <v>63.914586548899997</v>
      </c>
      <c r="M305" s="37" t="s">
        <v>288</v>
      </c>
      <c r="N305" s="37">
        <v>812.22926829268283</v>
      </c>
      <c r="O305" s="130">
        <f t="shared" si="23"/>
        <v>51913.297865842396</v>
      </c>
      <c r="P305" s="132">
        <f t="shared" si="21"/>
        <v>374.28055536270682</v>
      </c>
      <c r="Q305" s="261">
        <v>9.4389727127114579E-3</v>
      </c>
      <c r="R305" s="92"/>
    </row>
    <row r="306" spans="1:18" x14ac:dyDescent="0.25">
      <c r="A306" s="353">
        <v>41842</v>
      </c>
      <c r="B306" s="353" t="s">
        <v>285</v>
      </c>
      <c r="C306" s="263" t="s">
        <v>450</v>
      </c>
      <c r="D306" s="157" t="s">
        <v>464</v>
      </c>
      <c r="E306" s="44">
        <f t="shared" si="20"/>
        <v>41842</v>
      </c>
      <c r="F306" s="146" t="str">
        <f t="shared" si="22"/>
        <v>2014-15</v>
      </c>
      <c r="G306" s="1"/>
      <c r="H306" s="161"/>
      <c r="I306" s="37"/>
      <c r="J306" s="135">
        <f t="shared" si="24"/>
        <v>0.76382508261777382</v>
      </c>
      <c r="K306" s="112"/>
      <c r="L306" s="37">
        <v>17.8238835786</v>
      </c>
      <c r="M306" s="37" t="s">
        <v>288</v>
      </c>
      <c r="N306" s="37">
        <v>3336.4019512195118</v>
      </c>
      <c r="O306" s="130">
        <f t="shared" si="23"/>
        <v>59467.639949950455</v>
      </c>
      <c r="P306" s="132">
        <f t="shared" si="21"/>
        <v>428.74527763765622</v>
      </c>
      <c r="Q306" s="261">
        <v>9.4389727127114579E-3</v>
      </c>
      <c r="R306" s="92"/>
    </row>
    <row r="307" spans="1:18" x14ac:dyDescent="0.25">
      <c r="A307" s="353">
        <v>41842</v>
      </c>
      <c r="B307" s="353" t="s">
        <v>285</v>
      </c>
      <c r="C307" s="263" t="s">
        <v>450</v>
      </c>
      <c r="D307" s="157" t="s">
        <v>464</v>
      </c>
      <c r="E307" s="44">
        <f t="shared" si="20"/>
        <v>41842</v>
      </c>
      <c r="F307" s="146" t="str">
        <f t="shared" si="22"/>
        <v>2014-15</v>
      </c>
      <c r="G307" s="1"/>
      <c r="H307" s="161"/>
      <c r="I307" s="37"/>
      <c r="J307" s="135">
        <f t="shared" si="24"/>
        <v>0.76382508261777382</v>
      </c>
      <c r="K307" s="112"/>
      <c r="L307" s="37">
        <v>6.1769960336700001</v>
      </c>
      <c r="M307" s="37" t="s">
        <v>288</v>
      </c>
      <c r="N307" s="37">
        <v>812.22926829268283</v>
      </c>
      <c r="O307" s="130">
        <f t="shared" si="23"/>
        <v>5017.1369686745884</v>
      </c>
      <c r="P307" s="132">
        <f t="shared" si="21"/>
        <v>36.172173376830429</v>
      </c>
      <c r="Q307" s="261">
        <v>9.4389727127114579E-3</v>
      </c>
      <c r="R307" s="92"/>
    </row>
    <row r="308" spans="1:18" x14ac:dyDescent="0.25">
      <c r="A308" s="353">
        <v>41842</v>
      </c>
      <c r="B308" s="353" t="s">
        <v>285</v>
      </c>
      <c r="C308" s="263" t="s">
        <v>450</v>
      </c>
      <c r="D308" s="157" t="s">
        <v>464</v>
      </c>
      <c r="E308" s="44">
        <f t="shared" si="20"/>
        <v>41842</v>
      </c>
      <c r="F308" s="146" t="str">
        <f t="shared" si="22"/>
        <v>2014-15</v>
      </c>
      <c r="G308" s="1"/>
      <c r="H308" s="161"/>
      <c r="I308" s="37"/>
      <c r="J308" s="135">
        <f t="shared" si="24"/>
        <v>0.76382508261777382</v>
      </c>
      <c r="K308" s="112"/>
      <c r="L308" s="37">
        <v>21.776104793999998</v>
      </c>
      <c r="M308" s="37" t="s">
        <v>288</v>
      </c>
      <c r="N308" s="37">
        <v>3336.4019512195118</v>
      </c>
      <c r="O308" s="130">
        <f t="shared" si="23"/>
        <v>72653.838524662162</v>
      </c>
      <c r="P308" s="132">
        <f t="shared" si="21"/>
        <v>523.81413144887506</v>
      </c>
      <c r="Q308" s="261">
        <v>9.4389727127114579E-3</v>
      </c>
      <c r="R308" s="92"/>
    </row>
    <row r="309" spans="1:18" x14ac:dyDescent="0.25">
      <c r="A309" s="353">
        <v>41842</v>
      </c>
      <c r="B309" s="353" t="s">
        <v>285</v>
      </c>
      <c r="C309" s="263" t="s">
        <v>450</v>
      </c>
      <c r="D309" s="157" t="s">
        <v>464</v>
      </c>
      <c r="E309" s="44">
        <f t="shared" si="20"/>
        <v>41842</v>
      </c>
      <c r="F309" s="146" t="str">
        <f t="shared" si="22"/>
        <v>2014-15</v>
      </c>
      <c r="G309" s="1"/>
      <c r="H309" s="161"/>
      <c r="I309" s="37"/>
      <c r="J309" s="135">
        <f t="shared" si="24"/>
        <v>0.76382508261777382</v>
      </c>
      <c r="K309" s="112"/>
      <c r="L309" s="37">
        <v>60.032308455399999</v>
      </c>
      <c r="M309" s="37" t="s">
        <v>288</v>
      </c>
      <c r="N309" s="37">
        <v>3336.4019512195118</v>
      </c>
      <c r="O309" s="130">
        <f t="shared" si="23"/>
        <v>200291.91106680816</v>
      </c>
      <c r="P309" s="132">
        <f t="shared" si="21"/>
        <v>1444.049420679708</v>
      </c>
      <c r="Q309" s="261">
        <v>9.4389727127114579E-3</v>
      </c>
      <c r="R309" s="92"/>
    </row>
    <row r="310" spans="1:18" x14ac:dyDescent="0.25">
      <c r="A310" s="353">
        <v>41842</v>
      </c>
      <c r="B310" s="353" t="s">
        <v>285</v>
      </c>
      <c r="C310" s="263" t="s">
        <v>450</v>
      </c>
      <c r="D310" s="157" t="s">
        <v>464</v>
      </c>
      <c r="E310" s="44">
        <f t="shared" si="20"/>
        <v>41842</v>
      </c>
      <c r="F310" s="146" t="str">
        <f t="shared" si="22"/>
        <v>2014-15</v>
      </c>
      <c r="G310" s="1"/>
      <c r="H310" s="161"/>
      <c r="I310" s="37"/>
      <c r="J310" s="135">
        <f t="shared" si="24"/>
        <v>0.76382508261777382</v>
      </c>
      <c r="K310" s="112"/>
      <c r="L310" s="37">
        <v>43.787071197899998</v>
      </c>
      <c r="M310" s="37" t="s">
        <v>288</v>
      </c>
      <c r="N310" s="37">
        <v>3336.4019512195118</v>
      </c>
      <c r="O310" s="130">
        <f t="shared" si="23"/>
        <v>146091.26978286123</v>
      </c>
      <c r="P310" s="132">
        <f t="shared" si="21"/>
        <v>1053.2777503228083</v>
      </c>
      <c r="Q310" s="261">
        <v>9.4389727127114579E-3</v>
      </c>
      <c r="R310" s="92"/>
    </row>
    <row r="311" spans="1:18" x14ac:dyDescent="0.25">
      <c r="A311" s="353">
        <v>41842</v>
      </c>
      <c r="B311" s="353" t="s">
        <v>285</v>
      </c>
      <c r="C311" s="263" t="s">
        <v>450</v>
      </c>
      <c r="D311" s="157" t="s">
        <v>464</v>
      </c>
      <c r="E311" s="44">
        <f t="shared" si="20"/>
        <v>41842</v>
      </c>
      <c r="F311" s="146" t="str">
        <f t="shared" si="22"/>
        <v>2014-15</v>
      </c>
      <c r="G311" s="1"/>
      <c r="H311" s="161"/>
      <c r="I311" s="37"/>
      <c r="J311" s="135">
        <f t="shared" si="24"/>
        <v>0.76382508261777382</v>
      </c>
      <c r="K311" s="112"/>
      <c r="L311" s="37">
        <v>50.794620952700001</v>
      </c>
      <c r="M311" s="37" t="s">
        <v>288</v>
      </c>
      <c r="N311" s="37">
        <v>3336.4019512195118</v>
      </c>
      <c r="O311" s="130">
        <f t="shared" si="23"/>
        <v>169471.27245804379</v>
      </c>
      <c r="P311" s="132">
        <f t="shared" si="21"/>
        <v>1221.8411193513559</v>
      </c>
      <c r="Q311" s="261">
        <v>9.4389727127114579E-3</v>
      </c>
      <c r="R311" s="92"/>
    </row>
    <row r="312" spans="1:18" x14ac:dyDescent="0.25">
      <c r="A312" s="353">
        <v>41842</v>
      </c>
      <c r="B312" s="353" t="s">
        <v>285</v>
      </c>
      <c r="C312" s="263" t="s">
        <v>450</v>
      </c>
      <c r="D312" s="157" t="s">
        <v>464</v>
      </c>
      <c r="E312" s="44">
        <f t="shared" si="20"/>
        <v>41842</v>
      </c>
      <c r="F312" s="146" t="str">
        <f t="shared" si="22"/>
        <v>2014-15</v>
      </c>
      <c r="G312" s="1"/>
      <c r="H312" s="161"/>
      <c r="I312" s="37"/>
      <c r="J312" s="135">
        <f t="shared" si="24"/>
        <v>0.76382508261777382</v>
      </c>
      <c r="K312" s="112"/>
      <c r="L312" s="37">
        <v>6.1488705466900004</v>
      </c>
      <c r="M312" s="37" t="s">
        <v>288</v>
      </c>
      <c r="N312" s="37">
        <v>812.22926829268283</v>
      </c>
      <c r="O312" s="130">
        <f t="shared" si="23"/>
        <v>4994.2926249644479</v>
      </c>
      <c r="P312" s="132">
        <f t="shared" si="21"/>
        <v>36.007471961158018</v>
      </c>
      <c r="Q312" s="261">
        <v>9.4389727127114579E-3</v>
      </c>
      <c r="R312" s="92"/>
    </row>
    <row r="313" spans="1:18" x14ac:dyDescent="0.25">
      <c r="A313" s="353">
        <v>41842</v>
      </c>
      <c r="B313" s="353" t="s">
        <v>285</v>
      </c>
      <c r="C313" s="263" t="s">
        <v>450</v>
      </c>
      <c r="D313" s="157" t="s">
        <v>464</v>
      </c>
      <c r="E313" s="44">
        <f t="shared" si="20"/>
        <v>41842</v>
      </c>
      <c r="F313" s="146" t="str">
        <f t="shared" si="22"/>
        <v>2014-15</v>
      </c>
      <c r="G313" s="1"/>
      <c r="H313" s="161"/>
      <c r="I313" s="37"/>
      <c r="J313" s="135">
        <f t="shared" si="24"/>
        <v>0.76382508261777382</v>
      </c>
      <c r="K313" s="112"/>
      <c r="L313" s="37">
        <v>17.514638247800001</v>
      </c>
      <c r="M313" s="37" t="s">
        <v>288</v>
      </c>
      <c r="N313" s="37">
        <v>3336.4019512195118</v>
      </c>
      <c r="O313" s="130">
        <f t="shared" si="23"/>
        <v>58435.873224863812</v>
      </c>
      <c r="P313" s="132">
        <f t="shared" si="21"/>
        <v>421.30652420172243</v>
      </c>
      <c r="Q313" s="261">
        <v>9.4389727127114579E-3</v>
      </c>
      <c r="R313" s="92"/>
    </row>
    <row r="314" spans="1:18" x14ac:dyDescent="0.25">
      <c r="A314" s="353">
        <v>41842</v>
      </c>
      <c r="B314" s="353" t="s">
        <v>285</v>
      </c>
      <c r="C314" s="263" t="s">
        <v>450</v>
      </c>
      <c r="D314" s="157" t="s">
        <v>464</v>
      </c>
      <c r="E314" s="44">
        <f t="shared" si="20"/>
        <v>41842</v>
      </c>
      <c r="F314" s="146" t="str">
        <f t="shared" si="22"/>
        <v>2014-15</v>
      </c>
      <c r="G314" s="1"/>
      <c r="H314" s="161"/>
      <c r="I314" s="37"/>
      <c r="J314" s="135">
        <f t="shared" si="24"/>
        <v>0.76382508261777382</v>
      </c>
      <c r="K314" s="112"/>
      <c r="L314" s="37">
        <v>6.8372524452399999</v>
      </c>
      <c r="M314" s="37" t="s">
        <v>288</v>
      </c>
      <c r="N314" s="37">
        <v>812.22926829268283</v>
      </c>
      <c r="O314" s="130">
        <f t="shared" si="23"/>
        <v>5553.4165507296411</v>
      </c>
      <c r="P314" s="132">
        <f t="shared" si="21"/>
        <v>40.038601210407023</v>
      </c>
      <c r="Q314" s="261">
        <v>9.4389727127114579E-3</v>
      </c>
      <c r="R314" s="92"/>
    </row>
    <row r="315" spans="1:18" x14ac:dyDescent="0.25">
      <c r="A315" s="353">
        <v>41842</v>
      </c>
      <c r="B315" s="353" t="s">
        <v>285</v>
      </c>
      <c r="C315" s="263" t="s">
        <v>450</v>
      </c>
      <c r="D315" s="157" t="s">
        <v>464</v>
      </c>
      <c r="E315" s="44">
        <f t="shared" si="20"/>
        <v>41842</v>
      </c>
      <c r="F315" s="146" t="str">
        <f t="shared" si="22"/>
        <v>2014-15</v>
      </c>
      <c r="G315" s="1"/>
      <c r="H315" s="161"/>
      <c r="I315" s="37"/>
      <c r="J315" s="135">
        <f t="shared" si="24"/>
        <v>0.76382508261777382</v>
      </c>
      <c r="K315" s="112"/>
      <c r="L315" s="37">
        <v>6.3886831193900004</v>
      </c>
      <c r="M315" s="37" t="s">
        <v>288</v>
      </c>
      <c r="N315" s="37">
        <v>812.22926829268283</v>
      </c>
      <c r="O315" s="130">
        <f t="shared" si="23"/>
        <v>5189.0754154159549</v>
      </c>
      <c r="P315" s="132">
        <f t="shared" si="21"/>
        <v>37.411802142101045</v>
      </c>
      <c r="Q315" s="261">
        <v>9.4389727127114579E-3</v>
      </c>
      <c r="R315" s="92"/>
    </row>
    <row r="316" spans="1:18" x14ac:dyDescent="0.25">
      <c r="A316" s="353">
        <v>41842</v>
      </c>
      <c r="B316" s="353" t="s">
        <v>285</v>
      </c>
      <c r="C316" s="263" t="s">
        <v>450</v>
      </c>
      <c r="D316" s="157" t="s">
        <v>464</v>
      </c>
      <c r="E316" s="44">
        <f t="shared" si="20"/>
        <v>41842</v>
      </c>
      <c r="F316" s="146" t="str">
        <f t="shared" si="22"/>
        <v>2014-15</v>
      </c>
      <c r="G316" s="1"/>
      <c r="H316" s="161"/>
      <c r="I316" s="37"/>
      <c r="J316" s="135">
        <f t="shared" si="24"/>
        <v>0.76382508261777382</v>
      </c>
      <c r="K316" s="112"/>
      <c r="L316" s="37">
        <v>86.412578308899995</v>
      </c>
      <c r="M316" s="37" t="s">
        <v>288</v>
      </c>
      <c r="N316" s="37">
        <v>950.87219512195099</v>
      </c>
      <c r="O316" s="130">
        <f t="shared" si="23"/>
        <v>82167.318022731226</v>
      </c>
      <c r="P316" s="132">
        <f t="shared" si="21"/>
        <v>592.40369397620339</v>
      </c>
      <c r="Q316" s="261">
        <v>9.4389727127114579E-3</v>
      </c>
      <c r="R316" s="92"/>
    </row>
    <row r="317" spans="1:18" x14ac:dyDescent="0.25">
      <c r="A317" s="353">
        <v>41842</v>
      </c>
      <c r="B317" s="353" t="s">
        <v>285</v>
      </c>
      <c r="C317" s="263" t="s">
        <v>450</v>
      </c>
      <c r="D317" s="157" t="s">
        <v>464</v>
      </c>
      <c r="E317" s="44">
        <f t="shared" si="20"/>
        <v>41842</v>
      </c>
      <c r="F317" s="146" t="str">
        <f t="shared" si="22"/>
        <v>2014-15</v>
      </c>
      <c r="G317" s="1"/>
      <c r="H317" s="161"/>
      <c r="I317" s="37"/>
      <c r="J317" s="135">
        <f t="shared" si="24"/>
        <v>0.76382508261777382</v>
      </c>
      <c r="K317" s="112"/>
      <c r="L317" s="37">
        <v>22.172210601</v>
      </c>
      <c r="M317" s="37" t="s">
        <v>288</v>
      </c>
      <c r="N317" s="37">
        <v>3336.4019512195118</v>
      </c>
      <c r="O317" s="130">
        <f t="shared" si="23"/>
        <v>73975.40671202635</v>
      </c>
      <c r="P317" s="132">
        <f t="shared" si="21"/>
        <v>533.34227347511717</v>
      </c>
      <c r="Q317" s="261">
        <v>9.4389727127114579E-3</v>
      </c>
      <c r="R317" s="92"/>
    </row>
    <row r="318" spans="1:18" x14ac:dyDescent="0.25">
      <c r="A318" s="353">
        <v>41842</v>
      </c>
      <c r="B318" s="353" t="s">
        <v>285</v>
      </c>
      <c r="C318" s="263" t="s">
        <v>450</v>
      </c>
      <c r="D318" s="157" t="s">
        <v>464</v>
      </c>
      <c r="E318" s="44">
        <f t="shared" si="20"/>
        <v>41842</v>
      </c>
      <c r="F318" s="146" t="str">
        <f t="shared" si="22"/>
        <v>2014-15</v>
      </c>
      <c r="G318" s="1"/>
      <c r="H318" s="161"/>
      <c r="I318" s="37"/>
      <c r="J318" s="135">
        <f t="shared" si="24"/>
        <v>0.76382508261777382</v>
      </c>
      <c r="K318" s="112"/>
      <c r="L318" s="37">
        <v>26.067326488999999</v>
      </c>
      <c r="M318" s="37" t="s">
        <v>288</v>
      </c>
      <c r="N318" s="37">
        <v>812.22926829268283</v>
      </c>
      <c r="O318" s="130">
        <f t="shared" si="23"/>
        <v>21172.64552050694</v>
      </c>
      <c r="P318" s="132">
        <f t="shared" si="21"/>
        <v>152.64893292643589</v>
      </c>
      <c r="Q318" s="261">
        <v>9.4389727127114579E-3</v>
      </c>
      <c r="R318" s="92"/>
    </row>
    <row r="319" spans="1:18" x14ac:dyDescent="0.25">
      <c r="A319" s="353">
        <v>42352</v>
      </c>
      <c r="B319" s="353" t="s">
        <v>285</v>
      </c>
      <c r="C319" s="263" t="s">
        <v>440</v>
      </c>
      <c r="D319" s="157" t="s">
        <v>465</v>
      </c>
      <c r="E319" s="44">
        <f t="shared" si="20"/>
        <v>42352</v>
      </c>
      <c r="F319" s="146" t="str">
        <f t="shared" si="22"/>
        <v>2015-16</v>
      </c>
      <c r="G319" s="1"/>
      <c r="H319" s="161"/>
      <c r="I319" s="37"/>
      <c r="J319" s="135">
        <f t="shared" si="24"/>
        <v>0.76382508261777382</v>
      </c>
      <c r="K319" s="112"/>
      <c r="L319" s="37">
        <v>239.26368705900001</v>
      </c>
      <c r="M319" s="37" t="s">
        <v>288</v>
      </c>
      <c r="N319" s="37">
        <v>4416.6341463414628</v>
      </c>
      <c r="O319" s="130">
        <f t="shared" si="23"/>
        <v>1056740.1702443373</v>
      </c>
      <c r="P319" s="132">
        <f t="shared" si="21"/>
        <v>807164.64784240129</v>
      </c>
      <c r="Q319" s="261">
        <v>1</v>
      </c>
      <c r="R319" s="92"/>
    </row>
    <row r="320" spans="1:18" x14ac:dyDescent="0.25">
      <c r="A320" s="353">
        <v>42352</v>
      </c>
      <c r="B320" s="353" t="s">
        <v>285</v>
      </c>
      <c r="C320" s="263" t="s">
        <v>440</v>
      </c>
      <c r="D320" s="157" t="s">
        <v>465</v>
      </c>
      <c r="E320" s="44">
        <f t="shared" si="20"/>
        <v>42352</v>
      </c>
      <c r="F320" s="146" t="str">
        <f t="shared" si="22"/>
        <v>2015-16</v>
      </c>
      <c r="G320" s="1"/>
      <c r="H320" s="161"/>
      <c r="I320" s="37"/>
      <c r="J320" s="135">
        <f t="shared" si="24"/>
        <v>0.76382508261777382</v>
      </c>
      <c r="K320" s="112"/>
      <c r="L320" s="37">
        <v>141.13394656299999</v>
      </c>
      <c r="M320" s="37" t="s">
        <v>288</v>
      </c>
      <c r="N320" s="37">
        <v>4416.6341463414628</v>
      </c>
      <c r="O320" s="130">
        <f t="shared" si="23"/>
        <v>623337.00759807706</v>
      </c>
      <c r="P320" s="132">
        <f t="shared" si="21"/>
        <v>476120.44132731709</v>
      </c>
      <c r="Q320" s="261">
        <v>1</v>
      </c>
      <c r="R320" s="92"/>
    </row>
    <row r="321" spans="1:18" x14ac:dyDescent="0.25">
      <c r="A321" s="353">
        <v>42352</v>
      </c>
      <c r="B321" s="353" t="s">
        <v>285</v>
      </c>
      <c r="C321" s="263" t="s">
        <v>440</v>
      </c>
      <c r="D321" s="157" t="s">
        <v>465</v>
      </c>
      <c r="E321" s="44">
        <f t="shared" si="20"/>
        <v>42352</v>
      </c>
      <c r="F321" s="146" t="str">
        <f t="shared" si="22"/>
        <v>2015-16</v>
      </c>
      <c r="G321" s="1"/>
      <c r="H321" s="161"/>
      <c r="I321" s="37"/>
      <c r="J321" s="135">
        <f t="shared" si="24"/>
        <v>0.76382508261777382</v>
      </c>
      <c r="K321" s="112"/>
      <c r="L321" s="37">
        <v>6.6626439946899998</v>
      </c>
      <c r="M321" s="37" t="s">
        <v>288</v>
      </c>
      <c r="N321" s="37">
        <v>1680.8751219512192</v>
      </c>
      <c r="O321" s="130">
        <f t="shared" si="23"/>
        <v>11199.072537092112</v>
      </c>
      <c r="P321" s="132">
        <f t="shared" si="21"/>
        <v>8554.1325058868242</v>
      </c>
      <c r="Q321" s="261">
        <v>1</v>
      </c>
      <c r="R321" s="92"/>
    </row>
    <row r="322" spans="1:18" x14ac:dyDescent="0.25">
      <c r="A322" s="353">
        <v>42352</v>
      </c>
      <c r="B322" s="353" t="s">
        <v>285</v>
      </c>
      <c r="C322" s="263" t="s">
        <v>440</v>
      </c>
      <c r="D322" s="157" t="s">
        <v>465</v>
      </c>
      <c r="E322" s="44">
        <f t="shared" si="20"/>
        <v>42352</v>
      </c>
      <c r="F322" s="146" t="str">
        <f t="shared" si="22"/>
        <v>2015-16</v>
      </c>
      <c r="G322" s="1"/>
      <c r="H322" s="161"/>
      <c r="I322" s="37"/>
      <c r="J322" s="135">
        <f t="shared" si="24"/>
        <v>0.76382508261777382</v>
      </c>
      <c r="K322" s="112"/>
      <c r="L322" s="37">
        <v>194.32016328200001</v>
      </c>
      <c r="M322" s="37" t="s">
        <v>288</v>
      </c>
      <c r="N322" s="37">
        <v>4416.6341463414628</v>
      </c>
      <c r="O322" s="130">
        <f t="shared" si="23"/>
        <v>858241.06847392977</v>
      </c>
      <c r="P322" s="132">
        <f t="shared" si="21"/>
        <v>655546.05503306584</v>
      </c>
      <c r="Q322" s="261">
        <v>1</v>
      </c>
      <c r="R322" s="92"/>
    </row>
    <row r="323" spans="1:18" x14ac:dyDescent="0.25">
      <c r="A323" s="353">
        <v>42352</v>
      </c>
      <c r="B323" s="353" t="s">
        <v>285</v>
      </c>
      <c r="C323" s="263" t="s">
        <v>440</v>
      </c>
      <c r="D323" s="157" t="s">
        <v>465</v>
      </c>
      <c r="E323" s="44">
        <f t="shared" si="20"/>
        <v>42352</v>
      </c>
      <c r="F323" s="146" t="str">
        <f t="shared" si="22"/>
        <v>2015-16</v>
      </c>
      <c r="G323" s="1"/>
      <c r="H323" s="161"/>
      <c r="I323" s="37"/>
      <c r="J323" s="135">
        <f t="shared" si="24"/>
        <v>0.76382508261777382</v>
      </c>
      <c r="K323" s="112"/>
      <c r="L323" s="37">
        <v>179.90362042500001</v>
      </c>
      <c r="M323" s="37" t="s">
        <v>288</v>
      </c>
      <c r="N323" s="37">
        <v>1680.8751219512192</v>
      </c>
      <c r="O323" s="130">
        <f t="shared" si="23"/>
        <v>302395.51992133772</v>
      </c>
      <c r="P323" s="132">
        <f t="shared" si="21"/>
        <v>230977.28298716046</v>
      </c>
      <c r="Q323" s="261">
        <v>1</v>
      </c>
      <c r="R323" s="92"/>
    </row>
    <row r="324" spans="1:18" x14ac:dyDescent="0.25">
      <c r="A324" s="353">
        <v>42352</v>
      </c>
      <c r="B324" s="353" t="s">
        <v>285</v>
      </c>
      <c r="C324" s="263" t="s">
        <v>440</v>
      </c>
      <c r="D324" s="157" t="s">
        <v>465</v>
      </c>
      <c r="E324" s="44">
        <f t="shared" si="20"/>
        <v>42352</v>
      </c>
      <c r="F324" s="146" t="str">
        <f t="shared" si="22"/>
        <v>2015-16</v>
      </c>
      <c r="G324" s="1"/>
      <c r="H324" s="161"/>
      <c r="I324" s="37"/>
      <c r="J324" s="135">
        <f t="shared" si="24"/>
        <v>0.76382508261777382</v>
      </c>
      <c r="K324" s="112"/>
      <c r="L324" s="37">
        <v>179.902641351</v>
      </c>
      <c r="M324" s="37" t="s">
        <v>288</v>
      </c>
      <c r="N324" s="37">
        <v>1680.8751219512192</v>
      </c>
      <c r="O324" s="130">
        <f t="shared" si="23"/>
        <v>302393.87422020856</v>
      </c>
      <c r="P324" s="132">
        <f t="shared" si="21"/>
        <v>230976.02595935951</v>
      </c>
      <c r="Q324" s="261">
        <v>1</v>
      </c>
      <c r="R324" s="92"/>
    </row>
    <row r="325" spans="1:18" x14ac:dyDescent="0.25">
      <c r="A325" s="353">
        <v>42352</v>
      </c>
      <c r="B325" s="353" t="s">
        <v>285</v>
      </c>
      <c r="C325" s="263" t="s">
        <v>440</v>
      </c>
      <c r="D325" s="157" t="s">
        <v>465</v>
      </c>
      <c r="E325" s="44">
        <f t="shared" si="20"/>
        <v>42352</v>
      </c>
      <c r="F325" s="146" t="str">
        <f t="shared" si="22"/>
        <v>2015-16</v>
      </c>
      <c r="G325" s="1"/>
      <c r="H325" s="161"/>
      <c r="I325" s="37"/>
      <c r="J325" s="135">
        <f t="shared" si="24"/>
        <v>0.76382508261777382</v>
      </c>
      <c r="K325" s="112"/>
      <c r="L325" s="37">
        <v>124.608194149</v>
      </c>
      <c r="M325" s="37" t="s">
        <v>288</v>
      </c>
      <c r="N325" s="37">
        <v>1680.8751219512192</v>
      </c>
      <c r="O325" s="130">
        <f t="shared" si="23"/>
        <v>209450.81353632157</v>
      </c>
      <c r="P325" s="132">
        <f t="shared" si="21"/>
        <v>159983.78495374077</v>
      </c>
      <c r="Q325" s="261">
        <v>1</v>
      </c>
      <c r="R325" s="92"/>
    </row>
    <row r="326" spans="1:18" x14ac:dyDescent="0.25">
      <c r="A326" s="353">
        <v>42352</v>
      </c>
      <c r="B326" s="353" t="s">
        <v>285</v>
      </c>
      <c r="C326" s="263" t="s">
        <v>440</v>
      </c>
      <c r="D326" s="157" t="s">
        <v>465</v>
      </c>
      <c r="E326" s="44">
        <f t="shared" si="20"/>
        <v>42352</v>
      </c>
      <c r="F326" s="146" t="str">
        <f t="shared" si="22"/>
        <v>2015-16</v>
      </c>
      <c r="G326" s="1"/>
      <c r="H326" s="161"/>
      <c r="I326" s="37"/>
      <c r="J326" s="135">
        <f t="shared" si="24"/>
        <v>0.76382508261777382</v>
      </c>
      <c r="K326" s="112"/>
      <c r="L326" s="37">
        <v>100.467837665</v>
      </c>
      <c r="M326" s="37" t="s">
        <v>288</v>
      </c>
      <c r="N326" s="37">
        <v>1680.8751219512192</v>
      </c>
      <c r="O326" s="130">
        <f t="shared" si="23"/>
        <v>168873.88888733217</v>
      </c>
      <c r="P326" s="132">
        <f t="shared" si="21"/>
        <v>128990.11213135126</v>
      </c>
      <c r="Q326" s="261">
        <v>1</v>
      </c>
      <c r="R326" s="92"/>
    </row>
    <row r="327" spans="1:18" x14ac:dyDescent="0.25">
      <c r="A327" s="353">
        <v>41103</v>
      </c>
      <c r="B327" s="353" t="s">
        <v>285</v>
      </c>
      <c r="C327" s="263" t="s">
        <v>451</v>
      </c>
      <c r="D327" s="157" t="s">
        <v>464</v>
      </c>
      <c r="E327" s="44">
        <f t="shared" si="20"/>
        <v>41103</v>
      </c>
      <c r="F327" s="146" t="str">
        <f t="shared" si="22"/>
        <v>2012-13</v>
      </c>
      <c r="G327" s="1"/>
      <c r="H327" s="161"/>
      <c r="I327" s="37"/>
      <c r="J327" s="135">
        <f t="shared" si="24"/>
        <v>0.76382508261777382</v>
      </c>
      <c r="K327" s="112"/>
      <c r="L327" s="37">
        <v>13.072238598</v>
      </c>
      <c r="M327" s="37" t="s">
        <v>288</v>
      </c>
      <c r="N327" s="37">
        <v>950.87219512195099</v>
      </c>
      <c r="O327" s="130">
        <f t="shared" si="23"/>
        <v>12430.028210838156</v>
      </c>
      <c r="P327" s="132">
        <f t="shared" si="21"/>
        <v>1091.9223950851506</v>
      </c>
      <c r="Q327" s="261">
        <v>0.11500738887574143</v>
      </c>
      <c r="R327" s="92"/>
    </row>
    <row r="328" spans="1:18" x14ac:dyDescent="0.25">
      <c r="A328" s="353">
        <v>41103</v>
      </c>
      <c r="B328" s="353" t="s">
        <v>285</v>
      </c>
      <c r="C328" s="263" t="s">
        <v>451</v>
      </c>
      <c r="D328" s="157" t="s">
        <v>464</v>
      </c>
      <c r="E328" s="44">
        <f t="shared" si="20"/>
        <v>41103</v>
      </c>
      <c r="F328" s="146" t="str">
        <f t="shared" si="22"/>
        <v>2012-13</v>
      </c>
      <c r="G328" s="1"/>
      <c r="H328" s="161"/>
      <c r="I328" s="37"/>
      <c r="J328" s="135">
        <f t="shared" si="24"/>
        <v>0.76382508261777382</v>
      </c>
      <c r="K328" s="112"/>
      <c r="L328" s="37">
        <v>40.286816854599998</v>
      </c>
      <c r="M328" s="37" t="s">
        <v>288</v>
      </c>
      <c r="N328" s="37">
        <v>950.87219512195099</v>
      </c>
      <c r="O328" s="130">
        <f t="shared" si="23"/>
        <v>38307.613977009511</v>
      </c>
      <c r="P328" s="132">
        <f t="shared" si="21"/>
        <v>3365.1525880932086</v>
      </c>
      <c r="Q328" s="261">
        <v>0.11500738887574143</v>
      </c>
      <c r="R328" s="92"/>
    </row>
    <row r="329" spans="1:18" x14ac:dyDescent="0.25">
      <c r="A329" s="353">
        <v>41103</v>
      </c>
      <c r="B329" s="353" t="s">
        <v>285</v>
      </c>
      <c r="C329" s="263" t="s">
        <v>451</v>
      </c>
      <c r="D329" s="157" t="s">
        <v>464</v>
      </c>
      <c r="E329" s="44">
        <f t="shared" si="20"/>
        <v>41103</v>
      </c>
      <c r="F329" s="146" t="str">
        <f t="shared" si="22"/>
        <v>2012-13</v>
      </c>
      <c r="G329" s="1"/>
      <c r="H329" s="161"/>
      <c r="I329" s="37"/>
      <c r="J329" s="135">
        <f t="shared" si="24"/>
        <v>0.76382508261777382</v>
      </c>
      <c r="K329" s="112"/>
      <c r="L329" s="37">
        <v>21.4769371119</v>
      </c>
      <c r="M329" s="37" t="s">
        <v>288</v>
      </c>
      <c r="N329" s="37">
        <v>950.87219512195099</v>
      </c>
      <c r="O329" s="130">
        <f t="shared" si="23"/>
        <v>20421.822336088448</v>
      </c>
      <c r="P329" s="132">
        <f t="shared" si="21"/>
        <v>1793.9657721598608</v>
      </c>
      <c r="Q329" s="261">
        <v>0.11500738887574143</v>
      </c>
      <c r="R329" s="92"/>
    </row>
    <row r="330" spans="1:18" x14ac:dyDescent="0.25">
      <c r="A330" s="353">
        <v>41103</v>
      </c>
      <c r="B330" s="353" t="s">
        <v>285</v>
      </c>
      <c r="C330" s="263" t="s">
        <v>451</v>
      </c>
      <c r="D330" s="157" t="s">
        <v>464</v>
      </c>
      <c r="E330" s="44">
        <f t="shared" si="20"/>
        <v>41103</v>
      </c>
      <c r="F330" s="146" t="str">
        <f t="shared" si="22"/>
        <v>2012-13</v>
      </c>
      <c r="G330" s="1"/>
      <c r="H330" s="161"/>
      <c r="I330" s="37"/>
      <c r="J330" s="135">
        <f t="shared" si="24"/>
        <v>0.76382508261777382</v>
      </c>
      <c r="K330" s="112"/>
      <c r="L330" s="37">
        <v>31.555974495800001</v>
      </c>
      <c r="M330" s="37" t="s">
        <v>288</v>
      </c>
      <c r="N330" s="37">
        <v>950.87219512195099</v>
      </c>
      <c r="O330" s="130">
        <f t="shared" si="23"/>
        <v>30005.698738033647</v>
      </c>
      <c r="P330" s="132">
        <f t="shared" si="21"/>
        <v>2635.8664579432934</v>
      </c>
      <c r="Q330" s="261">
        <v>0.11500738887574143</v>
      </c>
      <c r="R330" s="92"/>
    </row>
    <row r="331" spans="1:18" x14ac:dyDescent="0.25">
      <c r="A331" s="353">
        <v>41103</v>
      </c>
      <c r="B331" s="353" t="s">
        <v>285</v>
      </c>
      <c r="C331" s="263" t="s">
        <v>451</v>
      </c>
      <c r="D331" s="157" t="s">
        <v>464</v>
      </c>
      <c r="E331" s="44">
        <f t="shared" si="20"/>
        <v>41103</v>
      </c>
      <c r="F331" s="146" t="str">
        <f t="shared" si="22"/>
        <v>2012-13</v>
      </c>
      <c r="G331" s="1"/>
      <c r="H331" s="161"/>
      <c r="I331" s="37"/>
      <c r="J331" s="135">
        <f t="shared" si="24"/>
        <v>0.76382508261777382</v>
      </c>
      <c r="K331" s="112"/>
      <c r="L331" s="37">
        <v>6.27704524438</v>
      </c>
      <c r="M331" s="37" t="s">
        <v>288</v>
      </c>
      <c r="N331" s="37">
        <v>950.87219512195099</v>
      </c>
      <c r="O331" s="130">
        <f t="shared" si="23"/>
        <v>5968.6677904034141</v>
      </c>
      <c r="P331" s="132">
        <f t="shared" si="21"/>
        <v>524.32077535288454</v>
      </c>
      <c r="Q331" s="261">
        <v>0.11500738887574143</v>
      </c>
      <c r="R331" s="92"/>
    </row>
    <row r="332" spans="1:18" x14ac:dyDescent="0.25">
      <c r="A332" s="353">
        <v>41103</v>
      </c>
      <c r="B332" s="353" t="s">
        <v>285</v>
      </c>
      <c r="C332" s="263" t="s">
        <v>451</v>
      </c>
      <c r="D332" s="157" t="s">
        <v>464</v>
      </c>
      <c r="E332" s="44">
        <f t="shared" si="20"/>
        <v>41103</v>
      </c>
      <c r="F332" s="146" t="str">
        <f t="shared" si="22"/>
        <v>2012-13</v>
      </c>
      <c r="G332" s="1"/>
      <c r="H332" s="161"/>
      <c r="I332" s="37"/>
      <c r="J332" s="135">
        <f t="shared" si="24"/>
        <v>0.76382508261777382</v>
      </c>
      <c r="K332" s="112"/>
      <c r="L332" s="37">
        <v>34.544571933999997</v>
      </c>
      <c r="M332" s="37" t="s">
        <v>288</v>
      </c>
      <c r="N332" s="37">
        <v>950.87219512195099</v>
      </c>
      <c r="O332" s="130">
        <f t="shared" si="23"/>
        <v>32847.472944430716</v>
      </c>
      <c r="P332" s="132">
        <f t="shared" si="21"/>
        <v>2885.5036144410305</v>
      </c>
      <c r="Q332" s="261">
        <v>0.11500738887574143</v>
      </c>
      <c r="R332" s="92"/>
    </row>
    <row r="333" spans="1:18" x14ac:dyDescent="0.25">
      <c r="A333" s="353">
        <v>41103</v>
      </c>
      <c r="B333" s="353" t="s">
        <v>285</v>
      </c>
      <c r="C333" s="263" t="s">
        <v>451</v>
      </c>
      <c r="D333" s="157" t="s">
        <v>464</v>
      </c>
      <c r="E333" s="44">
        <f t="shared" si="20"/>
        <v>41103</v>
      </c>
      <c r="F333" s="146" t="str">
        <f t="shared" si="22"/>
        <v>2012-13</v>
      </c>
      <c r="G333" s="1"/>
      <c r="H333" s="161"/>
      <c r="I333" s="37"/>
      <c r="J333" s="135">
        <f t="shared" si="24"/>
        <v>0.76382508261777382</v>
      </c>
      <c r="K333" s="112"/>
      <c r="L333" s="37">
        <v>13.4463603204</v>
      </c>
      <c r="M333" s="37" t="s">
        <v>288</v>
      </c>
      <c r="N333" s="37">
        <v>950.87219512195099</v>
      </c>
      <c r="O333" s="130">
        <f t="shared" si="23"/>
        <v>12785.770154259448</v>
      </c>
      <c r="P333" s="132">
        <f t="shared" si="21"/>
        <v>1123.1727340469017</v>
      </c>
      <c r="Q333" s="261">
        <v>0.11500738887574143</v>
      </c>
      <c r="R333" s="92"/>
    </row>
    <row r="334" spans="1:18" x14ac:dyDescent="0.25">
      <c r="A334" s="353">
        <v>41103</v>
      </c>
      <c r="B334" s="353" t="s">
        <v>285</v>
      </c>
      <c r="C334" s="263" t="s">
        <v>451</v>
      </c>
      <c r="D334" s="157" t="s">
        <v>464</v>
      </c>
      <c r="E334" s="44">
        <f t="shared" si="20"/>
        <v>41103</v>
      </c>
      <c r="F334" s="146" t="str">
        <f t="shared" si="22"/>
        <v>2012-13</v>
      </c>
      <c r="G334" s="1"/>
      <c r="H334" s="161"/>
      <c r="I334" s="37"/>
      <c r="J334" s="135">
        <f t="shared" si="24"/>
        <v>0.76382508261777382</v>
      </c>
      <c r="K334" s="112"/>
      <c r="L334" s="37">
        <v>38.3252515565</v>
      </c>
      <c r="M334" s="37" t="s">
        <v>288</v>
      </c>
      <c r="N334" s="37">
        <v>950.87219512195099</v>
      </c>
      <c r="O334" s="130">
        <f t="shared" si="23"/>
        <v>36442.416076130125</v>
      </c>
      <c r="P334" s="132">
        <f t="shared" si="21"/>
        <v>3201.303293088376</v>
      </c>
      <c r="Q334" s="261">
        <v>0.11500738887574143</v>
      </c>
      <c r="R334" s="92"/>
    </row>
    <row r="335" spans="1:18" x14ac:dyDescent="0.25">
      <c r="A335" s="353">
        <v>41103</v>
      </c>
      <c r="B335" s="353" t="s">
        <v>285</v>
      </c>
      <c r="C335" s="263" t="s">
        <v>451</v>
      </c>
      <c r="D335" s="157" t="s">
        <v>464</v>
      </c>
      <c r="E335" s="44">
        <f t="shared" si="20"/>
        <v>41103</v>
      </c>
      <c r="F335" s="146" t="str">
        <f t="shared" si="22"/>
        <v>2012-13</v>
      </c>
      <c r="G335" s="1"/>
      <c r="H335" s="161"/>
      <c r="I335" s="37"/>
      <c r="J335" s="135">
        <f t="shared" si="24"/>
        <v>0.76382508261777382</v>
      </c>
      <c r="K335" s="112"/>
      <c r="L335" s="37">
        <v>47.847563852199997</v>
      </c>
      <c r="M335" s="37" t="s">
        <v>288</v>
      </c>
      <c r="N335" s="37">
        <v>950.87219512195099</v>
      </c>
      <c r="O335" s="130">
        <f t="shared" si="23"/>
        <v>45496.918071379121</v>
      </c>
      <c r="P335" s="132">
        <f t="shared" si="21"/>
        <v>3996.700804441964</v>
      </c>
      <c r="Q335" s="261">
        <v>0.11500738887574143</v>
      </c>
      <c r="R335" s="92"/>
    </row>
    <row r="336" spans="1:18" x14ac:dyDescent="0.25">
      <c r="A336" s="353">
        <v>41103</v>
      </c>
      <c r="B336" s="353" t="s">
        <v>285</v>
      </c>
      <c r="C336" s="263" t="s">
        <v>451</v>
      </c>
      <c r="D336" s="157" t="s">
        <v>464</v>
      </c>
      <c r="E336" s="44">
        <f t="shared" si="20"/>
        <v>41103</v>
      </c>
      <c r="F336" s="146" t="str">
        <f t="shared" si="22"/>
        <v>2012-13</v>
      </c>
      <c r="G336" s="1"/>
      <c r="H336" s="161"/>
      <c r="I336" s="37"/>
      <c r="J336" s="135">
        <f t="shared" si="24"/>
        <v>0.76382508261777382</v>
      </c>
      <c r="K336" s="112"/>
      <c r="L336" s="37">
        <v>17.798727061200001</v>
      </c>
      <c r="M336" s="37" t="s">
        <v>288</v>
      </c>
      <c r="N336" s="37">
        <v>950.87219512195099</v>
      </c>
      <c r="O336" s="130">
        <f t="shared" si="23"/>
        <v>16924.314671059718</v>
      </c>
      <c r="P336" s="132">
        <f t="shared" si="21"/>
        <v>1486.7253635582997</v>
      </c>
      <c r="Q336" s="261">
        <v>0.11500738887574143</v>
      </c>
      <c r="R336" s="92"/>
    </row>
    <row r="337" spans="1:18" x14ac:dyDescent="0.25">
      <c r="A337" s="353">
        <v>41103</v>
      </c>
      <c r="B337" s="353" t="s">
        <v>285</v>
      </c>
      <c r="C337" s="263" t="s">
        <v>451</v>
      </c>
      <c r="D337" s="157" t="s">
        <v>464</v>
      </c>
      <c r="E337" s="44">
        <f t="shared" si="20"/>
        <v>41103</v>
      </c>
      <c r="F337" s="146" t="str">
        <f t="shared" si="22"/>
        <v>2012-13</v>
      </c>
      <c r="G337" s="1"/>
      <c r="H337" s="161"/>
      <c r="I337" s="37"/>
      <c r="J337" s="135">
        <f t="shared" si="24"/>
        <v>0.76382508261777382</v>
      </c>
      <c r="K337" s="112"/>
      <c r="L337" s="37">
        <v>7.3746176172100002</v>
      </c>
      <c r="M337" s="37" t="s">
        <v>288</v>
      </c>
      <c r="N337" s="37">
        <v>950.87219512195099</v>
      </c>
      <c r="O337" s="130">
        <f t="shared" si="23"/>
        <v>7012.3188418614845</v>
      </c>
      <c r="P337" s="132">
        <f t="shared" si="21"/>
        <v>616.00085333915877</v>
      </c>
      <c r="Q337" s="261">
        <v>0.11500738887574143</v>
      </c>
      <c r="R337" s="92"/>
    </row>
    <row r="338" spans="1:18" x14ac:dyDescent="0.25">
      <c r="A338" s="353">
        <v>41103</v>
      </c>
      <c r="B338" s="353" t="s">
        <v>285</v>
      </c>
      <c r="C338" s="263" t="s">
        <v>451</v>
      </c>
      <c r="D338" s="157" t="s">
        <v>464</v>
      </c>
      <c r="E338" s="44">
        <f t="shared" si="20"/>
        <v>41103</v>
      </c>
      <c r="F338" s="146" t="str">
        <f t="shared" si="22"/>
        <v>2012-13</v>
      </c>
      <c r="G338" s="1"/>
      <c r="H338" s="161"/>
      <c r="I338" s="37"/>
      <c r="J338" s="135">
        <f t="shared" si="24"/>
        <v>0.76382508261777382</v>
      </c>
      <c r="K338" s="112"/>
      <c r="L338" s="37">
        <v>41.132370376499999</v>
      </c>
      <c r="M338" s="37" t="s">
        <v>288</v>
      </c>
      <c r="N338" s="37">
        <v>950.87219512195099</v>
      </c>
      <c r="O338" s="130">
        <f t="shared" si="23"/>
        <v>39111.627310471667</v>
      </c>
      <c r="P338" s="132">
        <f t="shared" si="21"/>
        <v>3435.7815641392085</v>
      </c>
      <c r="Q338" s="261">
        <v>0.11500738887574143</v>
      </c>
      <c r="R338" s="92"/>
    </row>
    <row r="339" spans="1:18" x14ac:dyDescent="0.25">
      <c r="A339" s="353">
        <v>41103</v>
      </c>
      <c r="B339" s="353" t="s">
        <v>285</v>
      </c>
      <c r="C339" s="263" t="s">
        <v>451</v>
      </c>
      <c r="D339" s="157" t="s">
        <v>464</v>
      </c>
      <c r="E339" s="44">
        <f t="shared" si="20"/>
        <v>41103</v>
      </c>
      <c r="F339" s="146" t="str">
        <f t="shared" si="22"/>
        <v>2012-13</v>
      </c>
      <c r="G339" s="1"/>
      <c r="H339" s="161"/>
      <c r="I339" s="37"/>
      <c r="J339" s="135">
        <f t="shared" si="24"/>
        <v>0.76382508261777382</v>
      </c>
      <c r="K339" s="112"/>
      <c r="L339" s="37">
        <v>15.9364417488</v>
      </c>
      <c r="M339" s="37" t="s">
        <v>288</v>
      </c>
      <c r="N339" s="37">
        <v>950.87219512195099</v>
      </c>
      <c r="O339" s="130">
        <f t="shared" si="23"/>
        <v>15153.51934811456</v>
      </c>
      <c r="P339" s="132">
        <f t="shared" si="21"/>
        <v>1331.1689128858939</v>
      </c>
      <c r="Q339" s="261">
        <v>0.11500738887574143</v>
      </c>
      <c r="R339" s="92"/>
    </row>
    <row r="340" spans="1:18" x14ac:dyDescent="0.25">
      <c r="A340" s="353">
        <v>41221</v>
      </c>
      <c r="B340" s="353" t="s">
        <v>285</v>
      </c>
      <c r="C340" s="263" t="s">
        <v>452</v>
      </c>
      <c r="D340" s="157" t="s">
        <v>464</v>
      </c>
      <c r="E340" s="44">
        <f t="shared" si="20"/>
        <v>41221</v>
      </c>
      <c r="F340" s="146" t="str">
        <f t="shared" si="22"/>
        <v>2012-13</v>
      </c>
      <c r="G340" s="1"/>
      <c r="H340" s="161"/>
      <c r="I340" s="37"/>
      <c r="J340" s="135">
        <f t="shared" si="24"/>
        <v>0.76382508261777382</v>
      </c>
      <c r="K340" s="112"/>
      <c r="L340" s="37">
        <v>68.283515490300005</v>
      </c>
      <c r="M340" s="37" t="s">
        <v>288</v>
      </c>
      <c r="N340" s="37">
        <v>3336.4019512195118</v>
      </c>
      <c r="O340" s="130">
        <f t="shared" si="23"/>
        <v>227821.25431796469</v>
      </c>
      <c r="P340" s="132">
        <f t="shared" si="21"/>
        <v>63165.835566902439</v>
      </c>
      <c r="Q340" s="261">
        <v>0.36298952379576827</v>
      </c>
      <c r="R340" s="92"/>
    </row>
    <row r="341" spans="1:18" x14ac:dyDescent="0.25">
      <c r="A341" s="353">
        <v>41221</v>
      </c>
      <c r="B341" s="353" t="s">
        <v>285</v>
      </c>
      <c r="C341" s="263" t="s">
        <v>452</v>
      </c>
      <c r="D341" s="157" t="s">
        <v>464</v>
      </c>
      <c r="E341" s="44">
        <f t="shared" si="20"/>
        <v>41221</v>
      </c>
      <c r="F341" s="146" t="str">
        <f t="shared" si="22"/>
        <v>2012-13</v>
      </c>
      <c r="G341" s="1"/>
      <c r="H341" s="161"/>
      <c r="I341" s="37"/>
      <c r="J341" s="135">
        <f t="shared" si="24"/>
        <v>0.76382508261777382</v>
      </c>
      <c r="K341" s="112"/>
      <c r="L341" s="37">
        <v>47.041671797600003</v>
      </c>
      <c r="M341" s="37" t="s">
        <v>288</v>
      </c>
      <c r="N341" s="37">
        <v>3336.4019512195118</v>
      </c>
      <c r="O341" s="130">
        <f t="shared" si="23"/>
        <v>156949.92557414054</v>
      </c>
      <c r="P341" s="132">
        <f t="shared" si="21"/>
        <v>43516.015310920819</v>
      </c>
      <c r="Q341" s="261">
        <v>0.36298952379576827</v>
      </c>
      <c r="R341" s="92"/>
    </row>
    <row r="342" spans="1:18" x14ac:dyDescent="0.25">
      <c r="A342" s="353">
        <v>43007</v>
      </c>
      <c r="B342" s="353" t="s">
        <v>285</v>
      </c>
      <c r="C342" s="263" t="s">
        <v>453</v>
      </c>
      <c r="D342" s="157" t="s">
        <v>464</v>
      </c>
      <c r="E342" s="44">
        <f t="shared" si="20"/>
        <v>43007</v>
      </c>
      <c r="F342" s="146" t="str">
        <f t="shared" si="22"/>
        <v>2017-18</v>
      </c>
      <c r="G342" s="1"/>
      <c r="H342" s="161"/>
      <c r="I342" s="37"/>
      <c r="J342" s="135">
        <f t="shared" si="24"/>
        <v>0.76382508261777382</v>
      </c>
      <c r="K342" s="112"/>
      <c r="L342" s="37">
        <v>40.970699866700002</v>
      </c>
      <c r="M342" s="37" t="s">
        <v>288</v>
      </c>
      <c r="N342" s="37">
        <v>3336.4019512195118</v>
      </c>
      <c r="O342" s="130">
        <f t="shared" si="23"/>
        <v>136694.72297808688</v>
      </c>
      <c r="P342" s="132">
        <f t="shared" si="21"/>
        <v>6246.4607108720247</v>
      </c>
      <c r="Q342" s="261">
        <v>5.9825776994913114E-2</v>
      </c>
      <c r="R342" s="92"/>
    </row>
    <row r="343" spans="1:18" x14ac:dyDescent="0.25">
      <c r="A343" s="353">
        <v>43007</v>
      </c>
      <c r="B343" s="353" t="s">
        <v>285</v>
      </c>
      <c r="C343" s="263" t="s">
        <v>453</v>
      </c>
      <c r="D343" s="157" t="s">
        <v>464</v>
      </c>
      <c r="E343" s="44">
        <f t="shared" ref="E343:E406" si="25">IF(VALUE(A343)&lt;2022,DATEVALUE("30 Jun "&amp;A343),A343)</f>
        <v>43007</v>
      </c>
      <c r="F343" s="146" t="str">
        <f t="shared" si="22"/>
        <v>2017-18</v>
      </c>
      <c r="G343" s="1"/>
      <c r="H343" s="161"/>
      <c r="I343" s="37"/>
      <c r="J343" s="135">
        <f t="shared" si="24"/>
        <v>0.76382508261777382</v>
      </c>
      <c r="K343" s="112"/>
      <c r="L343" s="37">
        <v>49.270686336300002</v>
      </c>
      <c r="M343" s="37" t="s">
        <v>288</v>
      </c>
      <c r="N343" s="37">
        <v>812.22926829268283</v>
      </c>
      <c r="O343" s="130">
        <f t="shared" si="23"/>
        <v>40019.093511211235</v>
      </c>
      <c r="P343" s="132">
        <f t="shared" ref="P343:P406" si="26">IF(O343="-","-",IF(OR(E343&lt;$E$15,E343&gt;$E$16),0,O343*J343))*Q343</f>
        <v>1828.7296675129714</v>
      </c>
      <c r="Q343" s="261">
        <v>5.9825776994913114E-2</v>
      </c>
      <c r="R343" s="92"/>
    </row>
    <row r="344" spans="1:18" x14ac:dyDescent="0.25">
      <c r="A344" s="353">
        <v>43007</v>
      </c>
      <c r="B344" s="353" t="s">
        <v>285</v>
      </c>
      <c r="C344" s="263" t="s">
        <v>453</v>
      </c>
      <c r="D344" s="157" t="s">
        <v>464</v>
      </c>
      <c r="E344" s="44">
        <f t="shared" si="25"/>
        <v>43007</v>
      </c>
      <c r="F344" s="146" t="str">
        <f t="shared" ref="F344:F407" si="27">IF(E344="","-",IF(OR(E344&lt;$E$15,E344&gt;$E$16),"ERROR - date outside of range",IF(MONTH(E344)&gt;=7,YEAR(E344)&amp;"-"&amp;IF(YEAR(E344)=1999,"00",IF(AND(YEAR(E344)&gt;=2000,YEAR(E344)&lt;2009),"0","")&amp;RIGHT(YEAR(E344),2)+1),RIGHT(YEAR(E344),4)-1&amp;"-"&amp;RIGHT(YEAR(E344),2))))</f>
        <v>2017-18</v>
      </c>
      <c r="G344" s="1"/>
      <c r="H344" s="161"/>
      <c r="I344" s="37"/>
      <c r="J344" s="135">
        <f t="shared" si="24"/>
        <v>0.76382508261777382</v>
      </c>
      <c r="K344" s="112"/>
      <c r="L344" s="37">
        <v>71.075630737799997</v>
      </c>
      <c r="M344" s="37" t="s">
        <v>288</v>
      </c>
      <c r="N344" s="37">
        <v>3336.4019512195118</v>
      </c>
      <c r="O344" s="130">
        <f t="shared" ref="O344:O407" si="28">IF(N344="","-",L344*N344)</f>
        <v>237136.87307775344</v>
      </c>
      <c r="P344" s="132">
        <f t="shared" si="26"/>
        <v>10836.30829711466</v>
      </c>
      <c r="Q344" s="261">
        <v>5.9825776994913114E-2</v>
      </c>
      <c r="R344" s="92"/>
    </row>
    <row r="345" spans="1:18" x14ac:dyDescent="0.25">
      <c r="A345" s="353">
        <v>43007</v>
      </c>
      <c r="B345" s="353" t="s">
        <v>285</v>
      </c>
      <c r="C345" s="263" t="s">
        <v>453</v>
      </c>
      <c r="D345" s="157" t="s">
        <v>464</v>
      </c>
      <c r="E345" s="44">
        <f t="shared" si="25"/>
        <v>43007</v>
      </c>
      <c r="F345" s="146" t="str">
        <f t="shared" si="27"/>
        <v>2017-18</v>
      </c>
      <c r="G345" s="1"/>
      <c r="H345" s="161"/>
      <c r="I345" s="37"/>
      <c r="J345" s="135">
        <f t="shared" ref="J345:J408" si="29">J344</f>
        <v>0.76382508261777382</v>
      </c>
      <c r="K345" s="112"/>
      <c r="L345" s="37">
        <v>55.422120791700003</v>
      </c>
      <c r="M345" s="37" t="s">
        <v>288</v>
      </c>
      <c r="N345" s="37">
        <v>812.22926829268283</v>
      </c>
      <c r="O345" s="130">
        <f t="shared" si="28"/>
        <v>45015.468617871178</v>
      </c>
      <c r="P345" s="132">
        <f t="shared" si="26"/>
        <v>2057.0461681106826</v>
      </c>
      <c r="Q345" s="261">
        <v>5.9825776994913114E-2</v>
      </c>
      <c r="R345" s="92"/>
    </row>
    <row r="346" spans="1:18" x14ac:dyDescent="0.25">
      <c r="A346" s="353">
        <v>43007</v>
      </c>
      <c r="B346" s="353" t="s">
        <v>285</v>
      </c>
      <c r="C346" s="263" t="s">
        <v>453</v>
      </c>
      <c r="D346" s="157" t="s">
        <v>464</v>
      </c>
      <c r="E346" s="44">
        <f t="shared" si="25"/>
        <v>43007</v>
      </c>
      <c r="F346" s="146" t="str">
        <f t="shared" si="27"/>
        <v>2017-18</v>
      </c>
      <c r="G346" s="1"/>
      <c r="H346" s="161"/>
      <c r="I346" s="37"/>
      <c r="J346" s="135">
        <f t="shared" si="29"/>
        <v>0.76382508261777382</v>
      </c>
      <c r="K346" s="112"/>
      <c r="L346" s="37">
        <v>26.081043643000001</v>
      </c>
      <c r="M346" s="37" t="s">
        <v>288</v>
      </c>
      <c r="N346" s="37">
        <v>812.22926829268283</v>
      </c>
      <c r="O346" s="130">
        <f t="shared" si="28"/>
        <v>21183.786994463419</v>
      </c>
      <c r="P346" s="132">
        <f t="shared" si="26"/>
        <v>968.02341952593099</v>
      </c>
      <c r="Q346" s="261">
        <v>5.9825776994913114E-2</v>
      </c>
      <c r="R346" s="92"/>
    </row>
    <row r="347" spans="1:18" x14ac:dyDescent="0.25">
      <c r="A347" s="353">
        <v>43007</v>
      </c>
      <c r="B347" s="353" t="s">
        <v>285</v>
      </c>
      <c r="C347" s="263" t="s">
        <v>453</v>
      </c>
      <c r="D347" s="157" t="s">
        <v>464</v>
      </c>
      <c r="E347" s="44">
        <f t="shared" si="25"/>
        <v>43007</v>
      </c>
      <c r="F347" s="146" t="str">
        <f t="shared" si="27"/>
        <v>2017-18</v>
      </c>
      <c r="G347" s="1"/>
      <c r="H347" s="161"/>
      <c r="I347" s="37"/>
      <c r="J347" s="135">
        <f t="shared" si="29"/>
        <v>0.76382508261777382</v>
      </c>
      <c r="K347" s="112"/>
      <c r="L347" s="37">
        <v>54.265553207300002</v>
      </c>
      <c r="M347" s="37" t="s">
        <v>288</v>
      </c>
      <c r="N347" s="37">
        <v>812.22926829268283</v>
      </c>
      <c r="O347" s="130">
        <f t="shared" si="28"/>
        <v>44076.070575062928</v>
      </c>
      <c r="P347" s="132">
        <f t="shared" si="26"/>
        <v>2014.119032092327</v>
      </c>
      <c r="Q347" s="261">
        <v>5.9825776994913114E-2</v>
      </c>
      <c r="R347" s="92"/>
    </row>
    <row r="348" spans="1:18" x14ac:dyDescent="0.25">
      <c r="A348" s="353">
        <v>43007</v>
      </c>
      <c r="B348" s="353" t="s">
        <v>285</v>
      </c>
      <c r="C348" s="263" t="s">
        <v>453</v>
      </c>
      <c r="D348" s="157" t="s">
        <v>464</v>
      </c>
      <c r="E348" s="44">
        <f t="shared" si="25"/>
        <v>43007</v>
      </c>
      <c r="F348" s="146" t="str">
        <f t="shared" si="27"/>
        <v>2017-18</v>
      </c>
      <c r="G348" s="1"/>
      <c r="H348" s="161"/>
      <c r="I348" s="37"/>
      <c r="J348" s="135">
        <f t="shared" si="29"/>
        <v>0.76382508261777382</v>
      </c>
      <c r="K348" s="112"/>
      <c r="L348" s="37">
        <v>19.482534537399999</v>
      </c>
      <c r="M348" s="37" t="s">
        <v>288</v>
      </c>
      <c r="N348" s="37">
        <v>3336.4019512195118</v>
      </c>
      <c r="O348" s="130">
        <f t="shared" si="28"/>
        <v>65001.566245282884</v>
      </c>
      <c r="P348" s="132">
        <f t="shared" si="26"/>
        <v>2970.3394604442346</v>
      </c>
      <c r="Q348" s="261">
        <v>5.9825776994913114E-2</v>
      </c>
      <c r="R348" s="92"/>
    </row>
    <row r="349" spans="1:18" x14ac:dyDescent="0.25">
      <c r="A349" s="353">
        <v>43007</v>
      </c>
      <c r="B349" s="353" t="s">
        <v>285</v>
      </c>
      <c r="C349" s="263" t="s">
        <v>453</v>
      </c>
      <c r="D349" s="157" t="s">
        <v>464</v>
      </c>
      <c r="E349" s="44">
        <f t="shared" si="25"/>
        <v>43007</v>
      </c>
      <c r="F349" s="146" t="str">
        <f t="shared" si="27"/>
        <v>2017-18</v>
      </c>
      <c r="G349" s="1"/>
      <c r="H349" s="161"/>
      <c r="I349" s="37"/>
      <c r="J349" s="135">
        <f t="shared" si="29"/>
        <v>0.76382508261777382</v>
      </c>
      <c r="K349" s="112"/>
      <c r="L349" s="37">
        <v>24.8227550531</v>
      </c>
      <c r="M349" s="37" t="s">
        <v>288</v>
      </c>
      <c r="N349" s="37">
        <v>3336.4019512195118</v>
      </c>
      <c r="O349" s="130">
        <f t="shared" si="28"/>
        <v>82818.688393806835</v>
      </c>
      <c r="P349" s="132">
        <f t="shared" si="26"/>
        <v>3784.5183186829963</v>
      </c>
      <c r="Q349" s="261">
        <v>5.9825776994913114E-2</v>
      </c>
      <c r="R349" s="92"/>
    </row>
    <row r="350" spans="1:18" x14ac:dyDescent="0.25">
      <c r="A350" s="353">
        <v>43007</v>
      </c>
      <c r="B350" s="353" t="s">
        <v>285</v>
      </c>
      <c r="C350" s="263" t="s">
        <v>453</v>
      </c>
      <c r="D350" s="157" t="s">
        <v>464</v>
      </c>
      <c r="E350" s="44">
        <f t="shared" si="25"/>
        <v>43007</v>
      </c>
      <c r="F350" s="146" t="str">
        <f t="shared" si="27"/>
        <v>2017-18</v>
      </c>
      <c r="G350" s="1"/>
      <c r="H350" s="161"/>
      <c r="I350" s="37"/>
      <c r="J350" s="135">
        <f t="shared" si="29"/>
        <v>0.76382508261777382</v>
      </c>
      <c r="K350" s="112"/>
      <c r="L350" s="37">
        <v>24.619848517000001</v>
      </c>
      <c r="M350" s="37" t="s">
        <v>288</v>
      </c>
      <c r="N350" s="37">
        <v>812.22926829268283</v>
      </c>
      <c r="O350" s="130">
        <f t="shared" si="28"/>
        <v>19996.961546439605</v>
      </c>
      <c r="P350" s="132">
        <f t="shared" si="26"/>
        <v>913.78973463867851</v>
      </c>
      <c r="Q350" s="261">
        <v>5.9825776994913114E-2</v>
      </c>
      <c r="R350" s="92"/>
    </row>
    <row r="351" spans="1:18" x14ac:dyDescent="0.25">
      <c r="A351" s="353">
        <v>43007</v>
      </c>
      <c r="B351" s="353" t="s">
        <v>285</v>
      </c>
      <c r="C351" s="263" t="s">
        <v>453</v>
      </c>
      <c r="D351" s="157" t="s">
        <v>464</v>
      </c>
      <c r="E351" s="44">
        <f t="shared" si="25"/>
        <v>43007</v>
      </c>
      <c r="F351" s="146" t="str">
        <f t="shared" si="27"/>
        <v>2017-18</v>
      </c>
      <c r="G351" s="1"/>
      <c r="H351" s="161"/>
      <c r="I351" s="37"/>
      <c r="J351" s="135">
        <f t="shared" si="29"/>
        <v>0.76382508261777382</v>
      </c>
      <c r="K351" s="112"/>
      <c r="L351" s="37">
        <v>41.142392839899998</v>
      </c>
      <c r="M351" s="37" t="s">
        <v>288</v>
      </c>
      <c r="N351" s="37">
        <v>3336.4019512195118</v>
      </c>
      <c r="O351" s="130">
        <f t="shared" si="28"/>
        <v>137267.55974888202</v>
      </c>
      <c r="P351" s="132">
        <f t="shared" si="26"/>
        <v>6272.6373057292258</v>
      </c>
      <c r="Q351" s="261">
        <v>5.9825776994913114E-2</v>
      </c>
      <c r="R351" s="92"/>
    </row>
    <row r="352" spans="1:18" x14ac:dyDescent="0.25">
      <c r="A352" s="353">
        <v>43007</v>
      </c>
      <c r="B352" s="353" t="s">
        <v>285</v>
      </c>
      <c r="C352" s="263" t="s">
        <v>453</v>
      </c>
      <c r="D352" s="157" t="s">
        <v>464</v>
      </c>
      <c r="E352" s="44">
        <f t="shared" si="25"/>
        <v>43007</v>
      </c>
      <c r="F352" s="146" t="str">
        <f t="shared" si="27"/>
        <v>2017-18</v>
      </c>
      <c r="G352" s="1"/>
      <c r="H352" s="161"/>
      <c r="I352" s="37"/>
      <c r="J352" s="135">
        <f t="shared" si="29"/>
        <v>0.76382508261777382</v>
      </c>
      <c r="K352" s="112"/>
      <c r="L352" s="37">
        <v>29.840686429200002</v>
      </c>
      <c r="M352" s="37" t="s">
        <v>288</v>
      </c>
      <c r="N352" s="37">
        <v>3336.4019512195118</v>
      </c>
      <c r="O352" s="130">
        <f t="shared" si="28"/>
        <v>99560.524428112491</v>
      </c>
      <c r="P352" s="132">
        <f t="shared" si="26"/>
        <v>4549.5604412886823</v>
      </c>
      <c r="Q352" s="261">
        <v>5.9825776994913114E-2</v>
      </c>
      <c r="R352" s="92"/>
    </row>
    <row r="353" spans="1:18" x14ac:dyDescent="0.25">
      <c r="A353" s="353">
        <v>43007</v>
      </c>
      <c r="B353" s="353" t="s">
        <v>285</v>
      </c>
      <c r="C353" s="263" t="s">
        <v>453</v>
      </c>
      <c r="D353" s="157" t="s">
        <v>464</v>
      </c>
      <c r="E353" s="44">
        <f t="shared" si="25"/>
        <v>43007</v>
      </c>
      <c r="F353" s="146" t="str">
        <f t="shared" si="27"/>
        <v>2017-18</v>
      </c>
      <c r="G353" s="1"/>
      <c r="H353" s="161"/>
      <c r="I353" s="37"/>
      <c r="J353" s="135">
        <f t="shared" si="29"/>
        <v>0.76382508261777382</v>
      </c>
      <c r="K353" s="112"/>
      <c r="L353" s="37">
        <v>23.004439818600002</v>
      </c>
      <c r="M353" s="37" t="s">
        <v>288</v>
      </c>
      <c r="N353" s="37">
        <v>3336.4019512195118</v>
      </c>
      <c r="O353" s="130">
        <f t="shared" si="28"/>
        <v>76752.057897488878</v>
      </c>
      <c r="P353" s="132">
        <f t="shared" si="26"/>
        <v>3507.2949686001775</v>
      </c>
      <c r="Q353" s="261">
        <v>5.9825776994913114E-2</v>
      </c>
      <c r="R353" s="92"/>
    </row>
    <row r="354" spans="1:18" x14ac:dyDescent="0.25">
      <c r="A354" s="353">
        <v>43007</v>
      </c>
      <c r="B354" s="353" t="s">
        <v>285</v>
      </c>
      <c r="C354" s="263" t="s">
        <v>453</v>
      </c>
      <c r="D354" s="157" t="s">
        <v>464</v>
      </c>
      <c r="E354" s="44">
        <f t="shared" si="25"/>
        <v>43007</v>
      </c>
      <c r="F354" s="146" t="str">
        <f t="shared" si="27"/>
        <v>2017-18</v>
      </c>
      <c r="G354" s="1"/>
      <c r="H354" s="161"/>
      <c r="I354" s="37"/>
      <c r="J354" s="135">
        <f t="shared" si="29"/>
        <v>0.76382508261777382</v>
      </c>
      <c r="K354" s="112"/>
      <c r="L354" s="37">
        <v>6.2051262678499999</v>
      </c>
      <c r="M354" s="37" t="s">
        <v>288</v>
      </c>
      <c r="N354" s="37">
        <v>812.22926829268283</v>
      </c>
      <c r="O354" s="130">
        <f t="shared" si="28"/>
        <v>5039.9851681995115</v>
      </c>
      <c r="P354" s="132">
        <f t="shared" si="26"/>
        <v>230.30932468097379</v>
      </c>
      <c r="Q354" s="261">
        <v>5.9825776994913114E-2</v>
      </c>
      <c r="R354" s="92"/>
    </row>
    <row r="355" spans="1:18" x14ac:dyDescent="0.25">
      <c r="A355" s="353">
        <v>43007</v>
      </c>
      <c r="B355" s="353" t="s">
        <v>285</v>
      </c>
      <c r="C355" s="263" t="s">
        <v>453</v>
      </c>
      <c r="D355" s="157" t="s">
        <v>464</v>
      </c>
      <c r="E355" s="44">
        <f t="shared" si="25"/>
        <v>43007</v>
      </c>
      <c r="F355" s="146" t="str">
        <f t="shared" si="27"/>
        <v>2017-18</v>
      </c>
      <c r="G355" s="1"/>
      <c r="H355" s="161"/>
      <c r="I355" s="37"/>
      <c r="J355" s="135">
        <f t="shared" si="29"/>
        <v>0.76382508261777382</v>
      </c>
      <c r="K355" s="112"/>
      <c r="L355" s="37">
        <v>43.015788435600001</v>
      </c>
      <c r="M355" s="37" t="s">
        <v>288</v>
      </c>
      <c r="N355" s="37">
        <v>3336.4019512195118</v>
      </c>
      <c r="O355" s="130">
        <f t="shared" si="28"/>
        <v>143517.96046978157</v>
      </c>
      <c r="P355" s="132">
        <f t="shared" si="26"/>
        <v>6558.2582988422082</v>
      </c>
      <c r="Q355" s="261">
        <v>5.9825776994913114E-2</v>
      </c>
      <c r="R355" s="92"/>
    </row>
    <row r="356" spans="1:18" x14ac:dyDescent="0.25">
      <c r="A356" s="353">
        <v>43007</v>
      </c>
      <c r="B356" s="353" t="s">
        <v>285</v>
      </c>
      <c r="C356" s="263" t="s">
        <v>453</v>
      </c>
      <c r="D356" s="157" t="s">
        <v>464</v>
      </c>
      <c r="E356" s="44">
        <f t="shared" si="25"/>
        <v>43007</v>
      </c>
      <c r="F356" s="146" t="str">
        <f t="shared" si="27"/>
        <v>2017-18</v>
      </c>
      <c r="G356" s="1"/>
      <c r="H356" s="161"/>
      <c r="I356" s="37"/>
      <c r="J356" s="135">
        <f t="shared" si="29"/>
        <v>0.76382508261777382</v>
      </c>
      <c r="K356" s="112"/>
      <c r="L356" s="37">
        <v>40.311152476799997</v>
      </c>
      <c r="M356" s="37" t="s">
        <v>288</v>
      </c>
      <c r="N356" s="37">
        <v>812.22926829268283</v>
      </c>
      <c r="O356" s="130">
        <f t="shared" si="28"/>
        <v>32741.897880266031</v>
      </c>
      <c r="P356" s="132">
        <f t="shared" si="26"/>
        <v>1496.1878136382188</v>
      </c>
      <c r="Q356" s="261">
        <v>5.9825776994913114E-2</v>
      </c>
      <c r="R356" s="92"/>
    </row>
    <row r="357" spans="1:18" x14ac:dyDescent="0.25">
      <c r="A357" s="353">
        <v>43007</v>
      </c>
      <c r="B357" s="353" t="s">
        <v>285</v>
      </c>
      <c r="C357" s="263" t="s">
        <v>453</v>
      </c>
      <c r="D357" s="157" t="s">
        <v>464</v>
      </c>
      <c r="E357" s="44">
        <f t="shared" si="25"/>
        <v>43007</v>
      </c>
      <c r="F357" s="146" t="str">
        <f t="shared" si="27"/>
        <v>2017-18</v>
      </c>
      <c r="G357" s="1"/>
      <c r="H357" s="161"/>
      <c r="I357" s="37"/>
      <c r="J357" s="135">
        <f t="shared" si="29"/>
        <v>0.76382508261777382</v>
      </c>
      <c r="K357" s="112"/>
      <c r="L357" s="37">
        <v>29.164805950800002</v>
      </c>
      <c r="M357" s="37" t="s">
        <v>288</v>
      </c>
      <c r="N357" s="37">
        <v>812.22926829268283</v>
      </c>
      <c r="O357" s="130">
        <f t="shared" si="28"/>
        <v>23688.508997316367</v>
      </c>
      <c r="P357" s="132">
        <f t="shared" si="26"/>
        <v>1082.480270833832</v>
      </c>
      <c r="Q357" s="261">
        <v>5.9825776994913114E-2</v>
      </c>
      <c r="R357" s="92"/>
    </row>
    <row r="358" spans="1:18" x14ac:dyDescent="0.25">
      <c r="A358" s="353">
        <v>43007</v>
      </c>
      <c r="B358" s="353" t="s">
        <v>285</v>
      </c>
      <c r="C358" s="263" t="s">
        <v>453</v>
      </c>
      <c r="D358" s="157" t="s">
        <v>464</v>
      </c>
      <c r="E358" s="44">
        <f t="shared" si="25"/>
        <v>43007</v>
      </c>
      <c r="F358" s="146" t="str">
        <f t="shared" si="27"/>
        <v>2017-18</v>
      </c>
      <c r="G358" s="1"/>
      <c r="H358" s="161"/>
      <c r="I358" s="37"/>
      <c r="J358" s="135">
        <f t="shared" si="29"/>
        <v>0.76382508261777382</v>
      </c>
      <c r="K358" s="112"/>
      <c r="L358" s="37">
        <v>16.361425978900002</v>
      </c>
      <c r="M358" s="37" t="s">
        <v>288</v>
      </c>
      <c r="N358" s="37">
        <v>812.22926829268283</v>
      </c>
      <c r="O358" s="130">
        <f t="shared" si="28"/>
        <v>13289.229051066841</v>
      </c>
      <c r="P358" s="132">
        <f t="shared" si="26"/>
        <v>607.27031253851203</v>
      </c>
      <c r="Q358" s="261">
        <v>5.9825776994913114E-2</v>
      </c>
      <c r="R358" s="92"/>
    </row>
    <row r="359" spans="1:18" x14ac:dyDescent="0.25">
      <c r="A359" s="353">
        <v>43007</v>
      </c>
      <c r="B359" s="353" t="s">
        <v>285</v>
      </c>
      <c r="C359" s="263" t="s">
        <v>453</v>
      </c>
      <c r="D359" s="157" t="s">
        <v>464</v>
      </c>
      <c r="E359" s="44">
        <f t="shared" si="25"/>
        <v>43007</v>
      </c>
      <c r="F359" s="146" t="str">
        <f t="shared" si="27"/>
        <v>2017-18</v>
      </c>
      <c r="G359" s="1"/>
      <c r="H359" s="161"/>
      <c r="I359" s="37"/>
      <c r="J359" s="135">
        <f t="shared" si="29"/>
        <v>0.76382508261777382</v>
      </c>
      <c r="K359" s="112"/>
      <c r="L359" s="37">
        <v>19.498604052600001</v>
      </c>
      <c r="M359" s="37" t="s">
        <v>288</v>
      </c>
      <c r="N359" s="37">
        <v>812.22926829268283</v>
      </c>
      <c r="O359" s="130">
        <f t="shared" si="28"/>
        <v>15837.336902372039</v>
      </c>
      <c r="P359" s="132">
        <f t="shared" si="26"/>
        <v>723.70974219223763</v>
      </c>
      <c r="Q359" s="261">
        <v>5.9825776994913114E-2</v>
      </c>
      <c r="R359" s="92"/>
    </row>
    <row r="360" spans="1:18" x14ac:dyDescent="0.25">
      <c r="A360" s="353">
        <v>43007</v>
      </c>
      <c r="B360" s="353" t="s">
        <v>285</v>
      </c>
      <c r="C360" s="263" t="s">
        <v>453</v>
      </c>
      <c r="D360" s="157" t="s">
        <v>464</v>
      </c>
      <c r="E360" s="44">
        <f t="shared" si="25"/>
        <v>43007</v>
      </c>
      <c r="F360" s="146" t="str">
        <f t="shared" si="27"/>
        <v>2017-18</v>
      </c>
      <c r="G360" s="1"/>
      <c r="H360" s="161"/>
      <c r="I360" s="37"/>
      <c r="J360" s="135">
        <f t="shared" si="29"/>
        <v>0.76382508261777382</v>
      </c>
      <c r="K360" s="112"/>
      <c r="L360" s="37">
        <v>15.892351147999999</v>
      </c>
      <c r="M360" s="37" t="s">
        <v>288</v>
      </c>
      <c r="N360" s="37">
        <v>812.22926829268283</v>
      </c>
      <c r="O360" s="130">
        <f t="shared" si="28"/>
        <v>12908.232744390418</v>
      </c>
      <c r="P360" s="132">
        <f t="shared" si="26"/>
        <v>589.86014183994644</v>
      </c>
      <c r="Q360" s="261">
        <v>5.9825776994913114E-2</v>
      </c>
      <c r="R360" s="92"/>
    </row>
    <row r="361" spans="1:18" x14ac:dyDescent="0.25">
      <c r="A361" s="353">
        <v>43007</v>
      </c>
      <c r="B361" s="353" t="s">
        <v>285</v>
      </c>
      <c r="C361" s="263" t="s">
        <v>453</v>
      </c>
      <c r="D361" s="157" t="s">
        <v>464</v>
      </c>
      <c r="E361" s="44">
        <f t="shared" si="25"/>
        <v>43007</v>
      </c>
      <c r="F361" s="146" t="str">
        <f t="shared" si="27"/>
        <v>2017-18</v>
      </c>
      <c r="G361" s="1"/>
      <c r="H361" s="161"/>
      <c r="I361" s="37"/>
      <c r="J361" s="135">
        <f t="shared" si="29"/>
        <v>0.76382508261777382</v>
      </c>
      <c r="K361" s="112"/>
      <c r="L361" s="37">
        <v>26.7882129676</v>
      </c>
      <c r="M361" s="37" t="s">
        <v>288</v>
      </c>
      <c r="N361" s="37">
        <v>3336.4019512195118</v>
      </c>
      <c r="O361" s="130">
        <f t="shared" si="28"/>
        <v>89376.246014784469</v>
      </c>
      <c r="P361" s="132">
        <f t="shared" si="26"/>
        <v>4084.1752852894001</v>
      </c>
      <c r="Q361" s="261">
        <v>5.9825776994913114E-2</v>
      </c>
      <c r="R361" s="92"/>
    </row>
    <row r="362" spans="1:18" x14ac:dyDescent="0.25">
      <c r="A362" s="353">
        <v>43007</v>
      </c>
      <c r="B362" s="353" t="s">
        <v>285</v>
      </c>
      <c r="C362" s="263" t="s">
        <v>453</v>
      </c>
      <c r="D362" s="157" t="s">
        <v>464</v>
      </c>
      <c r="E362" s="44">
        <f t="shared" si="25"/>
        <v>43007</v>
      </c>
      <c r="F362" s="146" t="str">
        <f t="shared" si="27"/>
        <v>2017-18</v>
      </c>
      <c r="G362" s="1"/>
      <c r="H362" s="161"/>
      <c r="I362" s="37"/>
      <c r="J362" s="135">
        <f t="shared" si="29"/>
        <v>0.76382508261777382</v>
      </c>
      <c r="K362" s="112"/>
      <c r="L362" s="37">
        <v>3.7461030418300001</v>
      </c>
      <c r="M362" s="37" t="s">
        <v>288</v>
      </c>
      <c r="N362" s="37">
        <v>3336.4019512195118</v>
      </c>
      <c r="O362" s="130">
        <f t="shared" si="28"/>
        <v>12498.505498230961</v>
      </c>
      <c r="P362" s="132">
        <f t="shared" si="26"/>
        <v>571.13706980358768</v>
      </c>
      <c r="Q362" s="261">
        <v>5.9825776994913114E-2</v>
      </c>
      <c r="R362" s="92"/>
    </row>
    <row r="363" spans="1:18" x14ac:dyDescent="0.25">
      <c r="A363" s="353">
        <v>43007</v>
      </c>
      <c r="B363" s="353" t="s">
        <v>285</v>
      </c>
      <c r="C363" s="263" t="s">
        <v>453</v>
      </c>
      <c r="D363" s="157" t="s">
        <v>464</v>
      </c>
      <c r="E363" s="44">
        <f t="shared" si="25"/>
        <v>43007</v>
      </c>
      <c r="F363" s="146" t="str">
        <f t="shared" si="27"/>
        <v>2017-18</v>
      </c>
      <c r="G363" s="1"/>
      <c r="H363" s="161"/>
      <c r="I363" s="37"/>
      <c r="J363" s="135">
        <f t="shared" si="29"/>
        <v>0.76382508261777382</v>
      </c>
      <c r="K363" s="112"/>
      <c r="L363" s="37">
        <v>28.137998618099999</v>
      </c>
      <c r="M363" s="37" t="s">
        <v>288</v>
      </c>
      <c r="N363" s="37">
        <v>812.22926829268283</v>
      </c>
      <c r="O363" s="130">
        <f t="shared" si="28"/>
        <v>22854.506028799882</v>
      </c>
      <c r="P363" s="132">
        <f t="shared" si="26"/>
        <v>1044.369313350682</v>
      </c>
      <c r="Q363" s="261">
        <v>5.9825776994913114E-2</v>
      </c>
      <c r="R363" s="92"/>
    </row>
    <row r="364" spans="1:18" x14ac:dyDescent="0.25">
      <c r="A364" s="353">
        <v>43007</v>
      </c>
      <c r="B364" s="353" t="s">
        <v>285</v>
      </c>
      <c r="C364" s="263" t="s">
        <v>453</v>
      </c>
      <c r="D364" s="157" t="s">
        <v>464</v>
      </c>
      <c r="E364" s="44">
        <f t="shared" si="25"/>
        <v>43007</v>
      </c>
      <c r="F364" s="146" t="str">
        <f t="shared" si="27"/>
        <v>2017-18</v>
      </c>
      <c r="G364" s="1"/>
      <c r="H364" s="161"/>
      <c r="I364" s="37"/>
      <c r="J364" s="135">
        <f t="shared" si="29"/>
        <v>0.76382508261777382</v>
      </c>
      <c r="K364" s="112"/>
      <c r="L364" s="37">
        <v>25.906583266999998</v>
      </c>
      <c r="M364" s="37" t="s">
        <v>288</v>
      </c>
      <c r="N364" s="37">
        <v>3336.4019512195118</v>
      </c>
      <c r="O364" s="130">
        <f t="shared" si="28"/>
        <v>86434.774961449555</v>
      </c>
      <c r="P364" s="132">
        <f t="shared" si="26"/>
        <v>3949.7605619809569</v>
      </c>
      <c r="Q364" s="261">
        <v>5.9825776994913114E-2</v>
      </c>
      <c r="R364" s="92"/>
    </row>
    <row r="365" spans="1:18" x14ac:dyDescent="0.25">
      <c r="A365" s="353">
        <v>43007</v>
      </c>
      <c r="B365" s="353" t="s">
        <v>285</v>
      </c>
      <c r="C365" s="263" t="s">
        <v>453</v>
      </c>
      <c r="D365" s="157" t="s">
        <v>464</v>
      </c>
      <c r="E365" s="44">
        <f t="shared" si="25"/>
        <v>43007</v>
      </c>
      <c r="F365" s="146" t="str">
        <f t="shared" si="27"/>
        <v>2017-18</v>
      </c>
      <c r="G365" s="1"/>
      <c r="H365" s="161"/>
      <c r="I365" s="37"/>
      <c r="J365" s="135">
        <f t="shared" si="29"/>
        <v>0.76382508261777382</v>
      </c>
      <c r="K365" s="112"/>
      <c r="L365" s="37">
        <v>4.31970751325</v>
      </c>
      <c r="M365" s="37" t="s">
        <v>288</v>
      </c>
      <c r="N365" s="37">
        <v>812.22926829268283</v>
      </c>
      <c r="O365" s="130">
        <f t="shared" si="28"/>
        <v>3508.5928727254523</v>
      </c>
      <c r="P365" s="132">
        <f t="shared" si="26"/>
        <v>160.33016529422633</v>
      </c>
      <c r="Q365" s="261">
        <v>5.9825776994913114E-2</v>
      </c>
      <c r="R365" s="92"/>
    </row>
    <row r="366" spans="1:18" x14ac:dyDescent="0.25">
      <c r="A366" s="353">
        <v>43007</v>
      </c>
      <c r="B366" s="353" t="s">
        <v>285</v>
      </c>
      <c r="C366" s="263" t="s">
        <v>453</v>
      </c>
      <c r="D366" s="157" t="s">
        <v>464</v>
      </c>
      <c r="E366" s="44">
        <f t="shared" si="25"/>
        <v>43007</v>
      </c>
      <c r="F366" s="146" t="str">
        <f t="shared" si="27"/>
        <v>2017-18</v>
      </c>
      <c r="G366" s="1"/>
      <c r="H366" s="161"/>
      <c r="I366" s="37"/>
      <c r="J366" s="135">
        <f t="shared" si="29"/>
        <v>0.76382508261777382</v>
      </c>
      <c r="K366" s="112"/>
      <c r="L366" s="37">
        <v>25.993028771700001</v>
      </c>
      <c r="M366" s="37" t="s">
        <v>288</v>
      </c>
      <c r="N366" s="37">
        <v>812.22926829268283</v>
      </c>
      <c r="O366" s="130">
        <f t="shared" si="28"/>
        <v>21112.298739948543</v>
      </c>
      <c r="P366" s="132">
        <f t="shared" si="26"/>
        <v>964.75666157516821</v>
      </c>
      <c r="Q366" s="261">
        <v>5.9825776994913114E-2</v>
      </c>
      <c r="R366" s="92"/>
    </row>
    <row r="367" spans="1:18" x14ac:dyDescent="0.25">
      <c r="A367" s="353">
        <v>43007</v>
      </c>
      <c r="B367" s="353" t="s">
        <v>285</v>
      </c>
      <c r="C367" s="263" t="s">
        <v>453</v>
      </c>
      <c r="D367" s="157" t="s">
        <v>464</v>
      </c>
      <c r="E367" s="44">
        <f t="shared" si="25"/>
        <v>43007</v>
      </c>
      <c r="F367" s="146" t="str">
        <f t="shared" si="27"/>
        <v>2017-18</v>
      </c>
      <c r="G367" s="1"/>
      <c r="H367" s="161"/>
      <c r="I367" s="37"/>
      <c r="J367" s="135">
        <f t="shared" si="29"/>
        <v>0.76382508261777382</v>
      </c>
      <c r="K367" s="112"/>
      <c r="L367" s="37">
        <v>34.544926516700002</v>
      </c>
      <c r="M367" s="37" t="s">
        <v>288</v>
      </c>
      <c r="N367" s="37">
        <v>812.22926829268283</v>
      </c>
      <c r="O367" s="130">
        <f t="shared" si="28"/>
        <v>28058.400387883739</v>
      </c>
      <c r="P367" s="132">
        <f t="shared" si="26"/>
        <v>1282.168702744498</v>
      </c>
      <c r="Q367" s="261">
        <v>5.9825776994913114E-2</v>
      </c>
      <c r="R367" s="92"/>
    </row>
    <row r="368" spans="1:18" x14ac:dyDescent="0.25">
      <c r="A368" s="353">
        <v>43007</v>
      </c>
      <c r="B368" s="353" t="s">
        <v>285</v>
      </c>
      <c r="C368" s="263" t="s">
        <v>453</v>
      </c>
      <c r="D368" s="157" t="s">
        <v>464</v>
      </c>
      <c r="E368" s="44">
        <f t="shared" si="25"/>
        <v>43007</v>
      </c>
      <c r="F368" s="146" t="str">
        <f t="shared" si="27"/>
        <v>2017-18</v>
      </c>
      <c r="G368" s="1"/>
      <c r="H368" s="161"/>
      <c r="I368" s="37"/>
      <c r="J368" s="135">
        <f t="shared" si="29"/>
        <v>0.76382508261777382</v>
      </c>
      <c r="K368" s="112"/>
      <c r="L368" s="37">
        <v>45.452154489599998</v>
      </c>
      <c r="M368" s="37" t="s">
        <v>288</v>
      </c>
      <c r="N368" s="37">
        <v>812.22926829268283</v>
      </c>
      <c r="O368" s="130">
        <f t="shared" si="28"/>
        <v>36917.570183413787</v>
      </c>
      <c r="P368" s="132">
        <f t="shared" si="26"/>
        <v>1687.0011267993293</v>
      </c>
      <c r="Q368" s="261">
        <v>5.9825776994913114E-2</v>
      </c>
      <c r="R368" s="92"/>
    </row>
    <row r="369" spans="1:18" x14ac:dyDescent="0.25">
      <c r="A369" s="353">
        <v>43007</v>
      </c>
      <c r="B369" s="353" t="s">
        <v>285</v>
      </c>
      <c r="C369" s="263" t="s">
        <v>453</v>
      </c>
      <c r="D369" s="157" t="s">
        <v>464</v>
      </c>
      <c r="E369" s="44">
        <f t="shared" si="25"/>
        <v>43007</v>
      </c>
      <c r="F369" s="146" t="str">
        <f t="shared" si="27"/>
        <v>2017-18</v>
      </c>
      <c r="G369" s="1"/>
      <c r="H369" s="161"/>
      <c r="I369" s="37"/>
      <c r="J369" s="135">
        <f t="shared" si="29"/>
        <v>0.76382508261777382</v>
      </c>
      <c r="K369" s="112"/>
      <c r="L369" s="37">
        <v>23.397836826700001</v>
      </c>
      <c r="M369" s="37" t="s">
        <v>288</v>
      </c>
      <c r="N369" s="37">
        <v>3336.4019512195118</v>
      </c>
      <c r="O369" s="130">
        <f t="shared" si="28"/>
        <v>78064.588442917637</v>
      </c>
      <c r="P369" s="132">
        <f t="shared" si="26"/>
        <v>3567.2729275529491</v>
      </c>
      <c r="Q369" s="261">
        <v>5.9825776994913114E-2</v>
      </c>
      <c r="R369" s="92"/>
    </row>
    <row r="370" spans="1:18" x14ac:dyDescent="0.25">
      <c r="A370" s="353">
        <v>43007</v>
      </c>
      <c r="B370" s="353" t="s">
        <v>285</v>
      </c>
      <c r="C370" s="263" t="s">
        <v>453</v>
      </c>
      <c r="D370" s="157" t="s">
        <v>464</v>
      </c>
      <c r="E370" s="44">
        <f t="shared" si="25"/>
        <v>43007</v>
      </c>
      <c r="F370" s="146" t="str">
        <f t="shared" si="27"/>
        <v>2017-18</v>
      </c>
      <c r="G370" s="1"/>
      <c r="H370" s="161"/>
      <c r="I370" s="37"/>
      <c r="J370" s="135">
        <f t="shared" si="29"/>
        <v>0.76382508261777382</v>
      </c>
      <c r="K370" s="112"/>
      <c r="L370" s="37">
        <v>62.358460444400002</v>
      </c>
      <c r="M370" s="37" t="s">
        <v>288</v>
      </c>
      <c r="N370" s="37">
        <v>950.87219512195099</v>
      </c>
      <c r="O370" s="130">
        <f t="shared" si="28"/>
        <v>59294.926167191981</v>
      </c>
      <c r="P370" s="132">
        <f t="shared" si="26"/>
        <v>2709.5663869687005</v>
      </c>
      <c r="Q370" s="261">
        <v>5.9825776994913114E-2</v>
      </c>
      <c r="R370" s="92"/>
    </row>
    <row r="371" spans="1:18" x14ac:dyDescent="0.25">
      <c r="A371" s="353">
        <v>43007</v>
      </c>
      <c r="B371" s="353" t="s">
        <v>285</v>
      </c>
      <c r="C371" s="263" t="s">
        <v>453</v>
      </c>
      <c r="D371" s="157" t="s">
        <v>464</v>
      </c>
      <c r="E371" s="44">
        <f t="shared" si="25"/>
        <v>43007</v>
      </c>
      <c r="F371" s="146" t="str">
        <f t="shared" si="27"/>
        <v>2017-18</v>
      </c>
      <c r="G371" s="1"/>
      <c r="H371" s="161"/>
      <c r="I371" s="37"/>
      <c r="J371" s="135">
        <f t="shared" si="29"/>
        <v>0.76382508261777382</v>
      </c>
      <c r="K371" s="112"/>
      <c r="L371" s="37">
        <v>70.810314199600001</v>
      </c>
      <c r="M371" s="37" t="s">
        <v>288</v>
      </c>
      <c r="N371" s="37">
        <v>3592.3639024390236</v>
      </c>
      <c r="O371" s="130">
        <f t="shared" si="28"/>
        <v>254376.41665100848</v>
      </c>
      <c r="P371" s="132">
        <f t="shared" si="26"/>
        <v>11624.093876964489</v>
      </c>
      <c r="Q371" s="261">
        <v>5.9825776994913114E-2</v>
      </c>
      <c r="R371" s="92"/>
    </row>
    <row r="372" spans="1:18" x14ac:dyDescent="0.25">
      <c r="A372" s="353">
        <v>43007</v>
      </c>
      <c r="B372" s="353" t="s">
        <v>285</v>
      </c>
      <c r="C372" s="263" t="s">
        <v>453</v>
      </c>
      <c r="D372" s="157" t="s">
        <v>464</v>
      </c>
      <c r="E372" s="44">
        <f t="shared" si="25"/>
        <v>43007</v>
      </c>
      <c r="F372" s="146" t="str">
        <f t="shared" si="27"/>
        <v>2017-18</v>
      </c>
      <c r="G372" s="1"/>
      <c r="H372" s="161"/>
      <c r="I372" s="37"/>
      <c r="J372" s="135">
        <f t="shared" si="29"/>
        <v>0.76382508261777382</v>
      </c>
      <c r="K372" s="112"/>
      <c r="L372" s="37">
        <v>24.1294759578</v>
      </c>
      <c r="M372" s="37" t="s">
        <v>288</v>
      </c>
      <c r="N372" s="37">
        <v>812.22926829268283</v>
      </c>
      <c r="O372" s="130">
        <f t="shared" si="28"/>
        <v>19598.666601489778</v>
      </c>
      <c r="P372" s="132">
        <f t="shared" si="26"/>
        <v>895.58907794349011</v>
      </c>
      <c r="Q372" s="261">
        <v>5.9825776994913114E-2</v>
      </c>
      <c r="R372" s="92"/>
    </row>
    <row r="373" spans="1:18" x14ac:dyDescent="0.25">
      <c r="A373" s="353">
        <v>43007</v>
      </c>
      <c r="B373" s="353" t="s">
        <v>285</v>
      </c>
      <c r="C373" s="263" t="s">
        <v>453</v>
      </c>
      <c r="D373" s="157" t="s">
        <v>464</v>
      </c>
      <c r="E373" s="44">
        <f t="shared" si="25"/>
        <v>43007</v>
      </c>
      <c r="F373" s="146" t="str">
        <f t="shared" si="27"/>
        <v>2017-18</v>
      </c>
      <c r="G373" s="1"/>
      <c r="H373" s="161"/>
      <c r="I373" s="37"/>
      <c r="J373" s="135">
        <f t="shared" si="29"/>
        <v>0.76382508261777382</v>
      </c>
      <c r="K373" s="112"/>
      <c r="L373" s="37">
        <v>13.827974638300001</v>
      </c>
      <c r="M373" s="37" t="s">
        <v>288</v>
      </c>
      <c r="N373" s="37">
        <v>3336.4019512195118</v>
      </c>
      <c r="O373" s="130">
        <f t="shared" si="28"/>
        <v>46135.681564638042</v>
      </c>
      <c r="P373" s="132">
        <f t="shared" si="26"/>
        <v>2108.2358995600171</v>
      </c>
      <c r="Q373" s="261">
        <v>5.9825776994913114E-2</v>
      </c>
      <c r="R373" s="92"/>
    </row>
    <row r="374" spans="1:18" x14ac:dyDescent="0.25">
      <c r="A374" s="353">
        <v>43007</v>
      </c>
      <c r="B374" s="353" t="s">
        <v>285</v>
      </c>
      <c r="C374" s="263" t="s">
        <v>453</v>
      </c>
      <c r="D374" s="157" t="s">
        <v>464</v>
      </c>
      <c r="E374" s="44">
        <f t="shared" si="25"/>
        <v>43007</v>
      </c>
      <c r="F374" s="146" t="str">
        <f t="shared" si="27"/>
        <v>2017-18</v>
      </c>
      <c r="G374" s="1"/>
      <c r="H374" s="161"/>
      <c r="I374" s="37"/>
      <c r="J374" s="135">
        <f t="shared" si="29"/>
        <v>0.76382508261777382</v>
      </c>
      <c r="K374" s="112"/>
      <c r="L374" s="37">
        <v>5.6986297475800001</v>
      </c>
      <c r="M374" s="37" t="s">
        <v>288</v>
      </c>
      <c r="N374" s="37">
        <v>812.22926829268283</v>
      </c>
      <c r="O374" s="130">
        <f t="shared" si="28"/>
        <v>4628.593870147819</v>
      </c>
      <c r="P374" s="132">
        <f t="shared" si="26"/>
        <v>211.5102114153762</v>
      </c>
      <c r="Q374" s="261">
        <v>5.9825776994913114E-2</v>
      </c>
      <c r="R374" s="92"/>
    </row>
    <row r="375" spans="1:18" x14ac:dyDescent="0.25">
      <c r="A375" s="353">
        <v>43007</v>
      </c>
      <c r="B375" s="353" t="s">
        <v>285</v>
      </c>
      <c r="C375" s="263" t="s">
        <v>453</v>
      </c>
      <c r="D375" s="157" t="s">
        <v>464</v>
      </c>
      <c r="E375" s="44">
        <f t="shared" si="25"/>
        <v>43007</v>
      </c>
      <c r="F375" s="146" t="str">
        <f t="shared" si="27"/>
        <v>2017-18</v>
      </c>
      <c r="G375" s="1"/>
      <c r="H375" s="161"/>
      <c r="I375" s="37"/>
      <c r="J375" s="135">
        <f t="shared" si="29"/>
        <v>0.76382508261777382</v>
      </c>
      <c r="K375" s="112"/>
      <c r="L375" s="37">
        <v>55.994930795000002</v>
      </c>
      <c r="M375" s="37" t="s">
        <v>288</v>
      </c>
      <c r="N375" s="37">
        <v>3592.3639024390236</v>
      </c>
      <c r="O375" s="130">
        <f t="shared" si="28"/>
        <v>201154.16810752926</v>
      </c>
      <c r="P375" s="132">
        <f t="shared" si="26"/>
        <v>9192.0271722065954</v>
      </c>
      <c r="Q375" s="261">
        <v>5.9825776994913114E-2</v>
      </c>
      <c r="R375" s="92"/>
    </row>
    <row r="376" spans="1:18" x14ac:dyDescent="0.25">
      <c r="A376" s="353">
        <v>43007</v>
      </c>
      <c r="B376" s="353" t="s">
        <v>285</v>
      </c>
      <c r="C376" s="263" t="s">
        <v>453</v>
      </c>
      <c r="D376" s="157" t="s">
        <v>464</v>
      </c>
      <c r="E376" s="44">
        <f t="shared" si="25"/>
        <v>43007</v>
      </c>
      <c r="F376" s="146" t="str">
        <f t="shared" si="27"/>
        <v>2017-18</v>
      </c>
      <c r="G376" s="1"/>
      <c r="H376" s="161"/>
      <c r="I376" s="37"/>
      <c r="J376" s="135">
        <f t="shared" si="29"/>
        <v>0.76382508261777382</v>
      </c>
      <c r="K376" s="112"/>
      <c r="L376" s="37">
        <v>66.261596064100004</v>
      </c>
      <c r="M376" s="37" t="s">
        <v>288</v>
      </c>
      <c r="N376" s="37">
        <v>3336.4019512195118</v>
      </c>
      <c r="O376" s="130">
        <f t="shared" si="28"/>
        <v>221075.31839918238</v>
      </c>
      <c r="P376" s="132">
        <f t="shared" si="26"/>
        <v>10102.352603219291</v>
      </c>
      <c r="Q376" s="261">
        <v>5.9825776994913114E-2</v>
      </c>
      <c r="R376" s="92"/>
    </row>
    <row r="377" spans="1:18" x14ac:dyDescent="0.25">
      <c r="A377" s="353">
        <v>43007</v>
      </c>
      <c r="B377" s="353" t="s">
        <v>285</v>
      </c>
      <c r="C377" s="263" t="s">
        <v>453</v>
      </c>
      <c r="D377" s="157" t="s">
        <v>464</v>
      </c>
      <c r="E377" s="44">
        <f t="shared" si="25"/>
        <v>43007</v>
      </c>
      <c r="F377" s="146" t="str">
        <f t="shared" si="27"/>
        <v>2017-18</v>
      </c>
      <c r="G377" s="1"/>
      <c r="H377" s="161"/>
      <c r="I377" s="37"/>
      <c r="J377" s="135">
        <f t="shared" si="29"/>
        <v>0.76382508261777382</v>
      </c>
      <c r="K377" s="112"/>
      <c r="L377" s="37">
        <v>22.7244834111</v>
      </c>
      <c r="M377" s="37" t="s">
        <v>288</v>
      </c>
      <c r="N377" s="37">
        <v>812.22926829268283</v>
      </c>
      <c r="O377" s="130">
        <f t="shared" si="28"/>
        <v>18457.490533326963</v>
      </c>
      <c r="P377" s="132">
        <f t="shared" si="26"/>
        <v>843.44140670449758</v>
      </c>
      <c r="Q377" s="261">
        <v>5.9825776994913114E-2</v>
      </c>
      <c r="R377" s="92"/>
    </row>
    <row r="378" spans="1:18" x14ac:dyDescent="0.25">
      <c r="A378" s="353">
        <v>43007</v>
      </c>
      <c r="B378" s="353" t="s">
        <v>285</v>
      </c>
      <c r="C378" s="263" t="s">
        <v>453</v>
      </c>
      <c r="D378" s="157" t="s">
        <v>464</v>
      </c>
      <c r="E378" s="44">
        <f t="shared" si="25"/>
        <v>43007</v>
      </c>
      <c r="F378" s="146" t="str">
        <f t="shared" si="27"/>
        <v>2017-18</v>
      </c>
      <c r="G378" s="1"/>
      <c r="H378" s="161"/>
      <c r="I378" s="37"/>
      <c r="J378" s="135">
        <f t="shared" si="29"/>
        <v>0.76382508261777382</v>
      </c>
      <c r="K378" s="112"/>
      <c r="L378" s="37">
        <v>28.548366152900002</v>
      </c>
      <c r="M378" s="37" t="s">
        <v>288</v>
      </c>
      <c r="N378" s="37">
        <v>3592.3639024390236</v>
      </c>
      <c r="O378" s="130">
        <f t="shared" si="28"/>
        <v>102556.12004128999</v>
      </c>
      <c r="P378" s="132">
        <f t="shared" si="26"/>
        <v>4686.4484637061496</v>
      </c>
      <c r="Q378" s="261">
        <v>5.9825776994913114E-2</v>
      </c>
      <c r="R378" s="92"/>
    </row>
    <row r="379" spans="1:18" x14ac:dyDescent="0.25">
      <c r="A379" s="353">
        <v>43007</v>
      </c>
      <c r="B379" s="353" t="s">
        <v>285</v>
      </c>
      <c r="C379" s="263" t="s">
        <v>453</v>
      </c>
      <c r="D379" s="157" t="s">
        <v>464</v>
      </c>
      <c r="E379" s="44">
        <f t="shared" si="25"/>
        <v>43007</v>
      </c>
      <c r="F379" s="146" t="str">
        <f t="shared" si="27"/>
        <v>2017-18</v>
      </c>
      <c r="G379" s="1"/>
      <c r="H379" s="161"/>
      <c r="I379" s="37"/>
      <c r="J379" s="135">
        <f t="shared" si="29"/>
        <v>0.76382508261777382</v>
      </c>
      <c r="K379" s="112"/>
      <c r="L379" s="37">
        <v>45.489778720099999</v>
      </c>
      <c r="M379" s="37" t="s">
        <v>288</v>
      </c>
      <c r="N379" s="37">
        <v>950.87219512195099</v>
      </c>
      <c r="O379" s="130">
        <f t="shared" si="28"/>
        <v>43254.965747193302</v>
      </c>
      <c r="P379" s="132">
        <f t="shared" si="26"/>
        <v>1976.5974735781977</v>
      </c>
      <c r="Q379" s="261">
        <v>5.9825776994913114E-2</v>
      </c>
      <c r="R379" s="92"/>
    </row>
    <row r="380" spans="1:18" x14ac:dyDescent="0.25">
      <c r="A380" s="353">
        <v>43007</v>
      </c>
      <c r="B380" s="353" t="s">
        <v>285</v>
      </c>
      <c r="C380" s="263" t="s">
        <v>453</v>
      </c>
      <c r="D380" s="157" t="s">
        <v>464</v>
      </c>
      <c r="E380" s="44">
        <f t="shared" si="25"/>
        <v>43007</v>
      </c>
      <c r="F380" s="146" t="str">
        <f t="shared" si="27"/>
        <v>2017-18</v>
      </c>
      <c r="G380" s="1"/>
      <c r="H380" s="161"/>
      <c r="I380" s="37"/>
      <c r="J380" s="135">
        <f t="shared" si="29"/>
        <v>0.76382508261777382</v>
      </c>
      <c r="K380" s="112"/>
      <c r="L380" s="37">
        <v>29.8346032832</v>
      </c>
      <c r="M380" s="37" t="s">
        <v>288</v>
      </c>
      <c r="N380" s="37">
        <v>3336.4019512195118</v>
      </c>
      <c r="O380" s="130">
        <f t="shared" si="28"/>
        <v>99540.22860792854</v>
      </c>
      <c r="P380" s="132">
        <f t="shared" si="26"/>
        <v>4548.6329947815166</v>
      </c>
      <c r="Q380" s="261">
        <v>5.9825776994913114E-2</v>
      </c>
      <c r="R380" s="92"/>
    </row>
    <row r="381" spans="1:18" x14ac:dyDescent="0.25">
      <c r="A381" s="353">
        <v>43007</v>
      </c>
      <c r="B381" s="353" t="s">
        <v>285</v>
      </c>
      <c r="C381" s="263" t="s">
        <v>453</v>
      </c>
      <c r="D381" s="157" t="s">
        <v>464</v>
      </c>
      <c r="E381" s="44">
        <f t="shared" si="25"/>
        <v>43007</v>
      </c>
      <c r="F381" s="146" t="str">
        <f t="shared" si="27"/>
        <v>2017-18</v>
      </c>
      <c r="G381" s="1"/>
      <c r="H381" s="161"/>
      <c r="I381" s="37"/>
      <c r="J381" s="135">
        <f t="shared" si="29"/>
        <v>0.76382508261777382</v>
      </c>
      <c r="K381" s="112"/>
      <c r="L381" s="37">
        <v>20.614469146600001</v>
      </c>
      <c r="M381" s="37" t="s">
        <v>288</v>
      </c>
      <c r="N381" s="37">
        <v>812.22926829268283</v>
      </c>
      <c r="O381" s="130">
        <f t="shared" si="28"/>
        <v>16743.675191185004</v>
      </c>
      <c r="P381" s="132">
        <f t="shared" si="26"/>
        <v>765.12616550754535</v>
      </c>
      <c r="Q381" s="261">
        <v>5.9825776994913114E-2</v>
      </c>
      <c r="R381" s="92"/>
    </row>
    <row r="382" spans="1:18" x14ac:dyDescent="0.25">
      <c r="A382" s="353">
        <v>43007</v>
      </c>
      <c r="B382" s="353" t="s">
        <v>285</v>
      </c>
      <c r="C382" s="263" t="s">
        <v>453</v>
      </c>
      <c r="D382" s="157" t="s">
        <v>464</v>
      </c>
      <c r="E382" s="44">
        <f t="shared" si="25"/>
        <v>43007</v>
      </c>
      <c r="F382" s="146" t="str">
        <f t="shared" si="27"/>
        <v>2017-18</v>
      </c>
      <c r="G382" s="1"/>
      <c r="H382" s="161"/>
      <c r="I382" s="37"/>
      <c r="J382" s="135">
        <f t="shared" si="29"/>
        <v>0.76382508261777382</v>
      </c>
      <c r="K382" s="112"/>
      <c r="L382" s="37">
        <v>39.704836282199999</v>
      </c>
      <c r="M382" s="37" t="s">
        <v>288</v>
      </c>
      <c r="N382" s="37">
        <v>3592.3639024390236</v>
      </c>
      <c r="O382" s="130">
        <f t="shared" si="28"/>
        <v>142634.22061242652</v>
      </c>
      <c r="P382" s="132">
        <f t="shared" si="26"/>
        <v>6517.8745431467896</v>
      </c>
      <c r="Q382" s="261">
        <v>5.9825776994913114E-2</v>
      </c>
      <c r="R382" s="92"/>
    </row>
    <row r="383" spans="1:18" x14ac:dyDescent="0.25">
      <c r="A383" s="353">
        <v>43007</v>
      </c>
      <c r="B383" s="353" t="s">
        <v>285</v>
      </c>
      <c r="C383" s="263" t="s">
        <v>453</v>
      </c>
      <c r="D383" s="157" t="s">
        <v>464</v>
      </c>
      <c r="E383" s="44">
        <f t="shared" si="25"/>
        <v>43007</v>
      </c>
      <c r="F383" s="146" t="str">
        <f t="shared" si="27"/>
        <v>2017-18</v>
      </c>
      <c r="G383" s="1"/>
      <c r="H383" s="161"/>
      <c r="I383" s="37"/>
      <c r="J383" s="135">
        <f t="shared" si="29"/>
        <v>0.76382508261777382</v>
      </c>
      <c r="K383" s="112"/>
      <c r="L383" s="37">
        <v>51.7831879023</v>
      </c>
      <c r="M383" s="37" t="s">
        <v>288</v>
      </c>
      <c r="N383" s="37">
        <v>950.87219512195099</v>
      </c>
      <c r="O383" s="130">
        <f t="shared" si="28"/>
        <v>49239.193551072458</v>
      </c>
      <c r="P383" s="132">
        <f t="shared" si="26"/>
        <v>2250.0553148719791</v>
      </c>
      <c r="Q383" s="261">
        <v>5.9825776994913114E-2</v>
      </c>
      <c r="R383" s="92"/>
    </row>
    <row r="384" spans="1:18" x14ac:dyDescent="0.25">
      <c r="A384" s="353">
        <v>43007</v>
      </c>
      <c r="B384" s="353" t="s">
        <v>285</v>
      </c>
      <c r="C384" s="263" t="s">
        <v>453</v>
      </c>
      <c r="D384" s="157" t="s">
        <v>464</v>
      </c>
      <c r="E384" s="44">
        <f t="shared" si="25"/>
        <v>43007</v>
      </c>
      <c r="F384" s="146" t="str">
        <f t="shared" si="27"/>
        <v>2017-18</v>
      </c>
      <c r="G384" s="1"/>
      <c r="H384" s="161"/>
      <c r="I384" s="37"/>
      <c r="J384" s="135">
        <f t="shared" si="29"/>
        <v>0.76382508261777382</v>
      </c>
      <c r="K384" s="112"/>
      <c r="L384" s="37">
        <v>51.313607339999997</v>
      </c>
      <c r="M384" s="37" t="s">
        <v>288</v>
      </c>
      <c r="N384" s="37">
        <v>812.22926829268283</v>
      </c>
      <c r="O384" s="130">
        <f t="shared" si="28"/>
        <v>41678.413743226236</v>
      </c>
      <c r="P384" s="132">
        <f t="shared" si="26"/>
        <v>1904.5546767761184</v>
      </c>
      <c r="Q384" s="261">
        <v>5.9825776994913114E-2</v>
      </c>
      <c r="R384" s="92"/>
    </row>
    <row r="385" spans="1:18" x14ac:dyDescent="0.25">
      <c r="A385" s="353">
        <v>43007</v>
      </c>
      <c r="B385" s="353" t="s">
        <v>285</v>
      </c>
      <c r="C385" s="263" t="s">
        <v>453</v>
      </c>
      <c r="D385" s="157" t="s">
        <v>464</v>
      </c>
      <c r="E385" s="44">
        <f t="shared" si="25"/>
        <v>43007</v>
      </c>
      <c r="F385" s="146" t="str">
        <f t="shared" si="27"/>
        <v>2017-18</v>
      </c>
      <c r="G385" s="1"/>
      <c r="H385" s="161"/>
      <c r="I385" s="37"/>
      <c r="J385" s="135">
        <f t="shared" si="29"/>
        <v>0.76382508261777382</v>
      </c>
      <c r="K385" s="112"/>
      <c r="L385" s="37">
        <v>26.438631148399999</v>
      </c>
      <c r="M385" s="37" t="s">
        <v>288</v>
      </c>
      <c r="N385" s="37">
        <v>3336.4019512195118</v>
      </c>
      <c r="O385" s="130">
        <f t="shared" si="28"/>
        <v>88209.900551094717</v>
      </c>
      <c r="P385" s="132">
        <f t="shared" si="26"/>
        <v>4030.8774625533333</v>
      </c>
      <c r="Q385" s="261">
        <v>5.9825776994913114E-2</v>
      </c>
      <c r="R385" s="92"/>
    </row>
    <row r="386" spans="1:18" x14ac:dyDescent="0.25">
      <c r="A386" s="353">
        <v>43007</v>
      </c>
      <c r="B386" s="353" t="s">
        <v>285</v>
      </c>
      <c r="C386" s="263" t="s">
        <v>453</v>
      </c>
      <c r="D386" s="157" t="s">
        <v>464</v>
      </c>
      <c r="E386" s="44">
        <f t="shared" si="25"/>
        <v>43007</v>
      </c>
      <c r="F386" s="146" t="str">
        <f t="shared" si="27"/>
        <v>2017-18</v>
      </c>
      <c r="G386" s="1"/>
      <c r="H386" s="161"/>
      <c r="I386" s="37"/>
      <c r="J386" s="135">
        <f t="shared" si="29"/>
        <v>0.76382508261777382</v>
      </c>
      <c r="K386" s="112"/>
      <c r="L386" s="37">
        <v>25.063987013199998</v>
      </c>
      <c r="M386" s="37" t="s">
        <v>288</v>
      </c>
      <c r="N386" s="37">
        <v>3336.4019512195118</v>
      </c>
      <c r="O386" s="130">
        <f t="shared" si="28"/>
        <v>83623.535176180972</v>
      </c>
      <c r="P386" s="132">
        <f t="shared" si="26"/>
        <v>3821.2969425745546</v>
      </c>
      <c r="Q386" s="261">
        <v>5.9825776994913114E-2</v>
      </c>
      <c r="R386" s="92"/>
    </row>
    <row r="387" spans="1:18" x14ac:dyDescent="0.25">
      <c r="A387" s="353">
        <v>43007</v>
      </c>
      <c r="B387" s="353" t="s">
        <v>285</v>
      </c>
      <c r="C387" s="263" t="s">
        <v>453</v>
      </c>
      <c r="D387" s="157" t="s">
        <v>464</v>
      </c>
      <c r="E387" s="44">
        <f t="shared" si="25"/>
        <v>43007</v>
      </c>
      <c r="F387" s="146" t="str">
        <f t="shared" si="27"/>
        <v>2017-18</v>
      </c>
      <c r="G387" s="1"/>
      <c r="H387" s="161"/>
      <c r="I387" s="37"/>
      <c r="J387" s="135">
        <f t="shared" si="29"/>
        <v>0.76382508261777382</v>
      </c>
      <c r="K387" s="112"/>
      <c r="L387" s="37">
        <v>19.487004541800001</v>
      </c>
      <c r="M387" s="37" t="s">
        <v>288</v>
      </c>
      <c r="N387" s="37">
        <v>812.22926829268283</v>
      </c>
      <c r="O387" s="130">
        <f t="shared" si="28"/>
        <v>15827.915440202401</v>
      </c>
      <c r="P387" s="132">
        <f t="shared" si="26"/>
        <v>723.27921501460071</v>
      </c>
      <c r="Q387" s="261">
        <v>5.9825776994913114E-2</v>
      </c>
      <c r="R387" s="92"/>
    </row>
    <row r="388" spans="1:18" x14ac:dyDescent="0.25">
      <c r="A388" s="353">
        <v>43007</v>
      </c>
      <c r="B388" s="353" t="s">
        <v>285</v>
      </c>
      <c r="C388" s="263" t="s">
        <v>453</v>
      </c>
      <c r="D388" s="157" t="s">
        <v>464</v>
      </c>
      <c r="E388" s="44">
        <f t="shared" si="25"/>
        <v>43007</v>
      </c>
      <c r="F388" s="146" t="str">
        <f t="shared" si="27"/>
        <v>2017-18</v>
      </c>
      <c r="G388" s="1"/>
      <c r="H388" s="161"/>
      <c r="I388" s="37"/>
      <c r="J388" s="135">
        <f t="shared" si="29"/>
        <v>0.76382508261777382</v>
      </c>
      <c r="K388" s="112"/>
      <c r="L388" s="37">
        <v>3.2474877982799999</v>
      </c>
      <c r="M388" s="37" t="s">
        <v>288</v>
      </c>
      <c r="N388" s="37">
        <v>950.87219512195099</v>
      </c>
      <c r="O388" s="130">
        <f t="shared" si="28"/>
        <v>3087.9458513822551</v>
      </c>
      <c r="P388" s="132">
        <f t="shared" si="26"/>
        <v>141.10809852587829</v>
      </c>
      <c r="Q388" s="261">
        <v>5.9825776994913114E-2</v>
      </c>
      <c r="R388" s="92"/>
    </row>
    <row r="389" spans="1:18" x14ac:dyDescent="0.25">
      <c r="A389" s="353">
        <v>43007</v>
      </c>
      <c r="B389" s="353" t="s">
        <v>285</v>
      </c>
      <c r="C389" s="263" t="s">
        <v>453</v>
      </c>
      <c r="D389" s="157" t="s">
        <v>464</v>
      </c>
      <c r="E389" s="44">
        <f t="shared" si="25"/>
        <v>43007</v>
      </c>
      <c r="F389" s="146" t="str">
        <f t="shared" si="27"/>
        <v>2017-18</v>
      </c>
      <c r="G389" s="1"/>
      <c r="H389" s="161"/>
      <c r="I389" s="37"/>
      <c r="J389" s="135">
        <f t="shared" si="29"/>
        <v>0.76382508261777382</v>
      </c>
      <c r="K389" s="112"/>
      <c r="L389" s="37">
        <v>60.282575192700001</v>
      </c>
      <c r="M389" s="37" t="s">
        <v>288</v>
      </c>
      <c r="N389" s="37">
        <v>3592.3639024390236</v>
      </c>
      <c r="O389" s="130">
        <f t="shared" si="28"/>
        <v>216556.94706832166</v>
      </c>
      <c r="P389" s="132">
        <f t="shared" si="26"/>
        <v>9895.8791682507999</v>
      </c>
      <c r="Q389" s="261">
        <v>5.9825776994913114E-2</v>
      </c>
      <c r="R389" s="92"/>
    </row>
    <row r="390" spans="1:18" x14ac:dyDescent="0.25">
      <c r="A390" s="353">
        <v>41221</v>
      </c>
      <c r="B390" s="353" t="s">
        <v>285</v>
      </c>
      <c r="C390" s="263" t="s">
        <v>452</v>
      </c>
      <c r="D390" s="157" t="s">
        <v>464</v>
      </c>
      <c r="E390" s="44">
        <f t="shared" si="25"/>
        <v>41221</v>
      </c>
      <c r="F390" s="146" t="str">
        <f t="shared" si="27"/>
        <v>2012-13</v>
      </c>
      <c r="G390" s="1"/>
      <c r="H390" s="161"/>
      <c r="I390" s="37"/>
      <c r="J390" s="135">
        <f t="shared" si="29"/>
        <v>0.76382508261777382</v>
      </c>
      <c r="K390" s="112"/>
      <c r="L390" s="37">
        <v>79.697973968499994</v>
      </c>
      <c r="M390" s="37" t="s">
        <v>288</v>
      </c>
      <c r="N390" s="37">
        <v>3336.4019512195118</v>
      </c>
      <c r="O390" s="130">
        <f t="shared" si="28"/>
        <v>265904.47585674527</v>
      </c>
      <c r="P390" s="132">
        <f t="shared" si="26"/>
        <v>73724.808726707575</v>
      </c>
      <c r="Q390" s="261">
        <v>0.36298952379576827</v>
      </c>
      <c r="R390" s="92"/>
    </row>
    <row r="391" spans="1:18" x14ac:dyDescent="0.25">
      <c r="A391" s="353">
        <v>41221</v>
      </c>
      <c r="B391" s="353" t="s">
        <v>285</v>
      </c>
      <c r="C391" s="263" t="s">
        <v>452</v>
      </c>
      <c r="D391" s="157" t="s">
        <v>464</v>
      </c>
      <c r="E391" s="44">
        <f t="shared" si="25"/>
        <v>41221</v>
      </c>
      <c r="F391" s="146" t="str">
        <f t="shared" si="27"/>
        <v>2012-13</v>
      </c>
      <c r="G391" s="1"/>
      <c r="H391" s="161"/>
      <c r="I391" s="37"/>
      <c r="J391" s="135">
        <f t="shared" si="29"/>
        <v>0.76382508261777382</v>
      </c>
      <c r="K391" s="112"/>
      <c r="L391" s="37">
        <v>32.542074814800003</v>
      </c>
      <c r="M391" s="37" t="s">
        <v>288</v>
      </c>
      <c r="N391" s="37">
        <v>812.22926829268283</v>
      </c>
      <c r="O391" s="130">
        <f t="shared" si="28"/>
        <v>26431.625615550747</v>
      </c>
      <c r="P391" s="132">
        <f t="shared" si="26"/>
        <v>7328.4458133463613</v>
      </c>
      <c r="Q391" s="261">
        <v>0.36298952379576827</v>
      </c>
      <c r="R391" s="92"/>
    </row>
    <row r="392" spans="1:18" x14ac:dyDescent="0.25">
      <c r="A392" s="353">
        <v>41221</v>
      </c>
      <c r="B392" s="353" t="s">
        <v>285</v>
      </c>
      <c r="C392" s="263" t="s">
        <v>452</v>
      </c>
      <c r="D392" s="157" t="s">
        <v>464</v>
      </c>
      <c r="E392" s="44">
        <f t="shared" si="25"/>
        <v>41221</v>
      </c>
      <c r="F392" s="146" t="str">
        <f t="shared" si="27"/>
        <v>2012-13</v>
      </c>
      <c r="G392" s="1"/>
      <c r="H392" s="161"/>
      <c r="I392" s="37"/>
      <c r="J392" s="135">
        <f t="shared" si="29"/>
        <v>0.76382508261777382</v>
      </c>
      <c r="K392" s="112"/>
      <c r="L392" s="37">
        <v>19.949003270199999</v>
      </c>
      <c r="M392" s="37" t="s">
        <v>288</v>
      </c>
      <c r="N392" s="37">
        <v>812.22926829268283</v>
      </c>
      <c r="O392" s="130">
        <f t="shared" si="28"/>
        <v>16203.164329322883</v>
      </c>
      <c r="P392" s="132">
        <f t="shared" si="26"/>
        <v>4492.4974921832918</v>
      </c>
      <c r="Q392" s="261">
        <v>0.36298952379576827</v>
      </c>
      <c r="R392" s="92"/>
    </row>
    <row r="393" spans="1:18" x14ac:dyDescent="0.25">
      <c r="A393" s="353">
        <v>41221</v>
      </c>
      <c r="B393" s="353" t="s">
        <v>285</v>
      </c>
      <c r="C393" s="263" t="s">
        <v>452</v>
      </c>
      <c r="D393" s="157" t="s">
        <v>464</v>
      </c>
      <c r="E393" s="44">
        <f t="shared" si="25"/>
        <v>41221</v>
      </c>
      <c r="F393" s="146" t="str">
        <f t="shared" si="27"/>
        <v>2012-13</v>
      </c>
      <c r="G393" s="1"/>
      <c r="H393" s="161"/>
      <c r="I393" s="37"/>
      <c r="J393" s="135">
        <f t="shared" si="29"/>
        <v>0.76382508261777382</v>
      </c>
      <c r="K393" s="112"/>
      <c r="L393" s="37">
        <v>80.907402071800007</v>
      </c>
      <c r="M393" s="37" t="s">
        <v>288</v>
      </c>
      <c r="N393" s="37">
        <v>3336.4019512195118</v>
      </c>
      <c r="O393" s="130">
        <f t="shared" si="28"/>
        <v>269939.61414045515</v>
      </c>
      <c r="P393" s="132">
        <f t="shared" si="26"/>
        <v>74843.593196934395</v>
      </c>
      <c r="Q393" s="261">
        <v>0.36298952379576827</v>
      </c>
      <c r="R393" s="92"/>
    </row>
    <row r="394" spans="1:18" x14ac:dyDescent="0.25">
      <c r="A394" s="353">
        <v>41221</v>
      </c>
      <c r="B394" s="353" t="s">
        <v>285</v>
      </c>
      <c r="C394" s="263" t="s">
        <v>452</v>
      </c>
      <c r="D394" s="157" t="s">
        <v>464</v>
      </c>
      <c r="E394" s="44">
        <f t="shared" si="25"/>
        <v>41221</v>
      </c>
      <c r="F394" s="146" t="str">
        <f t="shared" si="27"/>
        <v>2012-13</v>
      </c>
      <c r="G394" s="1"/>
      <c r="H394" s="161"/>
      <c r="I394" s="37"/>
      <c r="J394" s="135">
        <f t="shared" si="29"/>
        <v>0.76382508261777382</v>
      </c>
      <c r="K394" s="112"/>
      <c r="L394" s="37">
        <v>69.386992812499997</v>
      </c>
      <c r="M394" s="37" t="s">
        <v>288</v>
      </c>
      <c r="N394" s="37">
        <v>812.22926829268283</v>
      </c>
      <c r="O394" s="130">
        <f t="shared" si="28"/>
        <v>56358.146401126513</v>
      </c>
      <c r="P394" s="132">
        <f t="shared" si="26"/>
        <v>15625.888019475527</v>
      </c>
      <c r="Q394" s="261">
        <v>0.36298952379576827</v>
      </c>
      <c r="R394" s="92"/>
    </row>
    <row r="395" spans="1:18" x14ac:dyDescent="0.25">
      <c r="A395" s="353">
        <v>41221</v>
      </c>
      <c r="B395" s="353" t="s">
        <v>285</v>
      </c>
      <c r="C395" s="263" t="s">
        <v>452</v>
      </c>
      <c r="D395" s="157" t="s">
        <v>464</v>
      </c>
      <c r="E395" s="44">
        <f t="shared" si="25"/>
        <v>41221</v>
      </c>
      <c r="F395" s="146" t="str">
        <f t="shared" si="27"/>
        <v>2012-13</v>
      </c>
      <c r="G395" s="1"/>
      <c r="H395" s="161"/>
      <c r="I395" s="37"/>
      <c r="J395" s="135">
        <f t="shared" si="29"/>
        <v>0.76382508261777382</v>
      </c>
      <c r="K395" s="112"/>
      <c r="L395" s="37">
        <v>34.222663673600003</v>
      </c>
      <c r="M395" s="37" t="s">
        <v>288</v>
      </c>
      <c r="N395" s="37">
        <v>3336.4019512195118</v>
      </c>
      <c r="O395" s="130">
        <f t="shared" si="28"/>
        <v>114180.56185652816</v>
      </c>
      <c r="P395" s="132">
        <f t="shared" si="26"/>
        <v>31657.760013470652</v>
      </c>
      <c r="Q395" s="261">
        <v>0.36298952379576827</v>
      </c>
      <c r="R395" s="92"/>
    </row>
    <row r="396" spans="1:18" x14ac:dyDescent="0.25">
      <c r="A396" s="353">
        <v>41221</v>
      </c>
      <c r="B396" s="353" t="s">
        <v>285</v>
      </c>
      <c r="C396" s="263" t="s">
        <v>452</v>
      </c>
      <c r="D396" s="157" t="s">
        <v>464</v>
      </c>
      <c r="E396" s="44">
        <f t="shared" si="25"/>
        <v>41221</v>
      </c>
      <c r="F396" s="146" t="str">
        <f t="shared" si="27"/>
        <v>2012-13</v>
      </c>
      <c r="G396" s="1"/>
      <c r="H396" s="161"/>
      <c r="I396" s="37"/>
      <c r="J396" s="135">
        <f t="shared" si="29"/>
        <v>0.76382508261777382</v>
      </c>
      <c r="K396" s="112"/>
      <c r="L396" s="37">
        <v>24.227611819900002</v>
      </c>
      <c r="M396" s="37" t="s">
        <v>288</v>
      </c>
      <c r="N396" s="37">
        <v>3336.4019512195118</v>
      </c>
      <c r="O396" s="130">
        <f t="shared" si="28"/>
        <v>80833.051349303278</v>
      </c>
      <c r="P396" s="132">
        <f t="shared" si="26"/>
        <v>22411.81247635002</v>
      </c>
      <c r="Q396" s="261">
        <v>0.36298952379576827</v>
      </c>
      <c r="R396" s="92"/>
    </row>
    <row r="397" spans="1:18" x14ac:dyDescent="0.25">
      <c r="A397" s="353">
        <v>41221</v>
      </c>
      <c r="B397" s="353" t="s">
        <v>285</v>
      </c>
      <c r="C397" s="263" t="s">
        <v>452</v>
      </c>
      <c r="D397" s="157" t="s">
        <v>464</v>
      </c>
      <c r="E397" s="44">
        <f t="shared" si="25"/>
        <v>41221</v>
      </c>
      <c r="F397" s="146" t="str">
        <f t="shared" si="27"/>
        <v>2012-13</v>
      </c>
      <c r="G397" s="1"/>
      <c r="H397" s="161"/>
      <c r="I397" s="37"/>
      <c r="J397" s="135">
        <f t="shared" si="29"/>
        <v>0.76382508261777382</v>
      </c>
      <c r="K397" s="112"/>
      <c r="L397" s="37">
        <v>45.471526836199999</v>
      </c>
      <c r="M397" s="37" t="s">
        <v>288</v>
      </c>
      <c r="N397" s="37">
        <v>812.22926829268283</v>
      </c>
      <c r="O397" s="130">
        <f t="shared" si="28"/>
        <v>36933.304970317819</v>
      </c>
      <c r="P397" s="132">
        <f t="shared" si="26"/>
        <v>10240.146713622034</v>
      </c>
      <c r="Q397" s="261">
        <v>0.36298952379576827</v>
      </c>
      <c r="R397" s="92"/>
    </row>
    <row r="398" spans="1:18" x14ac:dyDescent="0.25">
      <c r="A398" s="353">
        <v>41221</v>
      </c>
      <c r="B398" s="353" t="s">
        <v>285</v>
      </c>
      <c r="C398" s="263" t="s">
        <v>452</v>
      </c>
      <c r="D398" s="157" t="s">
        <v>464</v>
      </c>
      <c r="E398" s="44">
        <f t="shared" si="25"/>
        <v>41221</v>
      </c>
      <c r="F398" s="146" t="str">
        <f t="shared" si="27"/>
        <v>2012-13</v>
      </c>
      <c r="G398" s="1"/>
      <c r="H398" s="161"/>
      <c r="I398" s="37"/>
      <c r="J398" s="135">
        <f t="shared" si="29"/>
        <v>0.76382508261777382</v>
      </c>
      <c r="K398" s="112"/>
      <c r="L398" s="37">
        <v>55.913010664799998</v>
      </c>
      <c r="M398" s="37" t="s">
        <v>288</v>
      </c>
      <c r="N398" s="37">
        <v>3336.4019512195118</v>
      </c>
      <c r="O398" s="130">
        <f t="shared" si="28"/>
        <v>186548.27788059608</v>
      </c>
      <c r="P398" s="132">
        <f t="shared" si="26"/>
        <v>51722.469359459486</v>
      </c>
      <c r="Q398" s="261">
        <v>0.36298952379576827</v>
      </c>
      <c r="R398" s="92"/>
    </row>
    <row r="399" spans="1:18" x14ac:dyDescent="0.25">
      <c r="A399" s="353">
        <v>41221</v>
      </c>
      <c r="B399" s="353" t="s">
        <v>285</v>
      </c>
      <c r="C399" s="263" t="s">
        <v>452</v>
      </c>
      <c r="D399" s="157" t="s">
        <v>464</v>
      </c>
      <c r="E399" s="44">
        <f t="shared" si="25"/>
        <v>41221</v>
      </c>
      <c r="F399" s="146" t="str">
        <f t="shared" si="27"/>
        <v>2012-13</v>
      </c>
      <c r="G399" s="1"/>
      <c r="H399" s="161"/>
      <c r="I399" s="37"/>
      <c r="J399" s="135">
        <f t="shared" si="29"/>
        <v>0.76382508261777382</v>
      </c>
      <c r="K399" s="112"/>
      <c r="L399" s="37">
        <v>3.0520190038699999</v>
      </c>
      <c r="M399" s="37" t="s">
        <v>288</v>
      </c>
      <c r="N399" s="37">
        <v>812.22926829268283</v>
      </c>
      <c r="O399" s="130">
        <f t="shared" si="28"/>
        <v>2478.9391623286929</v>
      </c>
      <c r="P399" s="132">
        <f t="shared" si="26"/>
        <v>687.31191906031813</v>
      </c>
      <c r="Q399" s="261">
        <v>0.36298952379576827</v>
      </c>
      <c r="R399" s="92"/>
    </row>
    <row r="400" spans="1:18" x14ac:dyDescent="0.25">
      <c r="A400" s="353">
        <v>43007</v>
      </c>
      <c r="B400" s="353" t="s">
        <v>285</v>
      </c>
      <c r="C400" s="263" t="s">
        <v>453</v>
      </c>
      <c r="D400" s="157" t="s">
        <v>464</v>
      </c>
      <c r="E400" s="44">
        <f t="shared" si="25"/>
        <v>43007</v>
      </c>
      <c r="F400" s="146" t="str">
        <f t="shared" si="27"/>
        <v>2017-18</v>
      </c>
      <c r="G400" s="1"/>
      <c r="H400" s="161"/>
      <c r="I400" s="37"/>
      <c r="J400" s="135">
        <f t="shared" si="29"/>
        <v>0.76382508261777382</v>
      </c>
      <c r="K400" s="112"/>
      <c r="L400" s="37">
        <v>26.756134118999999</v>
      </c>
      <c r="M400" s="37" t="s">
        <v>288</v>
      </c>
      <c r="N400" s="37">
        <v>812.22926829268283</v>
      </c>
      <c r="O400" s="130">
        <f t="shared" si="28"/>
        <v>21732.115237816255</v>
      </c>
      <c r="P400" s="132">
        <f t="shared" si="26"/>
        <v>993.08006219760182</v>
      </c>
      <c r="Q400" s="261">
        <v>5.9825776994913114E-2</v>
      </c>
      <c r="R400" s="92"/>
    </row>
    <row r="401" spans="1:18" x14ac:dyDescent="0.25">
      <c r="A401" s="353">
        <v>43007</v>
      </c>
      <c r="B401" s="353" t="s">
        <v>285</v>
      </c>
      <c r="C401" s="263" t="s">
        <v>453</v>
      </c>
      <c r="D401" s="157" t="s">
        <v>464</v>
      </c>
      <c r="E401" s="44">
        <f t="shared" si="25"/>
        <v>43007</v>
      </c>
      <c r="F401" s="146" t="str">
        <f t="shared" si="27"/>
        <v>2017-18</v>
      </c>
      <c r="G401" s="1"/>
      <c r="H401" s="161"/>
      <c r="I401" s="37"/>
      <c r="J401" s="135">
        <f t="shared" si="29"/>
        <v>0.76382508261777382</v>
      </c>
      <c r="K401" s="112"/>
      <c r="L401" s="37">
        <v>31.233150097300001</v>
      </c>
      <c r="M401" s="37" t="s">
        <v>288</v>
      </c>
      <c r="N401" s="37">
        <v>812.22926829268283</v>
      </c>
      <c r="O401" s="130">
        <f t="shared" si="28"/>
        <v>25368.478650005516</v>
      </c>
      <c r="P401" s="132">
        <f t="shared" si="26"/>
        <v>1159.2488848838591</v>
      </c>
      <c r="Q401" s="261">
        <v>5.9825776994913114E-2</v>
      </c>
      <c r="R401" s="92"/>
    </row>
    <row r="402" spans="1:18" x14ac:dyDescent="0.25">
      <c r="A402" s="353">
        <v>43007</v>
      </c>
      <c r="B402" s="353" t="s">
        <v>285</v>
      </c>
      <c r="C402" s="263" t="s">
        <v>453</v>
      </c>
      <c r="D402" s="157" t="s">
        <v>464</v>
      </c>
      <c r="E402" s="44">
        <f t="shared" si="25"/>
        <v>43007</v>
      </c>
      <c r="F402" s="146" t="str">
        <f t="shared" si="27"/>
        <v>2017-18</v>
      </c>
      <c r="G402" s="1"/>
      <c r="H402" s="161"/>
      <c r="I402" s="37"/>
      <c r="J402" s="135">
        <f t="shared" si="29"/>
        <v>0.76382508261777382</v>
      </c>
      <c r="K402" s="112"/>
      <c r="L402" s="37">
        <v>6.0599538777099999</v>
      </c>
      <c r="M402" s="37" t="s">
        <v>288</v>
      </c>
      <c r="N402" s="37">
        <v>812.22926829268283</v>
      </c>
      <c r="O402" s="130">
        <f t="shared" si="28"/>
        <v>4922.0719039797996</v>
      </c>
      <c r="P402" s="132">
        <f t="shared" si="26"/>
        <v>224.92110956781852</v>
      </c>
      <c r="Q402" s="261">
        <v>5.9825776994913114E-2</v>
      </c>
      <c r="R402" s="92"/>
    </row>
    <row r="403" spans="1:18" x14ac:dyDescent="0.25">
      <c r="A403" s="353">
        <v>41103</v>
      </c>
      <c r="B403" s="353" t="s">
        <v>285</v>
      </c>
      <c r="C403" s="263" t="s">
        <v>451</v>
      </c>
      <c r="D403" s="157" t="s">
        <v>464</v>
      </c>
      <c r="E403" s="44">
        <f t="shared" si="25"/>
        <v>41103</v>
      </c>
      <c r="F403" s="146" t="str">
        <f t="shared" si="27"/>
        <v>2012-13</v>
      </c>
      <c r="G403" s="1"/>
      <c r="H403" s="161"/>
      <c r="I403" s="37"/>
      <c r="J403" s="135">
        <f t="shared" si="29"/>
        <v>0.76382508261777382</v>
      </c>
      <c r="K403" s="112"/>
      <c r="L403" s="37">
        <v>35.285341617299999</v>
      </c>
      <c r="M403" s="37" t="s">
        <v>288</v>
      </c>
      <c r="N403" s="37">
        <v>950.87219512195099</v>
      </c>
      <c r="O403" s="130">
        <f t="shared" si="28"/>
        <v>33551.850239269981</v>
      </c>
      <c r="P403" s="132">
        <f t="shared" si="26"/>
        <v>2947.3800100355202</v>
      </c>
      <c r="Q403" s="261">
        <v>0.11500738887574143</v>
      </c>
      <c r="R403" s="92"/>
    </row>
    <row r="404" spans="1:18" x14ac:dyDescent="0.25">
      <c r="A404" s="353">
        <v>41103</v>
      </c>
      <c r="B404" s="353" t="s">
        <v>285</v>
      </c>
      <c r="C404" s="263" t="s">
        <v>451</v>
      </c>
      <c r="D404" s="157" t="s">
        <v>464</v>
      </c>
      <c r="E404" s="44">
        <f t="shared" si="25"/>
        <v>41103</v>
      </c>
      <c r="F404" s="146" t="str">
        <f t="shared" si="27"/>
        <v>2012-13</v>
      </c>
      <c r="G404" s="1"/>
      <c r="H404" s="161"/>
      <c r="I404" s="37"/>
      <c r="J404" s="135">
        <f t="shared" si="29"/>
        <v>0.76382508261777382</v>
      </c>
      <c r="K404" s="112"/>
      <c r="L404" s="37">
        <v>13.479790207400001</v>
      </c>
      <c r="M404" s="37" t="s">
        <v>288</v>
      </c>
      <c r="N404" s="37">
        <v>950.87219512195099</v>
      </c>
      <c r="O404" s="130">
        <f t="shared" si="28"/>
        <v>12817.557704293818</v>
      </c>
      <c r="P404" s="132">
        <f t="shared" si="26"/>
        <v>1125.9651281733411</v>
      </c>
      <c r="Q404" s="261">
        <v>0.11500738887574143</v>
      </c>
      <c r="R404" s="92"/>
    </row>
    <row r="405" spans="1:18" x14ac:dyDescent="0.25">
      <c r="A405" s="353">
        <v>41103</v>
      </c>
      <c r="B405" s="353" t="s">
        <v>285</v>
      </c>
      <c r="C405" s="263" t="s">
        <v>451</v>
      </c>
      <c r="D405" s="157" t="s">
        <v>464</v>
      </c>
      <c r="E405" s="44">
        <f t="shared" si="25"/>
        <v>41103</v>
      </c>
      <c r="F405" s="146" t="str">
        <f t="shared" si="27"/>
        <v>2012-13</v>
      </c>
      <c r="G405" s="1"/>
      <c r="H405" s="161"/>
      <c r="I405" s="37"/>
      <c r="J405" s="135">
        <f t="shared" si="29"/>
        <v>0.76382508261777382</v>
      </c>
      <c r="K405" s="112"/>
      <c r="L405" s="37">
        <v>26.6371405471</v>
      </c>
      <c r="M405" s="37" t="s">
        <v>288</v>
      </c>
      <c r="N405" s="37">
        <v>950.87219512195099</v>
      </c>
      <c r="O405" s="130">
        <f t="shared" si="28"/>
        <v>25328.516303792901</v>
      </c>
      <c r="P405" s="132">
        <f t="shared" si="26"/>
        <v>2224.9968960067176</v>
      </c>
      <c r="Q405" s="261">
        <v>0.11500738887574143</v>
      </c>
      <c r="R405" s="92"/>
    </row>
    <row r="406" spans="1:18" x14ac:dyDescent="0.25">
      <c r="A406" s="353">
        <v>41103</v>
      </c>
      <c r="B406" s="353" t="s">
        <v>285</v>
      </c>
      <c r="C406" s="263" t="s">
        <v>451</v>
      </c>
      <c r="D406" s="157" t="s">
        <v>464</v>
      </c>
      <c r="E406" s="44">
        <f t="shared" si="25"/>
        <v>41103</v>
      </c>
      <c r="F406" s="146" t="str">
        <f t="shared" si="27"/>
        <v>2012-13</v>
      </c>
      <c r="G406" s="1"/>
      <c r="H406" s="161"/>
      <c r="I406" s="37"/>
      <c r="J406" s="135">
        <f t="shared" si="29"/>
        <v>0.76382508261777382</v>
      </c>
      <c r="K406" s="112"/>
      <c r="L406" s="37">
        <v>33.330636083900004</v>
      </c>
      <c r="M406" s="37" t="s">
        <v>288</v>
      </c>
      <c r="N406" s="37">
        <v>950.87219512195099</v>
      </c>
      <c r="O406" s="130">
        <f t="shared" si="28"/>
        <v>31693.175097908905</v>
      </c>
      <c r="P406" s="132">
        <f t="shared" si="26"/>
        <v>2784.1037102866098</v>
      </c>
      <c r="Q406" s="261">
        <v>0.11500738887574143</v>
      </c>
      <c r="R406" s="92"/>
    </row>
    <row r="407" spans="1:18" x14ac:dyDescent="0.25">
      <c r="A407" s="353">
        <v>41103</v>
      </c>
      <c r="B407" s="353" t="s">
        <v>285</v>
      </c>
      <c r="C407" s="263" t="s">
        <v>451</v>
      </c>
      <c r="D407" s="157" t="s">
        <v>464</v>
      </c>
      <c r="E407" s="44">
        <f t="shared" ref="E407:E470" si="30">IF(VALUE(A407)&lt;2022,DATEVALUE("30 Jun "&amp;A407),A407)</f>
        <v>41103</v>
      </c>
      <c r="F407" s="146" t="str">
        <f t="shared" si="27"/>
        <v>2012-13</v>
      </c>
      <c r="G407" s="1"/>
      <c r="H407" s="161"/>
      <c r="I407" s="37"/>
      <c r="J407" s="135">
        <f t="shared" si="29"/>
        <v>0.76382508261777382</v>
      </c>
      <c r="K407" s="112"/>
      <c r="L407" s="37">
        <v>14.9981162188</v>
      </c>
      <c r="M407" s="37" t="s">
        <v>288</v>
      </c>
      <c r="N407" s="37">
        <v>3592.3639024390236</v>
      </c>
      <c r="O407" s="130">
        <f t="shared" si="28"/>
        <v>53878.691309002381</v>
      </c>
      <c r="P407" s="132">
        <f t="shared" ref="P407:P470" si="31">IF(O407="-","-",IF(OR(E407&lt;$E$15,E407&gt;$E$16),0,O407*J407))*Q407</f>
        <v>4733.0021026728127</v>
      </c>
      <c r="Q407" s="261">
        <v>0.11500738887574143</v>
      </c>
      <c r="R407" s="92"/>
    </row>
    <row r="408" spans="1:18" x14ac:dyDescent="0.25">
      <c r="A408" s="353">
        <v>41103</v>
      </c>
      <c r="B408" s="353" t="s">
        <v>285</v>
      </c>
      <c r="C408" s="263" t="s">
        <v>451</v>
      </c>
      <c r="D408" s="157" t="s">
        <v>464</v>
      </c>
      <c r="E408" s="44">
        <f t="shared" si="30"/>
        <v>41103</v>
      </c>
      <c r="F408" s="146" t="str">
        <f t="shared" ref="F408:F471" si="32">IF(E408="","-",IF(OR(E408&lt;$E$15,E408&gt;$E$16),"ERROR - date outside of range",IF(MONTH(E408)&gt;=7,YEAR(E408)&amp;"-"&amp;IF(YEAR(E408)=1999,"00",IF(AND(YEAR(E408)&gt;=2000,YEAR(E408)&lt;2009),"0","")&amp;RIGHT(YEAR(E408),2)+1),RIGHT(YEAR(E408),4)-1&amp;"-"&amp;RIGHT(YEAR(E408),2))))</f>
        <v>2012-13</v>
      </c>
      <c r="G408" s="1"/>
      <c r="H408" s="161"/>
      <c r="I408" s="37"/>
      <c r="J408" s="135">
        <f t="shared" si="29"/>
        <v>0.76382508261777382</v>
      </c>
      <c r="K408" s="112"/>
      <c r="L408" s="37">
        <v>10.451161966700001</v>
      </c>
      <c r="M408" s="37" t="s">
        <v>288</v>
      </c>
      <c r="N408" s="37">
        <v>812.22926829268283</v>
      </c>
      <c r="O408" s="130">
        <f t="shared" ref="O408:O471" si="33">IF(N408="","-",L408*N408)</f>
        <v>8488.7396370210572</v>
      </c>
      <c r="P408" s="132">
        <f t="shared" si="31"/>
        <v>745.69781809733104</v>
      </c>
      <c r="Q408" s="261">
        <v>0.11500738887574143</v>
      </c>
      <c r="R408" s="92"/>
    </row>
    <row r="409" spans="1:18" x14ac:dyDescent="0.25">
      <c r="A409" s="353">
        <v>41103</v>
      </c>
      <c r="B409" s="353" t="s">
        <v>285</v>
      </c>
      <c r="C409" s="263" t="s">
        <v>451</v>
      </c>
      <c r="D409" s="157" t="s">
        <v>464</v>
      </c>
      <c r="E409" s="44">
        <f t="shared" si="30"/>
        <v>41103</v>
      </c>
      <c r="F409" s="146" t="str">
        <f t="shared" si="32"/>
        <v>2012-13</v>
      </c>
      <c r="G409" s="1"/>
      <c r="H409" s="161"/>
      <c r="I409" s="37"/>
      <c r="J409" s="135">
        <f t="shared" ref="J409:J472" si="34">J408</f>
        <v>0.76382508261777382</v>
      </c>
      <c r="K409" s="112"/>
      <c r="L409" s="37">
        <v>59.567809539599999</v>
      </c>
      <c r="M409" s="37" t="s">
        <v>288</v>
      </c>
      <c r="N409" s="37">
        <v>3592.3639024390236</v>
      </c>
      <c r="O409" s="130">
        <f t="shared" si="33"/>
        <v>213989.24873742196</v>
      </c>
      <c r="P409" s="132">
        <f t="shared" si="31"/>
        <v>18797.998607927711</v>
      </c>
      <c r="Q409" s="261">
        <v>0.11500738887574143</v>
      </c>
      <c r="R409" s="92"/>
    </row>
    <row r="410" spans="1:18" x14ac:dyDescent="0.25">
      <c r="A410" s="353">
        <v>41221</v>
      </c>
      <c r="B410" s="353" t="s">
        <v>285</v>
      </c>
      <c r="C410" s="263" t="s">
        <v>452</v>
      </c>
      <c r="D410" s="157" t="s">
        <v>464</v>
      </c>
      <c r="E410" s="44">
        <f t="shared" si="30"/>
        <v>41221</v>
      </c>
      <c r="F410" s="146" t="str">
        <f t="shared" si="32"/>
        <v>2012-13</v>
      </c>
      <c r="G410" s="1"/>
      <c r="H410" s="161"/>
      <c r="I410" s="37"/>
      <c r="J410" s="135">
        <f t="shared" si="34"/>
        <v>0.76382508261777382</v>
      </c>
      <c r="K410" s="112"/>
      <c r="L410" s="37">
        <v>37.957928723800002</v>
      </c>
      <c r="M410" s="37" t="s">
        <v>288</v>
      </c>
      <c r="N410" s="37">
        <v>3875.3912195121943</v>
      </c>
      <c r="O410" s="130">
        <f t="shared" si="33"/>
        <v>147101.82368708425</v>
      </c>
      <c r="P410" s="132">
        <f t="shared" si="31"/>
        <v>40785.525628093863</v>
      </c>
      <c r="Q410" s="261">
        <v>0.36298952379576827</v>
      </c>
      <c r="R410" s="92"/>
    </row>
    <row r="411" spans="1:18" x14ac:dyDescent="0.25">
      <c r="A411" s="353">
        <v>41221</v>
      </c>
      <c r="B411" s="353" t="s">
        <v>285</v>
      </c>
      <c r="C411" s="263" t="s">
        <v>452</v>
      </c>
      <c r="D411" s="157" t="s">
        <v>464</v>
      </c>
      <c r="E411" s="44">
        <f t="shared" si="30"/>
        <v>41221</v>
      </c>
      <c r="F411" s="146" t="str">
        <f t="shared" si="32"/>
        <v>2012-13</v>
      </c>
      <c r="G411" s="1"/>
      <c r="H411" s="161"/>
      <c r="I411" s="37"/>
      <c r="J411" s="135">
        <f t="shared" si="34"/>
        <v>0.76382508261777382</v>
      </c>
      <c r="K411" s="112"/>
      <c r="L411" s="37">
        <v>44.276050800900002</v>
      </c>
      <c r="M411" s="37" t="s">
        <v>288</v>
      </c>
      <c r="N411" s="37">
        <v>3336.4019512195118</v>
      </c>
      <c r="O411" s="130">
        <f t="shared" si="33"/>
        <v>147722.702284417</v>
      </c>
      <c r="P411" s="132">
        <f t="shared" si="31"/>
        <v>40957.670740293943</v>
      </c>
      <c r="Q411" s="261">
        <v>0.36298952379576827</v>
      </c>
      <c r="R411" s="92"/>
    </row>
    <row r="412" spans="1:18" x14ac:dyDescent="0.25">
      <c r="A412" s="353">
        <v>41221</v>
      </c>
      <c r="B412" s="353" t="s">
        <v>285</v>
      </c>
      <c r="C412" s="263" t="s">
        <v>452</v>
      </c>
      <c r="D412" s="157" t="s">
        <v>464</v>
      </c>
      <c r="E412" s="44">
        <f t="shared" si="30"/>
        <v>41221</v>
      </c>
      <c r="F412" s="146" t="str">
        <f t="shared" si="32"/>
        <v>2012-13</v>
      </c>
      <c r="G412" s="1"/>
      <c r="H412" s="161"/>
      <c r="I412" s="37"/>
      <c r="J412" s="135">
        <f t="shared" si="34"/>
        <v>0.76382508261777382</v>
      </c>
      <c r="K412" s="112"/>
      <c r="L412" s="37">
        <v>78.297157866700005</v>
      </c>
      <c r="M412" s="37" t="s">
        <v>288</v>
      </c>
      <c r="N412" s="37">
        <v>3875.3912195121943</v>
      </c>
      <c r="O412" s="130">
        <f t="shared" si="33"/>
        <v>303432.1181093693</v>
      </c>
      <c r="P412" s="132">
        <f t="shared" si="31"/>
        <v>84129.7416941751</v>
      </c>
      <c r="Q412" s="261">
        <v>0.36298952379576827</v>
      </c>
      <c r="R412" s="92"/>
    </row>
    <row r="413" spans="1:18" x14ac:dyDescent="0.25">
      <c r="A413" s="353">
        <v>41221</v>
      </c>
      <c r="B413" s="353" t="s">
        <v>285</v>
      </c>
      <c r="C413" s="263" t="s">
        <v>452</v>
      </c>
      <c r="D413" s="157" t="s">
        <v>464</v>
      </c>
      <c r="E413" s="44">
        <f t="shared" si="30"/>
        <v>41221</v>
      </c>
      <c r="F413" s="146" t="str">
        <f t="shared" si="32"/>
        <v>2012-13</v>
      </c>
      <c r="G413" s="1"/>
      <c r="H413" s="161"/>
      <c r="I413" s="37"/>
      <c r="J413" s="135">
        <f t="shared" si="34"/>
        <v>0.76382508261777382</v>
      </c>
      <c r="K413" s="112"/>
      <c r="L413" s="37">
        <v>90.739482522900005</v>
      </c>
      <c r="M413" s="37" t="s">
        <v>288</v>
      </c>
      <c r="N413" s="37">
        <v>3336.4019512195118</v>
      </c>
      <c r="O413" s="130">
        <f t="shared" si="33"/>
        <v>302743.38654205238</v>
      </c>
      <c r="P413" s="132">
        <f t="shared" si="31"/>
        <v>83938.783633386964</v>
      </c>
      <c r="Q413" s="261">
        <v>0.36298952379576827</v>
      </c>
      <c r="R413" s="92"/>
    </row>
    <row r="414" spans="1:18" x14ac:dyDescent="0.25">
      <c r="A414" s="353">
        <v>41221</v>
      </c>
      <c r="B414" s="353" t="s">
        <v>285</v>
      </c>
      <c r="C414" s="263" t="s">
        <v>452</v>
      </c>
      <c r="D414" s="157" t="s">
        <v>464</v>
      </c>
      <c r="E414" s="44">
        <f t="shared" si="30"/>
        <v>41221</v>
      </c>
      <c r="F414" s="146" t="str">
        <f t="shared" si="32"/>
        <v>2012-13</v>
      </c>
      <c r="G414" s="1"/>
      <c r="H414" s="161"/>
      <c r="I414" s="37"/>
      <c r="J414" s="135">
        <f t="shared" si="34"/>
        <v>0.76382508261777382</v>
      </c>
      <c r="K414" s="112"/>
      <c r="L414" s="37">
        <v>44.267719641100001</v>
      </c>
      <c r="M414" s="37" t="s">
        <v>288</v>
      </c>
      <c r="N414" s="37">
        <v>3336.4019512195118</v>
      </c>
      <c r="O414" s="130">
        <f t="shared" si="33"/>
        <v>147694.90618660435</v>
      </c>
      <c r="P414" s="132">
        <f t="shared" si="31"/>
        <v>40949.963980232897</v>
      </c>
      <c r="Q414" s="261">
        <v>0.36298952379576827</v>
      </c>
      <c r="R414" s="92"/>
    </row>
    <row r="415" spans="1:18" x14ac:dyDescent="0.25">
      <c r="A415" s="353">
        <v>41221</v>
      </c>
      <c r="B415" s="353" t="s">
        <v>285</v>
      </c>
      <c r="C415" s="263" t="s">
        <v>452</v>
      </c>
      <c r="D415" s="157" t="s">
        <v>464</v>
      </c>
      <c r="E415" s="44">
        <f t="shared" si="30"/>
        <v>41221</v>
      </c>
      <c r="F415" s="146" t="str">
        <f t="shared" si="32"/>
        <v>2012-13</v>
      </c>
      <c r="G415" s="1"/>
      <c r="H415" s="161"/>
      <c r="I415" s="37"/>
      <c r="J415" s="135">
        <f t="shared" si="34"/>
        <v>0.76382508261777382</v>
      </c>
      <c r="K415" s="112"/>
      <c r="L415" s="37">
        <v>77.945646497300004</v>
      </c>
      <c r="M415" s="37" t="s">
        <v>288</v>
      </c>
      <c r="N415" s="37">
        <v>3336.4019512195118</v>
      </c>
      <c r="O415" s="130">
        <f t="shared" si="33"/>
        <v>260058.00706265803</v>
      </c>
      <c r="P415" s="132">
        <f t="shared" si="31"/>
        <v>72103.813848069432</v>
      </c>
      <c r="Q415" s="261">
        <v>0.36298952379576827</v>
      </c>
      <c r="R415" s="92"/>
    </row>
    <row r="416" spans="1:18" x14ac:dyDescent="0.25">
      <c r="A416" s="353">
        <v>41221</v>
      </c>
      <c r="B416" s="353" t="s">
        <v>285</v>
      </c>
      <c r="C416" s="263" t="s">
        <v>452</v>
      </c>
      <c r="D416" s="157" t="s">
        <v>464</v>
      </c>
      <c r="E416" s="44">
        <f t="shared" si="30"/>
        <v>41221</v>
      </c>
      <c r="F416" s="146" t="str">
        <f t="shared" si="32"/>
        <v>2012-13</v>
      </c>
      <c r="G416" s="1"/>
      <c r="H416" s="161"/>
      <c r="I416" s="37"/>
      <c r="J416" s="135">
        <f t="shared" si="34"/>
        <v>0.76382508261777382</v>
      </c>
      <c r="K416" s="112"/>
      <c r="L416" s="37">
        <v>21.867637137999999</v>
      </c>
      <c r="M416" s="37" t="s">
        <v>288</v>
      </c>
      <c r="N416" s="37">
        <v>3336.4019512195118</v>
      </c>
      <c r="O416" s="130">
        <f t="shared" si="33"/>
        <v>72959.227215783452</v>
      </c>
      <c r="P416" s="132">
        <f t="shared" si="31"/>
        <v>20228.712036535602</v>
      </c>
      <c r="Q416" s="261">
        <v>0.36298952379576827</v>
      </c>
      <c r="R416" s="92"/>
    </row>
    <row r="417" spans="1:18" x14ac:dyDescent="0.25">
      <c r="A417" s="353">
        <v>41221</v>
      </c>
      <c r="B417" s="353" t="s">
        <v>285</v>
      </c>
      <c r="C417" s="263" t="s">
        <v>452</v>
      </c>
      <c r="D417" s="157" t="s">
        <v>464</v>
      </c>
      <c r="E417" s="44">
        <f t="shared" si="30"/>
        <v>41221</v>
      </c>
      <c r="F417" s="146" t="str">
        <f t="shared" si="32"/>
        <v>2012-13</v>
      </c>
      <c r="G417" s="1"/>
      <c r="H417" s="161"/>
      <c r="I417" s="37"/>
      <c r="J417" s="135">
        <f t="shared" si="34"/>
        <v>0.76382508261777382</v>
      </c>
      <c r="K417" s="112"/>
      <c r="L417" s="37">
        <v>71.333363238100006</v>
      </c>
      <c r="M417" s="37" t="s">
        <v>288</v>
      </c>
      <c r="N417" s="37">
        <v>3875.3912195121943</v>
      </c>
      <c r="O417" s="130">
        <f t="shared" si="33"/>
        <v>276444.68955120671</v>
      </c>
      <c r="P417" s="132">
        <f t="shared" si="31"/>
        <v>76647.193677389791</v>
      </c>
      <c r="Q417" s="261">
        <v>0.36298952379576827</v>
      </c>
      <c r="R417" s="92"/>
    </row>
    <row r="418" spans="1:18" x14ac:dyDescent="0.25">
      <c r="A418" s="353">
        <v>41221</v>
      </c>
      <c r="B418" s="353" t="s">
        <v>285</v>
      </c>
      <c r="C418" s="263" t="s">
        <v>452</v>
      </c>
      <c r="D418" s="157" t="s">
        <v>464</v>
      </c>
      <c r="E418" s="44">
        <f t="shared" si="30"/>
        <v>41221</v>
      </c>
      <c r="F418" s="146" t="str">
        <f t="shared" si="32"/>
        <v>2012-13</v>
      </c>
      <c r="G418" s="1"/>
      <c r="H418" s="161"/>
      <c r="I418" s="37"/>
      <c r="J418" s="135">
        <f t="shared" si="34"/>
        <v>0.76382508261777382</v>
      </c>
      <c r="K418" s="112"/>
      <c r="L418" s="37">
        <v>31.686399763899999</v>
      </c>
      <c r="M418" s="37" t="s">
        <v>288</v>
      </c>
      <c r="N418" s="37">
        <v>3336.4019512195118</v>
      </c>
      <c r="O418" s="130">
        <f t="shared" si="33"/>
        <v>105718.56599939744</v>
      </c>
      <c r="P418" s="132">
        <f t="shared" si="31"/>
        <v>29311.582785715917</v>
      </c>
      <c r="Q418" s="261">
        <v>0.36298952379576827</v>
      </c>
      <c r="R418" s="92"/>
    </row>
    <row r="419" spans="1:18" x14ac:dyDescent="0.25">
      <c r="A419" s="353">
        <v>41221</v>
      </c>
      <c r="B419" s="353" t="s">
        <v>285</v>
      </c>
      <c r="C419" s="263" t="s">
        <v>452</v>
      </c>
      <c r="D419" s="157" t="s">
        <v>464</v>
      </c>
      <c r="E419" s="44">
        <f t="shared" si="30"/>
        <v>41221</v>
      </c>
      <c r="F419" s="146" t="str">
        <f t="shared" si="32"/>
        <v>2012-13</v>
      </c>
      <c r="G419" s="1"/>
      <c r="H419" s="161"/>
      <c r="I419" s="37"/>
      <c r="J419" s="135">
        <f t="shared" si="34"/>
        <v>0.76382508261777382</v>
      </c>
      <c r="K419" s="112"/>
      <c r="L419" s="37">
        <v>71.921078905200005</v>
      </c>
      <c r="M419" s="37" t="s">
        <v>288</v>
      </c>
      <c r="N419" s="37">
        <v>812.22926829268283</v>
      </c>
      <c r="O419" s="130">
        <f t="shared" si="33"/>
        <v>58416.405293990909</v>
      </c>
      <c r="P419" s="132">
        <f t="shared" si="31"/>
        <v>16196.561915420867</v>
      </c>
      <c r="Q419" s="261">
        <v>0.36298952379576827</v>
      </c>
      <c r="R419" s="92"/>
    </row>
    <row r="420" spans="1:18" x14ac:dyDescent="0.25">
      <c r="A420" s="353">
        <v>41221</v>
      </c>
      <c r="B420" s="353" t="s">
        <v>285</v>
      </c>
      <c r="C420" s="263" t="s">
        <v>452</v>
      </c>
      <c r="D420" s="157" t="s">
        <v>464</v>
      </c>
      <c r="E420" s="44">
        <f t="shared" si="30"/>
        <v>41221</v>
      </c>
      <c r="F420" s="146" t="str">
        <f t="shared" si="32"/>
        <v>2012-13</v>
      </c>
      <c r="G420" s="1"/>
      <c r="H420" s="161"/>
      <c r="I420" s="37"/>
      <c r="J420" s="135">
        <f t="shared" si="34"/>
        <v>0.76382508261777382</v>
      </c>
      <c r="K420" s="112"/>
      <c r="L420" s="37">
        <v>81.903508079199995</v>
      </c>
      <c r="M420" s="37" t="s">
        <v>288</v>
      </c>
      <c r="N420" s="37">
        <v>3875.3912195121943</v>
      </c>
      <c r="O420" s="130">
        <f t="shared" si="33"/>
        <v>317408.13605737773</v>
      </c>
      <c r="P420" s="132">
        <f t="shared" si="31"/>
        <v>88004.739460414523</v>
      </c>
      <c r="Q420" s="261">
        <v>0.36298952379576827</v>
      </c>
      <c r="R420" s="92"/>
    </row>
    <row r="421" spans="1:18" x14ac:dyDescent="0.25">
      <c r="A421" s="353">
        <v>41221</v>
      </c>
      <c r="B421" s="353" t="s">
        <v>285</v>
      </c>
      <c r="C421" s="263" t="s">
        <v>452</v>
      </c>
      <c r="D421" s="157" t="s">
        <v>464</v>
      </c>
      <c r="E421" s="44">
        <f t="shared" si="30"/>
        <v>41221</v>
      </c>
      <c r="F421" s="146" t="str">
        <f t="shared" si="32"/>
        <v>2012-13</v>
      </c>
      <c r="G421" s="1"/>
      <c r="H421" s="161"/>
      <c r="I421" s="37"/>
      <c r="J421" s="135">
        <f t="shared" si="34"/>
        <v>0.76382508261777382</v>
      </c>
      <c r="K421" s="112"/>
      <c r="L421" s="37">
        <v>66.191697160399997</v>
      </c>
      <c r="M421" s="37" t="s">
        <v>288</v>
      </c>
      <c r="N421" s="37">
        <v>812.22926829268283</v>
      </c>
      <c r="O421" s="130">
        <f t="shared" si="33"/>
        <v>53762.833751642538</v>
      </c>
      <c r="P421" s="132">
        <f t="shared" si="31"/>
        <v>14906.310328830361</v>
      </c>
      <c r="Q421" s="261">
        <v>0.36298952379576827</v>
      </c>
      <c r="R421" s="92"/>
    </row>
    <row r="422" spans="1:18" x14ac:dyDescent="0.25">
      <c r="A422" s="353">
        <v>41221</v>
      </c>
      <c r="B422" s="353" t="s">
        <v>285</v>
      </c>
      <c r="C422" s="263" t="s">
        <v>452</v>
      </c>
      <c r="D422" s="157" t="s">
        <v>464</v>
      </c>
      <c r="E422" s="44">
        <f t="shared" si="30"/>
        <v>41221</v>
      </c>
      <c r="F422" s="146" t="str">
        <f t="shared" si="32"/>
        <v>2012-13</v>
      </c>
      <c r="G422" s="1"/>
      <c r="H422" s="161"/>
      <c r="I422" s="37"/>
      <c r="J422" s="135">
        <f t="shared" si="34"/>
        <v>0.76382508261777382</v>
      </c>
      <c r="K422" s="112"/>
      <c r="L422" s="37">
        <v>53.0004713744</v>
      </c>
      <c r="M422" s="37" t="s">
        <v>288</v>
      </c>
      <c r="N422" s="37">
        <v>3336.4019512195118</v>
      </c>
      <c r="O422" s="130">
        <f t="shared" si="33"/>
        <v>176830.87610910204</v>
      </c>
      <c r="P422" s="132">
        <f t="shared" si="31"/>
        <v>49028.217656415829</v>
      </c>
      <c r="Q422" s="261">
        <v>0.36298952379576827</v>
      </c>
      <c r="R422" s="92"/>
    </row>
    <row r="423" spans="1:18" x14ac:dyDescent="0.25">
      <c r="A423" s="353">
        <v>41221</v>
      </c>
      <c r="B423" s="353" t="s">
        <v>285</v>
      </c>
      <c r="C423" s="263" t="s">
        <v>452</v>
      </c>
      <c r="D423" s="157" t="s">
        <v>464</v>
      </c>
      <c r="E423" s="44">
        <f t="shared" si="30"/>
        <v>41221</v>
      </c>
      <c r="F423" s="146" t="str">
        <f t="shared" si="32"/>
        <v>2012-13</v>
      </c>
      <c r="G423" s="1"/>
      <c r="H423" s="161"/>
      <c r="I423" s="37"/>
      <c r="J423" s="135">
        <f t="shared" si="34"/>
        <v>0.76382508261777382</v>
      </c>
      <c r="K423" s="112"/>
      <c r="L423" s="37">
        <v>53.556443894399997</v>
      </c>
      <c r="M423" s="37" t="s">
        <v>288</v>
      </c>
      <c r="N423" s="37">
        <v>812.22926829268283</v>
      </c>
      <c r="O423" s="130">
        <f t="shared" si="33"/>
        <v>43500.111236706631</v>
      </c>
      <c r="P423" s="132">
        <f t="shared" si="31"/>
        <v>12060.862722162208</v>
      </c>
      <c r="Q423" s="261">
        <v>0.36298952379576827</v>
      </c>
      <c r="R423" s="92"/>
    </row>
    <row r="424" spans="1:18" x14ac:dyDescent="0.25">
      <c r="A424" s="353">
        <v>41221</v>
      </c>
      <c r="B424" s="353" t="s">
        <v>285</v>
      </c>
      <c r="C424" s="263" t="s">
        <v>452</v>
      </c>
      <c r="D424" s="157" t="s">
        <v>464</v>
      </c>
      <c r="E424" s="44">
        <f t="shared" si="30"/>
        <v>41221</v>
      </c>
      <c r="F424" s="146" t="str">
        <f t="shared" si="32"/>
        <v>2012-13</v>
      </c>
      <c r="G424" s="1"/>
      <c r="H424" s="161"/>
      <c r="I424" s="37"/>
      <c r="J424" s="135">
        <f t="shared" si="34"/>
        <v>0.76382508261777382</v>
      </c>
      <c r="K424" s="112"/>
      <c r="L424" s="37">
        <v>32.673319185099999</v>
      </c>
      <c r="M424" s="37" t="s">
        <v>288</v>
      </c>
      <c r="N424" s="37">
        <v>3336.4019512195118</v>
      </c>
      <c r="O424" s="130">
        <f t="shared" si="33"/>
        <v>109011.32588198554</v>
      </c>
      <c r="P424" s="132">
        <f t="shared" si="31"/>
        <v>30224.535047029367</v>
      </c>
      <c r="Q424" s="261">
        <v>0.36298952379576827</v>
      </c>
      <c r="R424" s="92"/>
    </row>
    <row r="425" spans="1:18" x14ac:dyDescent="0.25">
      <c r="A425" s="353">
        <v>41221</v>
      </c>
      <c r="B425" s="353" t="s">
        <v>285</v>
      </c>
      <c r="C425" s="263" t="s">
        <v>452</v>
      </c>
      <c r="D425" s="157" t="s">
        <v>464</v>
      </c>
      <c r="E425" s="44">
        <f t="shared" si="30"/>
        <v>41221</v>
      </c>
      <c r="F425" s="146" t="str">
        <f t="shared" si="32"/>
        <v>2012-13</v>
      </c>
      <c r="G425" s="1"/>
      <c r="H425" s="161"/>
      <c r="I425" s="37"/>
      <c r="J425" s="135">
        <f t="shared" si="34"/>
        <v>0.76382508261777382</v>
      </c>
      <c r="K425" s="112"/>
      <c r="L425" s="37">
        <v>9.4258433090500002</v>
      </c>
      <c r="M425" s="37" t="s">
        <v>288</v>
      </c>
      <c r="N425" s="37">
        <v>812.22926829268283</v>
      </c>
      <c r="O425" s="130">
        <f t="shared" si="33"/>
        <v>7655.9458139511617</v>
      </c>
      <c r="P425" s="132">
        <f t="shared" si="31"/>
        <v>2122.691387337431</v>
      </c>
      <c r="Q425" s="261">
        <v>0.36298952379576827</v>
      </c>
      <c r="R425" s="92"/>
    </row>
    <row r="426" spans="1:18" x14ac:dyDescent="0.25">
      <c r="A426" s="353">
        <v>41103</v>
      </c>
      <c r="B426" s="353" t="s">
        <v>285</v>
      </c>
      <c r="C426" s="263" t="s">
        <v>451</v>
      </c>
      <c r="D426" s="157" t="s">
        <v>464</v>
      </c>
      <c r="E426" s="44">
        <f t="shared" si="30"/>
        <v>41103</v>
      </c>
      <c r="F426" s="146" t="str">
        <f t="shared" si="32"/>
        <v>2012-13</v>
      </c>
      <c r="G426" s="1"/>
      <c r="H426" s="161"/>
      <c r="I426" s="37"/>
      <c r="J426" s="135">
        <f t="shared" si="34"/>
        <v>0.76382508261777382</v>
      </c>
      <c r="K426" s="112"/>
      <c r="L426" s="37">
        <v>74.444116427799997</v>
      </c>
      <c r="M426" s="37" t="s">
        <v>288</v>
      </c>
      <c r="N426" s="37">
        <v>3336.4019512195118</v>
      </c>
      <c r="O426" s="130">
        <f t="shared" si="33"/>
        <v>248375.49530652442</v>
      </c>
      <c r="P426" s="132">
        <f t="shared" si="31"/>
        <v>21818.676604377011</v>
      </c>
      <c r="Q426" s="261">
        <v>0.11500738887574143</v>
      </c>
      <c r="R426" s="92"/>
    </row>
    <row r="427" spans="1:18" x14ac:dyDescent="0.25">
      <c r="A427" s="353">
        <v>41103</v>
      </c>
      <c r="B427" s="353" t="s">
        <v>285</v>
      </c>
      <c r="C427" s="263" t="s">
        <v>451</v>
      </c>
      <c r="D427" s="157" t="s">
        <v>464</v>
      </c>
      <c r="E427" s="44">
        <f t="shared" si="30"/>
        <v>41103</v>
      </c>
      <c r="F427" s="146" t="str">
        <f t="shared" si="32"/>
        <v>2012-13</v>
      </c>
      <c r="G427" s="1"/>
      <c r="H427" s="161"/>
      <c r="I427" s="37"/>
      <c r="J427" s="135">
        <f t="shared" si="34"/>
        <v>0.76382508261777382</v>
      </c>
      <c r="K427" s="112"/>
      <c r="L427" s="37">
        <v>22.948074287000001</v>
      </c>
      <c r="M427" s="37" t="s">
        <v>288</v>
      </c>
      <c r="N427" s="37">
        <v>3592.3639024390236</v>
      </c>
      <c r="O427" s="130">
        <f t="shared" si="33"/>
        <v>82437.833699107941</v>
      </c>
      <c r="P427" s="132">
        <f t="shared" si="31"/>
        <v>7241.7950540026595</v>
      </c>
      <c r="Q427" s="261">
        <v>0.11500738887574143</v>
      </c>
      <c r="R427" s="92"/>
    </row>
    <row r="428" spans="1:18" x14ac:dyDescent="0.25">
      <c r="A428" s="353">
        <v>41103</v>
      </c>
      <c r="B428" s="353" t="s">
        <v>285</v>
      </c>
      <c r="C428" s="263" t="s">
        <v>451</v>
      </c>
      <c r="D428" s="157" t="s">
        <v>464</v>
      </c>
      <c r="E428" s="44">
        <f t="shared" si="30"/>
        <v>41103</v>
      </c>
      <c r="F428" s="146" t="str">
        <f t="shared" si="32"/>
        <v>2012-13</v>
      </c>
      <c r="G428" s="1"/>
      <c r="H428" s="161"/>
      <c r="I428" s="37"/>
      <c r="J428" s="135">
        <f t="shared" si="34"/>
        <v>0.76382508261777382</v>
      </c>
      <c r="K428" s="112"/>
      <c r="L428" s="37">
        <v>34.276869471700003</v>
      </c>
      <c r="M428" s="37" t="s">
        <v>288</v>
      </c>
      <c r="N428" s="37">
        <v>950.87219512195099</v>
      </c>
      <c r="O428" s="130">
        <f t="shared" si="33"/>
        <v>32592.922116463971</v>
      </c>
      <c r="P428" s="132">
        <f t="shared" si="31"/>
        <v>2863.1424624766282</v>
      </c>
      <c r="Q428" s="261">
        <v>0.11500738887574143</v>
      </c>
      <c r="R428" s="92"/>
    </row>
    <row r="429" spans="1:18" x14ac:dyDescent="0.25">
      <c r="A429" s="353">
        <v>41103</v>
      </c>
      <c r="B429" s="353" t="s">
        <v>285</v>
      </c>
      <c r="C429" s="263" t="s">
        <v>451</v>
      </c>
      <c r="D429" s="157" t="s">
        <v>464</v>
      </c>
      <c r="E429" s="44">
        <f t="shared" si="30"/>
        <v>41103</v>
      </c>
      <c r="F429" s="146" t="str">
        <f t="shared" si="32"/>
        <v>2012-13</v>
      </c>
      <c r="G429" s="1"/>
      <c r="H429" s="161"/>
      <c r="I429" s="37"/>
      <c r="J429" s="135">
        <f t="shared" si="34"/>
        <v>0.76382508261777382</v>
      </c>
      <c r="K429" s="112"/>
      <c r="L429" s="37">
        <v>8.3140038489299997</v>
      </c>
      <c r="M429" s="37" t="s">
        <v>288</v>
      </c>
      <c r="N429" s="37">
        <v>950.87219512195099</v>
      </c>
      <c r="O429" s="130">
        <f t="shared" si="33"/>
        <v>7905.5550900844182</v>
      </c>
      <c r="P429" s="132">
        <f t="shared" si="31"/>
        <v>694.46766346964785</v>
      </c>
      <c r="Q429" s="261">
        <v>0.11500738887574143</v>
      </c>
      <c r="R429" s="92"/>
    </row>
    <row r="430" spans="1:18" x14ac:dyDescent="0.25">
      <c r="A430" s="353">
        <v>41103</v>
      </c>
      <c r="B430" s="353" t="s">
        <v>285</v>
      </c>
      <c r="C430" s="263" t="s">
        <v>451</v>
      </c>
      <c r="D430" s="157" t="s">
        <v>464</v>
      </c>
      <c r="E430" s="44">
        <f t="shared" si="30"/>
        <v>41103</v>
      </c>
      <c r="F430" s="146" t="str">
        <f t="shared" si="32"/>
        <v>2012-13</v>
      </c>
      <c r="G430" s="1"/>
      <c r="H430" s="161"/>
      <c r="I430" s="37"/>
      <c r="J430" s="135">
        <f t="shared" si="34"/>
        <v>0.76382508261777382</v>
      </c>
      <c r="K430" s="112"/>
      <c r="L430" s="37">
        <v>23.032855772200001</v>
      </c>
      <c r="M430" s="37" t="s">
        <v>288</v>
      </c>
      <c r="N430" s="37">
        <v>3336.4019512195118</v>
      </c>
      <c r="O430" s="130">
        <f t="shared" si="33"/>
        <v>76846.864940525687</v>
      </c>
      <c r="P430" s="132">
        <f t="shared" si="31"/>
        <v>6750.6534496421546</v>
      </c>
      <c r="Q430" s="261">
        <v>0.11500738887574143</v>
      </c>
      <c r="R430" s="92"/>
    </row>
    <row r="431" spans="1:18" x14ac:dyDescent="0.25">
      <c r="A431" s="353">
        <v>41103</v>
      </c>
      <c r="B431" s="353" t="s">
        <v>285</v>
      </c>
      <c r="C431" s="263" t="s">
        <v>451</v>
      </c>
      <c r="D431" s="157" t="s">
        <v>464</v>
      </c>
      <c r="E431" s="44">
        <f t="shared" si="30"/>
        <v>41103</v>
      </c>
      <c r="F431" s="146" t="str">
        <f t="shared" si="32"/>
        <v>2012-13</v>
      </c>
      <c r="G431" s="1"/>
      <c r="H431" s="161"/>
      <c r="I431" s="37"/>
      <c r="J431" s="135">
        <f t="shared" si="34"/>
        <v>0.76382508261777382</v>
      </c>
      <c r="K431" s="112"/>
      <c r="L431" s="37">
        <v>23.141640625000001</v>
      </c>
      <c r="M431" s="37" t="s">
        <v>288</v>
      </c>
      <c r="N431" s="37">
        <v>3336.4019512195118</v>
      </c>
      <c r="O431" s="130">
        <f t="shared" si="33"/>
        <v>77209.814935670729</v>
      </c>
      <c r="P431" s="132">
        <f t="shared" si="31"/>
        <v>6782.5369837156622</v>
      </c>
      <c r="Q431" s="261">
        <v>0.11500738887574143</v>
      </c>
      <c r="R431" s="92"/>
    </row>
    <row r="432" spans="1:18" x14ac:dyDescent="0.25">
      <c r="A432" s="353">
        <v>41103</v>
      </c>
      <c r="B432" s="353" t="s">
        <v>285</v>
      </c>
      <c r="C432" s="263" t="s">
        <v>451</v>
      </c>
      <c r="D432" s="157" t="s">
        <v>464</v>
      </c>
      <c r="E432" s="44">
        <f t="shared" si="30"/>
        <v>41103</v>
      </c>
      <c r="F432" s="146" t="str">
        <f t="shared" si="32"/>
        <v>2012-13</v>
      </c>
      <c r="G432" s="1"/>
      <c r="H432" s="161"/>
      <c r="I432" s="37"/>
      <c r="J432" s="135">
        <f t="shared" si="34"/>
        <v>0.76382508261777382</v>
      </c>
      <c r="K432" s="112"/>
      <c r="L432" s="37">
        <v>21.936622958299999</v>
      </c>
      <c r="M432" s="37" t="s">
        <v>288</v>
      </c>
      <c r="N432" s="37">
        <v>3336.4019512195118</v>
      </c>
      <c r="O432" s="130">
        <f t="shared" si="33"/>
        <v>73189.391641238864</v>
      </c>
      <c r="P432" s="132">
        <f t="shared" si="31"/>
        <v>6429.3607753878005</v>
      </c>
      <c r="Q432" s="261">
        <v>0.11500738887574143</v>
      </c>
      <c r="R432" s="92"/>
    </row>
    <row r="433" spans="1:18" x14ac:dyDescent="0.25">
      <c r="A433" s="353">
        <v>41103</v>
      </c>
      <c r="B433" s="353" t="s">
        <v>285</v>
      </c>
      <c r="C433" s="263" t="s">
        <v>451</v>
      </c>
      <c r="D433" s="157" t="s">
        <v>464</v>
      </c>
      <c r="E433" s="44">
        <f t="shared" si="30"/>
        <v>41103</v>
      </c>
      <c r="F433" s="146" t="str">
        <f t="shared" si="32"/>
        <v>2012-13</v>
      </c>
      <c r="G433" s="1"/>
      <c r="H433" s="161"/>
      <c r="I433" s="37"/>
      <c r="J433" s="135">
        <f t="shared" si="34"/>
        <v>0.76382508261777382</v>
      </c>
      <c r="K433" s="112"/>
      <c r="L433" s="37">
        <v>43.968845651599999</v>
      </c>
      <c r="M433" s="37" t="s">
        <v>288</v>
      </c>
      <c r="N433" s="37">
        <v>812.22926829268283</v>
      </c>
      <c r="O433" s="130">
        <f t="shared" si="33"/>
        <v>35712.783331272978</v>
      </c>
      <c r="P433" s="132">
        <f t="shared" si="31"/>
        <v>3137.2083191443667</v>
      </c>
      <c r="Q433" s="261">
        <v>0.11500738887574143</v>
      </c>
      <c r="R433" s="92"/>
    </row>
    <row r="434" spans="1:18" x14ac:dyDescent="0.25">
      <c r="A434" s="353">
        <v>41103</v>
      </c>
      <c r="B434" s="353" t="s">
        <v>285</v>
      </c>
      <c r="C434" s="263" t="s">
        <v>451</v>
      </c>
      <c r="D434" s="157" t="s">
        <v>464</v>
      </c>
      <c r="E434" s="44">
        <f t="shared" si="30"/>
        <v>41103</v>
      </c>
      <c r="F434" s="146" t="str">
        <f t="shared" si="32"/>
        <v>2012-13</v>
      </c>
      <c r="G434" s="1"/>
      <c r="H434" s="161"/>
      <c r="I434" s="37"/>
      <c r="J434" s="135">
        <f t="shared" si="34"/>
        <v>0.76382508261777382</v>
      </c>
      <c r="K434" s="112"/>
      <c r="L434" s="37">
        <v>43.471303280999997</v>
      </c>
      <c r="M434" s="37" t="s">
        <v>288</v>
      </c>
      <c r="N434" s="37">
        <v>812.22926829268283</v>
      </c>
      <c r="O434" s="130">
        <f t="shared" si="33"/>
        <v>35308.66485565593</v>
      </c>
      <c r="P434" s="132">
        <f t="shared" si="31"/>
        <v>3101.7083181540897</v>
      </c>
      <c r="Q434" s="261">
        <v>0.11500738887574143</v>
      </c>
      <c r="R434" s="92"/>
    </row>
    <row r="435" spans="1:18" x14ac:dyDescent="0.25">
      <c r="A435" s="353">
        <v>41103</v>
      </c>
      <c r="B435" s="353" t="s">
        <v>285</v>
      </c>
      <c r="C435" s="263" t="s">
        <v>451</v>
      </c>
      <c r="D435" s="157" t="s">
        <v>464</v>
      </c>
      <c r="E435" s="44">
        <f t="shared" si="30"/>
        <v>41103</v>
      </c>
      <c r="F435" s="146" t="str">
        <f t="shared" si="32"/>
        <v>2012-13</v>
      </c>
      <c r="G435" s="1"/>
      <c r="H435" s="161"/>
      <c r="I435" s="37"/>
      <c r="J435" s="135">
        <f t="shared" si="34"/>
        <v>0.76382508261777382</v>
      </c>
      <c r="K435" s="112"/>
      <c r="L435" s="37">
        <v>82.117747219999998</v>
      </c>
      <c r="M435" s="37" t="s">
        <v>288</v>
      </c>
      <c r="N435" s="37">
        <v>812.22926829268283</v>
      </c>
      <c r="O435" s="130">
        <f t="shared" si="33"/>
        <v>66698.437738344088</v>
      </c>
      <c r="P435" s="132">
        <f t="shared" si="31"/>
        <v>5859.1595005543095</v>
      </c>
      <c r="Q435" s="261">
        <v>0.11500738887574143</v>
      </c>
      <c r="R435" s="92"/>
    </row>
    <row r="436" spans="1:18" x14ac:dyDescent="0.25">
      <c r="A436" s="353">
        <v>41103</v>
      </c>
      <c r="B436" s="353" t="s">
        <v>285</v>
      </c>
      <c r="C436" s="263" t="s">
        <v>451</v>
      </c>
      <c r="D436" s="157" t="s">
        <v>464</v>
      </c>
      <c r="E436" s="44">
        <f t="shared" si="30"/>
        <v>41103</v>
      </c>
      <c r="F436" s="146" t="str">
        <f t="shared" si="32"/>
        <v>2012-13</v>
      </c>
      <c r="G436" s="1"/>
      <c r="H436" s="161"/>
      <c r="I436" s="37"/>
      <c r="J436" s="135">
        <f t="shared" si="34"/>
        <v>0.76382508261777382</v>
      </c>
      <c r="K436" s="112"/>
      <c r="L436" s="37">
        <v>31.093024155999998</v>
      </c>
      <c r="M436" s="37" t="s">
        <v>288</v>
      </c>
      <c r="N436" s="37">
        <v>812.22926829268283</v>
      </c>
      <c r="O436" s="130">
        <f t="shared" si="33"/>
        <v>25254.664259234592</v>
      </c>
      <c r="P436" s="132">
        <f t="shared" si="31"/>
        <v>2218.5093241357436</v>
      </c>
      <c r="Q436" s="261">
        <v>0.11500738887574143</v>
      </c>
      <c r="R436" s="92"/>
    </row>
    <row r="437" spans="1:18" x14ac:dyDescent="0.25">
      <c r="A437" s="353">
        <v>41103</v>
      </c>
      <c r="B437" s="353" t="s">
        <v>285</v>
      </c>
      <c r="C437" s="263" t="s">
        <v>451</v>
      </c>
      <c r="D437" s="157" t="s">
        <v>464</v>
      </c>
      <c r="E437" s="44">
        <f t="shared" si="30"/>
        <v>41103</v>
      </c>
      <c r="F437" s="146" t="str">
        <f t="shared" si="32"/>
        <v>2012-13</v>
      </c>
      <c r="G437" s="1"/>
      <c r="H437" s="161"/>
      <c r="I437" s="37"/>
      <c r="J437" s="135">
        <f t="shared" si="34"/>
        <v>0.76382508261777382</v>
      </c>
      <c r="K437" s="112"/>
      <c r="L437" s="37">
        <v>46.723268613899997</v>
      </c>
      <c r="M437" s="37" t="s">
        <v>288</v>
      </c>
      <c r="N437" s="37">
        <v>812.22926829268283</v>
      </c>
      <c r="O437" s="130">
        <f t="shared" si="33"/>
        <v>37950.006278510467</v>
      </c>
      <c r="P437" s="132">
        <f t="shared" si="31"/>
        <v>3333.7383508909556</v>
      </c>
      <c r="Q437" s="261">
        <v>0.11500738887574143</v>
      </c>
      <c r="R437" s="92"/>
    </row>
    <row r="438" spans="1:18" x14ac:dyDescent="0.25">
      <c r="A438" s="353">
        <v>41103</v>
      </c>
      <c r="B438" s="353" t="s">
        <v>285</v>
      </c>
      <c r="C438" s="263" t="s">
        <v>451</v>
      </c>
      <c r="D438" s="157" t="s">
        <v>464</v>
      </c>
      <c r="E438" s="44">
        <f t="shared" si="30"/>
        <v>41103</v>
      </c>
      <c r="F438" s="146" t="str">
        <f t="shared" si="32"/>
        <v>2012-13</v>
      </c>
      <c r="G438" s="1"/>
      <c r="H438" s="161"/>
      <c r="I438" s="37"/>
      <c r="J438" s="135">
        <f t="shared" si="34"/>
        <v>0.76382508261777382</v>
      </c>
      <c r="K438" s="112"/>
      <c r="L438" s="37">
        <v>15.008741647100001</v>
      </c>
      <c r="M438" s="37" t="s">
        <v>288</v>
      </c>
      <c r="N438" s="37">
        <v>3336.4019512195118</v>
      </c>
      <c r="O438" s="130">
        <f t="shared" si="33"/>
        <v>50075.194916733992</v>
      </c>
      <c r="P438" s="132">
        <f t="shared" si="31"/>
        <v>4398.8819526700809</v>
      </c>
      <c r="Q438" s="261">
        <v>0.11500738887574143</v>
      </c>
      <c r="R438" s="92"/>
    </row>
    <row r="439" spans="1:18" x14ac:dyDescent="0.25">
      <c r="A439" s="353">
        <v>41103</v>
      </c>
      <c r="B439" s="353" t="s">
        <v>285</v>
      </c>
      <c r="C439" s="263" t="s">
        <v>451</v>
      </c>
      <c r="D439" s="157" t="s">
        <v>464</v>
      </c>
      <c r="E439" s="44">
        <f t="shared" si="30"/>
        <v>41103</v>
      </c>
      <c r="F439" s="146" t="str">
        <f t="shared" si="32"/>
        <v>2012-13</v>
      </c>
      <c r="G439" s="1"/>
      <c r="H439" s="161"/>
      <c r="I439" s="37"/>
      <c r="J439" s="135">
        <f t="shared" si="34"/>
        <v>0.76382508261777382</v>
      </c>
      <c r="K439" s="112"/>
      <c r="L439" s="37">
        <v>83.914368583799998</v>
      </c>
      <c r="M439" s="37" t="s">
        <v>288</v>
      </c>
      <c r="N439" s="37">
        <v>3336.4019512195118</v>
      </c>
      <c r="O439" s="130">
        <f t="shared" si="33"/>
        <v>279972.06307834364</v>
      </c>
      <c r="P439" s="132">
        <f t="shared" si="31"/>
        <v>24594.293793064691</v>
      </c>
      <c r="Q439" s="261">
        <v>0.11500738887574143</v>
      </c>
      <c r="R439" s="92"/>
    </row>
    <row r="440" spans="1:18" x14ac:dyDescent="0.25">
      <c r="A440" s="353">
        <v>41103</v>
      </c>
      <c r="B440" s="353" t="s">
        <v>285</v>
      </c>
      <c r="C440" s="263" t="s">
        <v>451</v>
      </c>
      <c r="D440" s="157" t="s">
        <v>464</v>
      </c>
      <c r="E440" s="44">
        <f t="shared" si="30"/>
        <v>41103</v>
      </c>
      <c r="F440" s="146" t="str">
        <f t="shared" si="32"/>
        <v>2012-13</v>
      </c>
      <c r="G440" s="1"/>
      <c r="H440" s="161"/>
      <c r="I440" s="37"/>
      <c r="J440" s="135">
        <f t="shared" si="34"/>
        <v>0.76382508261777382</v>
      </c>
      <c r="K440" s="112"/>
      <c r="L440" s="37">
        <v>29.193229530299998</v>
      </c>
      <c r="M440" s="37" t="s">
        <v>288</v>
      </c>
      <c r="N440" s="37">
        <v>3336.4019512195118</v>
      </c>
      <c r="O440" s="130">
        <f t="shared" si="33"/>
        <v>97400.347967291993</v>
      </c>
      <c r="P440" s="132">
        <f t="shared" si="31"/>
        <v>8556.1850247322272</v>
      </c>
      <c r="Q440" s="261">
        <v>0.11500738887574143</v>
      </c>
      <c r="R440" s="92"/>
    </row>
    <row r="441" spans="1:18" x14ac:dyDescent="0.25">
      <c r="A441" s="353">
        <v>41103</v>
      </c>
      <c r="B441" s="353" t="s">
        <v>285</v>
      </c>
      <c r="C441" s="263" t="s">
        <v>451</v>
      </c>
      <c r="D441" s="157" t="s">
        <v>464</v>
      </c>
      <c r="E441" s="44">
        <f t="shared" si="30"/>
        <v>41103</v>
      </c>
      <c r="F441" s="146" t="str">
        <f t="shared" si="32"/>
        <v>2012-13</v>
      </c>
      <c r="G441" s="1"/>
      <c r="H441" s="161"/>
      <c r="I441" s="37"/>
      <c r="J441" s="135">
        <f t="shared" si="34"/>
        <v>0.76382508261777382</v>
      </c>
      <c r="K441" s="112"/>
      <c r="L441" s="37">
        <v>19.881367098799998</v>
      </c>
      <c r="M441" s="37" t="s">
        <v>288</v>
      </c>
      <c r="N441" s="37">
        <v>812.22926829268283</v>
      </c>
      <c r="O441" s="130">
        <f t="shared" si="33"/>
        <v>16148.228251316541</v>
      </c>
      <c r="P441" s="132">
        <f t="shared" si="31"/>
        <v>1418.5496420020017</v>
      </c>
      <c r="Q441" s="261">
        <v>0.11500738887574143</v>
      </c>
      <c r="R441" s="92"/>
    </row>
    <row r="442" spans="1:18" x14ac:dyDescent="0.25">
      <c r="A442" s="353">
        <v>41103</v>
      </c>
      <c r="B442" s="353" t="s">
        <v>285</v>
      </c>
      <c r="C442" s="263" t="s">
        <v>451</v>
      </c>
      <c r="D442" s="157" t="s">
        <v>464</v>
      </c>
      <c r="E442" s="44">
        <f t="shared" si="30"/>
        <v>41103</v>
      </c>
      <c r="F442" s="146" t="str">
        <f t="shared" si="32"/>
        <v>2012-13</v>
      </c>
      <c r="G442" s="1"/>
      <c r="H442" s="161"/>
      <c r="I442" s="37"/>
      <c r="J442" s="135">
        <f t="shared" si="34"/>
        <v>0.76382508261777382</v>
      </c>
      <c r="K442" s="112"/>
      <c r="L442" s="37">
        <v>20.776787167399998</v>
      </c>
      <c r="M442" s="37" t="s">
        <v>288</v>
      </c>
      <c r="N442" s="37">
        <v>812.22926829268283</v>
      </c>
      <c r="O442" s="130">
        <f t="shared" si="33"/>
        <v>16875.514638450102</v>
      </c>
      <c r="P442" s="132">
        <f t="shared" si="31"/>
        <v>1482.4384989121791</v>
      </c>
      <c r="Q442" s="261">
        <v>0.11500738887574143</v>
      </c>
      <c r="R442" s="92"/>
    </row>
    <row r="443" spans="1:18" x14ac:dyDescent="0.25">
      <c r="A443" s="353">
        <v>41103</v>
      </c>
      <c r="B443" s="353" t="s">
        <v>285</v>
      </c>
      <c r="C443" s="263" t="s">
        <v>451</v>
      </c>
      <c r="D443" s="157" t="s">
        <v>464</v>
      </c>
      <c r="E443" s="44">
        <f t="shared" si="30"/>
        <v>41103</v>
      </c>
      <c r="F443" s="146" t="str">
        <f t="shared" si="32"/>
        <v>2012-13</v>
      </c>
      <c r="G443" s="1"/>
      <c r="H443" s="161"/>
      <c r="I443" s="37"/>
      <c r="J443" s="135">
        <f t="shared" si="34"/>
        <v>0.76382508261777382</v>
      </c>
      <c r="K443" s="112"/>
      <c r="L443" s="37">
        <v>29.2294876616</v>
      </c>
      <c r="M443" s="37" t="s">
        <v>288</v>
      </c>
      <c r="N443" s="37">
        <v>812.22926829268283</v>
      </c>
      <c r="O443" s="130">
        <f t="shared" si="33"/>
        <v>23741.045375951369</v>
      </c>
      <c r="P443" s="132">
        <f t="shared" si="31"/>
        <v>2085.5446736742397</v>
      </c>
      <c r="Q443" s="261">
        <v>0.11500738887574143</v>
      </c>
      <c r="R443" s="92"/>
    </row>
    <row r="444" spans="1:18" x14ac:dyDescent="0.25">
      <c r="A444" s="353">
        <v>41103</v>
      </c>
      <c r="B444" s="353" t="s">
        <v>285</v>
      </c>
      <c r="C444" s="263" t="s">
        <v>451</v>
      </c>
      <c r="D444" s="157" t="s">
        <v>464</v>
      </c>
      <c r="E444" s="44">
        <f t="shared" si="30"/>
        <v>41103</v>
      </c>
      <c r="F444" s="146" t="str">
        <f t="shared" si="32"/>
        <v>2012-13</v>
      </c>
      <c r="G444" s="1"/>
      <c r="H444" s="161"/>
      <c r="I444" s="37"/>
      <c r="J444" s="135">
        <f t="shared" si="34"/>
        <v>0.76382508261777382</v>
      </c>
      <c r="K444" s="112"/>
      <c r="L444" s="37">
        <v>21.087233896499999</v>
      </c>
      <c r="M444" s="37" t="s">
        <v>288</v>
      </c>
      <c r="N444" s="37">
        <v>3336.4019512195118</v>
      </c>
      <c r="O444" s="130">
        <f t="shared" si="33"/>
        <v>70355.488318104821</v>
      </c>
      <c r="P444" s="132">
        <f t="shared" si="31"/>
        <v>6180.4150407885672</v>
      </c>
      <c r="Q444" s="261">
        <v>0.11500738887574143</v>
      </c>
      <c r="R444" s="92"/>
    </row>
    <row r="445" spans="1:18" x14ac:dyDescent="0.25">
      <c r="A445" s="353">
        <v>41103</v>
      </c>
      <c r="B445" s="353" t="s">
        <v>285</v>
      </c>
      <c r="C445" s="263" t="s">
        <v>451</v>
      </c>
      <c r="D445" s="157" t="s">
        <v>464</v>
      </c>
      <c r="E445" s="44">
        <f t="shared" si="30"/>
        <v>41103</v>
      </c>
      <c r="F445" s="146" t="str">
        <f t="shared" si="32"/>
        <v>2012-13</v>
      </c>
      <c r="G445" s="1"/>
      <c r="H445" s="161"/>
      <c r="I445" s="37"/>
      <c r="J445" s="135">
        <f t="shared" si="34"/>
        <v>0.76382508261777382</v>
      </c>
      <c r="K445" s="112"/>
      <c r="L445" s="37">
        <v>17.5141555712</v>
      </c>
      <c r="M445" s="37" t="s">
        <v>288</v>
      </c>
      <c r="N445" s="37">
        <v>3336.4019512195118</v>
      </c>
      <c r="O445" s="130">
        <f t="shared" si="33"/>
        <v>58434.262821713761</v>
      </c>
      <c r="P445" s="132">
        <f t="shared" si="31"/>
        <v>5133.1886889594152</v>
      </c>
      <c r="Q445" s="261">
        <v>0.11500738887574143</v>
      </c>
      <c r="R445" s="92"/>
    </row>
    <row r="446" spans="1:18" x14ac:dyDescent="0.25">
      <c r="A446" s="353">
        <v>41103</v>
      </c>
      <c r="B446" s="353" t="s">
        <v>285</v>
      </c>
      <c r="C446" s="263" t="s">
        <v>451</v>
      </c>
      <c r="D446" s="157" t="s">
        <v>464</v>
      </c>
      <c r="E446" s="44">
        <f t="shared" si="30"/>
        <v>41103</v>
      </c>
      <c r="F446" s="146" t="str">
        <f t="shared" si="32"/>
        <v>2012-13</v>
      </c>
      <c r="G446" s="1"/>
      <c r="H446" s="161"/>
      <c r="I446" s="37"/>
      <c r="J446" s="135">
        <f t="shared" si="34"/>
        <v>0.76382508261777382</v>
      </c>
      <c r="K446" s="112"/>
      <c r="L446" s="37">
        <v>13.552193923400001</v>
      </c>
      <c r="M446" s="37" t="s">
        <v>288</v>
      </c>
      <c r="N446" s="37">
        <v>812.22926829268283</v>
      </c>
      <c r="O446" s="130">
        <f t="shared" si="33"/>
        <v>11007.488554163725</v>
      </c>
      <c r="P446" s="132">
        <f t="shared" si="31"/>
        <v>966.95864740313198</v>
      </c>
      <c r="Q446" s="261">
        <v>0.11500738887574143</v>
      </c>
      <c r="R446" s="92"/>
    </row>
    <row r="447" spans="1:18" x14ac:dyDescent="0.25">
      <c r="A447" s="353">
        <v>41103</v>
      </c>
      <c r="B447" s="353" t="s">
        <v>285</v>
      </c>
      <c r="C447" s="263" t="s">
        <v>451</v>
      </c>
      <c r="D447" s="157" t="s">
        <v>464</v>
      </c>
      <c r="E447" s="44">
        <f t="shared" si="30"/>
        <v>41103</v>
      </c>
      <c r="F447" s="146" t="str">
        <f t="shared" si="32"/>
        <v>2012-13</v>
      </c>
      <c r="G447" s="1"/>
      <c r="H447" s="161"/>
      <c r="I447" s="37"/>
      <c r="J447" s="135">
        <f t="shared" si="34"/>
        <v>0.76382508261777382</v>
      </c>
      <c r="K447" s="112"/>
      <c r="L447" s="37">
        <v>7.5833188644599998</v>
      </c>
      <c r="M447" s="37" t="s">
        <v>288</v>
      </c>
      <c r="N447" s="37">
        <v>812.22926829268283</v>
      </c>
      <c r="O447" s="130">
        <f t="shared" si="33"/>
        <v>6159.3935325104439</v>
      </c>
      <c r="P447" s="132">
        <f t="shared" si="31"/>
        <v>541.07517893053</v>
      </c>
      <c r="Q447" s="261">
        <v>0.11500738887574143</v>
      </c>
      <c r="R447" s="92"/>
    </row>
    <row r="448" spans="1:18" x14ac:dyDescent="0.25">
      <c r="A448" s="353">
        <v>41103</v>
      </c>
      <c r="B448" s="353" t="s">
        <v>285</v>
      </c>
      <c r="C448" s="263" t="s">
        <v>451</v>
      </c>
      <c r="D448" s="157" t="s">
        <v>464</v>
      </c>
      <c r="E448" s="44">
        <f t="shared" si="30"/>
        <v>41103</v>
      </c>
      <c r="F448" s="146" t="str">
        <f t="shared" si="32"/>
        <v>2012-13</v>
      </c>
      <c r="G448" s="1"/>
      <c r="H448" s="161"/>
      <c r="I448" s="37"/>
      <c r="J448" s="135">
        <f t="shared" si="34"/>
        <v>0.76382508261777382</v>
      </c>
      <c r="K448" s="112"/>
      <c r="L448" s="37">
        <v>7.6965579969200002</v>
      </c>
      <c r="M448" s="37" t="s">
        <v>288</v>
      </c>
      <c r="N448" s="37">
        <v>812.22926829268283</v>
      </c>
      <c r="O448" s="130">
        <f t="shared" si="33"/>
        <v>6251.3696702105281</v>
      </c>
      <c r="P448" s="132">
        <f t="shared" si="31"/>
        <v>549.15487133867657</v>
      </c>
      <c r="Q448" s="261">
        <v>0.11500738887574143</v>
      </c>
      <c r="R448" s="92"/>
    </row>
    <row r="449" spans="1:18" x14ac:dyDescent="0.25">
      <c r="A449" s="353">
        <v>41103</v>
      </c>
      <c r="B449" s="353" t="s">
        <v>285</v>
      </c>
      <c r="C449" s="263" t="s">
        <v>451</v>
      </c>
      <c r="D449" s="157" t="s">
        <v>464</v>
      </c>
      <c r="E449" s="44">
        <f t="shared" si="30"/>
        <v>41103</v>
      </c>
      <c r="F449" s="146" t="str">
        <f t="shared" si="32"/>
        <v>2012-13</v>
      </c>
      <c r="G449" s="1"/>
      <c r="H449" s="161"/>
      <c r="I449" s="37"/>
      <c r="J449" s="135">
        <f t="shared" si="34"/>
        <v>0.76382508261777382</v>
      </c>
      <c r="K449" s="112"/>
      <c r="L449" s="37">
        <v>26.732847315600001</v>
      </c>
      <c r="M449" s="37" t="s">
        <v>288</v>
      </c>
      <c r="N449" s="37">
        <v>812.22926829268283</v>
      </c>
      <c r="O449" s="130">
        <f t="shared" si="33"/>
        <v>21713.201014529801</v>
      </c>
      <c r="P449" s="132">
        <f t="shared" si="31"/>
        <v>1907.4076144153817</v>
      </c>
      <c r="Q449" s="261">
        <v>0.11500738887574143</v>
      </c>
      <c r="R449" s="92"/>
    </row>
    <row r="450" spans="1:18" x14ac:dyDescent="0.25">
      <c r="A450" s="353">
        <v>41103</v>
      </c>
      <c r="B450" s="353" t="s">
        <v>285</v>
      </c>
      <c r="C450" s="263" t="s">
        <v>451</v>
      </c>
      <c r="D450" s="157" t="s">
        <v>464</v>
      </c>
      <c r="E450" s="44">
        <f t="shared" si="30"/>
        <v>41103</v>
      </c>
      <c r="F450" s="146" t="str">
        <f t="shared" si="32"/>
        <v>2012-13</v>
      </c>
      <c r="G450" s="1"/>
      <c r="H450" s="161"/>
      <c r="I450" s="37"/>
      <c r="J450" s="135">
        <f t="shared" si="34"/>
        <v>0.76382508261777382</v>
      </c>
      <c r="K450" s="112"/>
      <c r="L450" s="37">
        <v>31.1131381583</v>
      </c>
      <c r="M450" s="37" t="s">
        <v>288</v>
      </c>
      <c r="N450" s="37">
        <v>3336.4019512195118</v>
      </c>
      <c r="O450" s="130">
        <f t="shared" si="33"/>
        <v>103805.93485991437</v>
      </c>
      <c r="P450" s="132">
        <f t="shared" si="31"/>
        <v>9118.8871894481217</v>
      </c>
      <c r="Q450" s="261">
        <v>0.11500738887574143</v>
      </c>
      <c r="R450" s="92"/>
    </row>
    <row r="451" spans="1:18" x14ac:dyDescent="0.25">
      <c r="A451" s="353">
        <v>41103</v>
      </c>
      <c r="B451" s="353" t="s">
        <v>285</v>
      </c>
      <c r="C451" s="263" t="s">
        <v>451</v>
      </c>
      <c r="D451" s="157" t="s">
        <v>464</v>
      </c>
      <c r="E451" s="44">
        <f t="shared" si="30"/>
        <v>41103</v>
      </c>
      <c r="F451" s="146" t="str">
        <f t="shared" si="32"/>
        <v>2012-13</v>
      </c>
      <c r="G451" s="1"/>
      <c r="H451" s="161"/>
      <c r="I451" s="37"/>
      <c r="J451" s="135">
        <f t="shared" si="34"/>
        <v>0.76382508261777382</v>
      </c>
      <c r="K451" s="112"/>
      <c r="L451" s="37">
        <v>26.229758565400001</v>
      </c>
      <c r="M451" s="37" t="s">
        <v>288</v>
      </c>
      <c r="N451" s="37">
        <v>3336.4019512195118</v>
      </c>
      <c r="O451" s="130">
        <f t="shared" si="33"/>
        <v>87513.017657617267</v>
      </c>
      <c r="P451" s="132">
        <f t="shared" si="31"/>
        <v>7687.6272701066609</v>
      </c>
      <c r="Q451" s="261">
        <v>0.11500738887574143</v>
      </c>
      <c r="R451" s="92"/>
    </row>
    <row r="452" spans="1:18" x14ac:dyDescent="0.25">
      <c r="A452" s="353">
        <v>41103</v>
      </c>
      <c r="B452" s="353" t="s">
        <v>285</v>
      </c>
      <c r="C452" s="263" t="s">
        <v>451</v>
      </c>
      <c r="D452" s="157" t="s">
        <v>464</v>
      </c>
      <c r="E452" s="44">
        <f t="shared" si="30"/>
        <v>41103</v>
      </c>
      <c r="F452" s="146" t="str">
        <f t="shared" si="32"/>
        <v>2012-13</v>
      </c>
      <c r="G452" s="1"/>
      <c r="H452" s="161"/>
      <c r="I452" s="37"/>
      <c r="J452" s="135">
        <f t="shared" si="34"/>
        <v>0.76382508261777382</v>
      </c>
      <c r="K452" s="112"/>
      <c r="L452" s="37">
        <v>26.418825303599998</v>
      </c>
      <c r="M452" s="37" t="s">
        <v>288</v>
      </c>
      <c r="N452" s="37">
        <v>3336.4019512195118</v>
      </c>
      <c r="O452" s="130">
        <f t="shared" si="33"/>
        <v>88143.820291858443</v>
      </c>
      <c r="P452" s="132">
        <f t="shared" si="31"/>
        <v>7743.0404607707078</v>
      </c>
      <c r="Q452" s="261">
        <v>0.11500738887574143</v>
      </c>
      <c r="R452" s="92"/>
    </row>
    <row r="453" spans="1:18" x14ac:dyDescent="0.25">
      <c r="A453" s="353">
        <v>41103</v>
      </c>
      <c r="B453" s="353" t="s">
        <v>285</v>
      </c>
      <c r="C453" s="263" t="s">
        <v>451</v>
      </c>
      <c r="D453" s="157" t="s">
        <v>464</v>
      </c>
      <c r="E453" s="44">
        <f t="shared" si="30"/>
        <v>41103</v>
      </c>
      <c r="F453" s="146" t="str">
        <f t="shared" si="32"/>
        <v>2012-13</v>
      </c>
      <c r="G453" s="1"/>
      <c r="H453" s="161"/>
      <c r="I453" s="37"/>
      <c r="J453" s="135">
        <f t="shared" si="34"/>
        <v>0.76382508261777382</v>
      </c>
      <c r="K453" s="112"/>
      <c r="L453" s="37">
        <v>19.4552400396</v>
      </c>
      <c r="M453" s="37" t="s">
        <v>288</v>
      </c>
      <c r="N453" s="37">
        <v>812.22926829268283</v>
      </c>
      <c r="O453" s="130">
        <f t="shared" si="33"/>
        <v>15802.115381822814</v>
      </c>
      <c r="P453" s="132">
        <f t="shared" si="31"/>
        <v>1388.1451741265503</v>
      </c>
      <c r="Q453" s="261">
        <v>0.11500738887574143</v>
      </c>
      <c r="R453" s="92"/>
    </row>
    <row r="454" spans="1:18" x14ac:dyDescent="0.25">
      <c r="A454" s="353">
        <v>41103</v>
      </c>
      <c r="B454" s="353" t="s">
        <v>285</v>
      </c>
      <c r="C454" s="263" t="s">
        <v>451</v>
      </c>
      <c r="D454" s="157" t="s">
        <v>464</v>
      </c>
      <c r="E454" s="44">
        <f t="shared" si="30"/>
        <v>41103</v>
      </c>
      <c r="F454" s="146" t="str">
        <f t="shared" si="32"/>
        <v>2012-13</v>
      </c>
      <c r="G454" s="1"/>
      <c r="H454" s="161"/>
      <c r="I454" s="37"/>
      <c r="J454" s="135">
        <f t="shared" si="34"/>
        <v>0.76382508261777382</v>
      </c>
      <c r="K454" s="112"/>
      <c r="L454" s="37">
        <v>7.8711298426600003</v>
      </c>
      <c r="M454" s="37" t="s">
        <v>288</v>
      </c>
      <c r="N454" s="37">
        <v>812.22926829268283</v>
      </c>
      <c r="O454" s="130">
        <f t="shared" si="33"/>
        <v>6393.1620327404316</v>
      </c>
      <c r="P454" s="132">
        <f t="shared" si="31"/>
        <v>561.61069633539194</v>
      </c>
      <c r="Q454" s="261">
        <v>0.11500738887574143</v>
      </c>
      <c r="R454" s="92"/>
    </row>
    <row r="455" spans="1:18" x14ac:dyDescent="0.25">
      <c r="A455" s="353">
        <v>41103</v>
      </c>
      <c r="B455" s="353" t="s">
        <v>285</v>
      </c>
      <c r="C455" s="263" t="s">
        <v>451</v>
      </c>
      <c r="D455" s="157" t="s">
        <v>464</v>
      </c>
      <c r="E455" s="44">
        <f t="shared" si="30"/>
        <v>41103</v>
      </c>
      <c r="F455" s="146" t="str">
        <f t="shared" si="32"/>
        <v>2012-13</v>
      </c>
      <c r="G455" s="1"/>
      <c r="H455" s="161"/>
      <c r="I455" s="37"/>
      <c r="J455" s="135">
        <f t="shared" si="34"/>
        <v>0.76382508261777382</v>
      </c>
      <c r="K455" s="112"/>
      <c r="L455" s="37">
        <v>20.231508099999999</v>
      </c>
      <c r="M455" s="37" t="s">
        <v>288</v>
      </c>
      <c r="N455" s="37">
        <v>812.22926829268283</v>
      </c>
      <c r="O455" s="130">
        <f t="shared" si="33"/>
        <v>16432.623020520485</v>
      </c>
      <c r="P455" s="132">
        <f t="shared" si="31"/>
        <v>1443.5324507512285</v>
      </c>
      <c r="Q455" s="261">
        <v>0.11500738887574143</v>
      </c>
      <c r="R455" s="92"/>
    </row>
    <row r="456" spans="1:18" x14ac:dyDescent="0.25">
      <c r="A456" s="353">
        <v>41103</v>
      </c>
      <c r="B456" s="353" t="s">
        <v>285</v>
      </c>
      <c r="C456" s="263" t="s">
        <v>451</v>
      </c>
      <c r="D456" s="157" t="s">
        <v>464</v>
      </c>
      <c r="E456" s="44">
        <f t="shared" si="30"/>
        <v>41103</v>
      </c>
      <c r="F456" s="146" t="str">
        <f t="shared" si="32"/>
        <v>2012-13</v>
      </c>
      <c r="G456" s="1"/>
      <c r="H456" s="161"/>
      <c r="I456" s="37"/>
      <c r="J456" s="135">
        <f t="shared" si="34"/>
        <v>0.76382508261777382</v>
      </c>
      <c r="K456" s="112"/>
      <c r="L456" s="37">
        <v>7.7092142920000004</v>
      </c>
      <c r="M456" s="37" t="s">
        <v>288</v>
      </c>
      <c r="N456" s="37">
        <v>812.22926829268283</v>
      </c>
      <c r="O456" s="130">
        <f t="shared" si="33"/>
        <v>6261.6494835026533</v>
      </c>
      <c r="P456" s="132">
        <f t="shared" si="31"/>
        <v>550.05790696824806</v>
      </c>
      <c r="Q456" s="261">
        <v>0.11500738887574143</v>
      </c>
      <c r="R456" s="92"/>
    </row>
    <row r="457" spans="1:18" x14ac:dyDescent="0.25">
      <c r="A457" s="353">
        <v>41103</v>
      </c>
      <c r="B457" s="353" t="s">
        <v>285</v>
      </c>
      <c r="C457" s="263" t="s">
        <v>451</v>
      </c>
      <c r="D457" s="157" t="s">
        <v>464</v>
      </c>
      <c r="E457" s="44">
        <f t="shared" si="30"/>
        <v>41103</v>
      </c>
      <c r="F457" s="146" t="str">
        <f t="shared" si="32"/>
        <v>2012-13</v>
      </c>
      <c r="G457" s="1"/>
      <c r="H457" s="161"/>
      <c r="I457" s="37"/>
      <c r="J457" s="135">
        <f t="shared" si="34"/>
        <v>0.76382508261777382</v>
      </c>
      <c r="K457" s="112"/>
      <c r="L457" s="37">
        <v>22.3246990823</v>
      </c>
      <c r="M457" s="37" t="s">
        <v>288</v>
      </c>
      <c r="N457" s="37">
        <v>812.22926829268283</v>
      </c>
      <c r="O457" s="130">
        <f t="shared" si="33"/>
        <v>18132.774000470858</v>
      </c>
      <c r="P457" s="132">
        <f t="shared" si="31"/>
        <v>1592.8831117911679</v>
      </c>
      <c r="Q457" s="261">
        <v>0.11500738887574143</v>
      </c>
      <c r="R457" s="92"/>
    </row>
    <row r="458" spans="1:18" x14ac:dyDescent="0.25">
      <c r="A458" s="353">
        <v>41103</v>
      </c>
      <c r="B458" s="353" t="s">
        <v>285</v>
      </c>
      <c r="C458" s="263" t="s">
        <v>451</v>
      </c>
      <c r="D458" s="157" t="s">
        <v>464</v>
      </c>
      <c r="E458" s="44">
        <f t="shared" si="30"/>
        <v>41103</v>
      </c>
      <c r="F458" s="146" t="str">
        <f t="shared" si="32"/>
        <v>2012-13</v>
      </c>
      <c r="G458" s="1"/>
      <c r="H458" s="161"/>
      <c r="I458" s="37"/>
      <c r="J458" s="135">
        <f t="shared" si="34"/>
        <v>0.76382508261777382</v>
      </c>
      <c r="K458" s="112"/>
      <c r="L458" s="37">
        <v>20.639066370999998</v>
      </c>
      <c r="M458" s="37" t="s">
        <v>288</v>
      </c>
      <c r="N458" s="37">
        <v>3336.4019512195118</v>
      </c>
      <c r="O458" s="130">
        <f t="shared" si="33"/>
        <v>68860.22131155341</v>
      </c>
      <c r="P458" s="132">
        <f t="shared" si="31"/>
        <v>6049.0625206340437</v>
      </c>
      <c r="Q458" s="261">
        <v>0.11500738887574143</v>
      </c>
      <c r="R458" s="92"/>
    </row>
    <row r="459" spans="1:18" x14ac:dyDescent="0.25">
      <c r="A459" s="353">
        <v>41103</v>
      </c>
      <c r="B459" s="353" t="s">
        <v>285</v>
      </c>
      <c r="C459" s="263" t="s">
        <v>451</v>
      </c>
      <c r="D459" s="157" t="s">
        <v>464</v>
      </c>
      <c r="E459" s="44">
        <f t="shared" si="30"/>
        <v>41103</v>
      </c>
      <c r="F459" s="146" t="str">
        <f t="shared" si="32"/>
        <v>2012-13</v>
      </c>
      <c r="G459" s="1"/>
      <c r="H459" s="161"/>
      <c r="I459" s="37"/>
      <c r="J459" s="135">
        <f t="shared" si="34"/>
        <v>0.76382508261777382</v>
      </c>
      <c r="K459" s="112"/>
      <c r="L459" s="37">
        <v>25.311284489599998</v>
      </c>
      <c r="M459" s="37" t="s">
        <v>288</v>
      </c>
      <c r="N459" s="37">
        <v>3336.4019512195118</v>
      </c>
      <c r="O459" s="130">
        <f t="shared" si="33"/>
        <v>84448.618958973602</v>
      </c>
      <c r="P459" s="132">
        <f t="shared" si="31"/>
        <v>7418.4335474728505</v>
      </c>
      <c r="Q459" s="261">
        <v>0.11500738887574143</v>
      </c>
      <c r="R459" s="92"/>
    </row>
    <row r="460" spans="1:18" x14ac:dyDescent="0.25">
      <c r="A460" s="353">
        <v>41103</v>
      </c>
      <c r="B460" s="353" t="s">
        <v>285</v>
      </c>
      <c r="C460" s="263" t="s">
        <v>451</v>
      </c>
      <c r="D460" s="157" t="s">
        <v>464</v>
      </c>
      <c r="E460" s="44">
        <f t="shared" si="30"/>
        <v>41103</v>
      </c>
      <c r="F460" s="146" t="str">
        <f t="shared" si="32"/>
        <v>2012-13</v>
      </c>
      <c r="G460" s="1"/>
      <c r="H460" s="161"/>
      <c r="I460" s="37"/>
      <c r="J460" s="135">
        <f t="shared" si="34"/>
        <v>0.76382508261777382</v>
      </c>
      <c r="K460" s="112"/>
      <c r="L460" s="37">
        <v>26.9092488376</v>
      </c>
      <c r="M460" s="37" t="s">
        <v>288</v>
      </c>
      <c r="N460" s="37">
        <v>3336.4019512195118</v>
      </c>
      <c r="O460" s="130">
        <f t="shared" si="33"/>
        <v>89780.070327620022</v>
      </c>
      <c r="P460" s="132">
        <f t="shared" si="31"/>
        <v>7886.7777096088957</v>
      </c>
      <c r="Q460" s="261">
        <v>0.11500738887574143</v>
      </c>
      <c r="R460" s="92"/>
    </row>
    <row r="461" spans="1:18" x14ac:dyDescent="0.25">
      <c r="A461" s="353">
        <v>41103</v>
      </c>
      <c r="B461" s="353" t="s">
        <v>285</v>
      </c>
      <c r="C461" s="263" t="s">
        <v>451</v>
      </c>
      <c r="D461" s="157" t="s">
        <v>464</v>
      </c>
      <c r="E461" s="44">
        <f t="shared" si="30"/>
        <v>41103</v>
      </c>
      <c r="F461" s="146" t="str">
        <f t="shared" si="32"/>
        <v>2012-13</v>
      </c>
      <c r="G461" s="1"/>
      <c r="H461" s="161"/>
      <c r="I461" s="37"/>
      <c r="J461" s="135">
        <f t="shared" si="34"/>
        <v>0.76382508261777382</v>
      </c>
      <c r="K461" s="112"/>
      <c r="L461" s="37">
        <v>8.5039767756</v>
      </c>
      <c r="M461" s="37" t="s">
        <v>288</v>
      </c>
      <c r="N461" s="37">
        <v>812.22926829268283</v>
      </c>
      <c r="O461" s="130">
        <f t="shared" si="33"/>
        <v>6907.1788340235562</v>
      </c>
      <c r="P461" s="132">
        <f t="shared" si="31"/>
        <v>606.76477380415338</v>
      </c>
      <c r="Q461" s="261">
        <v>0.11500738887574143</v>
      </c>
      <c r="R461" s="92"/>
    </row>
    <row r="462" spans="1:18" x14ac:dyDescent="0.25">
      <c r="A462" s="353">
        <v>41103</v>
      </c>
      <c r="B462" s="353" t="s">
        <v>285</v>
      </c>
      <c r="C462" s="263" t="s">
        <v>451</v>
      </c>
      <c r="D462" s="157" t="s">
        <v>464</v>
      </c>
      <c r="E462" s="44">
        <f t="shared" si="30"/>
        <v>41103</v>
      </c>
      <c r="F462" s="146" t="str">
        <f t="shared" si="32"/>
        <v>2012-13</v>
      </c>
      <c r="G462" s="1"/>
      <c r="H462" s="161"/>
      <c r="I462" s="37"/>
      <c r="J462" s="135">
        <f t="shared" si="34"/>
        <v>0.76382508261777382</v>
      </c>
      <c r="K462" s="112"/>
      <c r="L462" s="37">
        <v>8.0620703296399991</v>
      </c>
      <c r="M462" s="37" t="s">
        <v>288</v>
      </c>
      <c r="N462" s="37">
        <v>812.22926829268283</v>
      </c>
      <c r="O462" s="130">
        <f t="shared" si="33"/>
        <v>6548.2494847676444</v>
      </c>
      <c r="P462" s="132">
        <f t="shared" si="31"/>
        <v>575.23443549292267</v>
      </c>
      <c r="Q462" s="261">
        <v>0.11500738887574143</v>
      </c>
      <c r="R462" s="92"/>
    </row>
    <row r="463" spans="1:18" x14ac:dyDescent="0.25">
      <c r="A463" s="353">
        <v>41103</v>
      </c>
      <c r="B463" s="353" t="s">
        <v>285</v>
      </c>
      <c r="C463" s="263" t="s">
        <v>451</v>
      </c>
      <c r="D463" s="157" t="s">
        <v>464</v>
      </c>
      <c r="E463" s="44">
        <f t="shared" si="30"/>
        <v>41103</v>
      </c>
      <c r="F463" s="146" t="str">
        <f t="shared" si="32"/>
        <v>2012-13</v>
      </c>
      <c r="G463" s="1"/>
      <c r="H463" s="161"/>
      <c r="I463" s="37"/>
      <c r="J463" s="135">
        <f t="shared" si="34"/>
        <v>0.76382508261777382</v>
      </c>
      <c r="K463" s="112"/>
      <c r="L463" s="37">
        <v>14.0254701275</v>
      </c>
      <c r="M463" s="37" t="s">
        <v>288</v>
      </c>
      <c r="N463" s="37">
        <v>812.22926829268283</v>
      </c>
      <c r="O463" s="130">
        <f t="shared" si="33"/>
        <v>11391.897339120205</v>
      </c>
      <c r="P463" s="132">
        <f t="shared" si="31"/>
        <v>1000.7272402045113</v>
      </c>
      <c r="Q463" s="261">
        <v>0.11500738887574143</v>
      </c>
      <c r="R463" s="92"/>
    </row>
    <row r="464" spans="1:18" x14ac:dyDescent="0.25">
      <c r="A464" s="353">
        <v>41103</v>
      </c>
      <c r="B464" s="353" t="s">
        <v>285</v>
      </c>
      <c r="C464" s="263" t="s">
        <v>451</v>
      </c>
      <c r="D464" s="157" t="s">
        <v>464</v>
      </c>
      <c r="E464" s="44">
        <f t="shared" si="30"/>
        <v>41103</v>
      </c>
      <c r="F464" s="146" t="str">
        <f t="shared" si="32"/>
        <v>2012-13</v>
      </c>
      <c r="G464" s="1"/>
      <c r="H464" s="161"/>
      <c r="I464" s="37"/>
      <c r="J464" s="135">
        <f t="shared" si="34"/>
        <v>0.76382508261777382</v>
      </c>
      <c r="K464" s="112"/>
      <c r="L464" s="37">
        <v>17.4519993973</v>
      </c>
      <c r="M464" s="37" t="s">
        <v>288</v>
      </c>
      <c r="N464" s="37">
        <v>3336.4019512195118</v>
      </c>
      <c r="O464" s="130">
        <f t="shared" si="33"/>
        <v>58226.884841833467</v>
      </c>
      <c r="P464" s="132">
        <f t="shared" si="31"/>
        <v>5114.9714607570395</v>
      </c>
      <c r="Q464" s="261">
        <v>0.11500738887574143</v>
      </c>
      <c r="R464" s="92"/>
    </row>
    <row r="465" spans="1:18" x14ac:dyDescent="0.25">
      <c r="A465" s="353">
        <v>41103</v>
      </c>
      <c r="B465" s="353" t="s">
        <v>285</v>
      </c>
      <c r="C465" s="263" t="s">
        <v>451</v>
      </c>
      <c r="D465" s="157" t="s">
        <v>464</v>
      </c>
      <c r="E465" s="44">
        <f t="shared" si="30"/>
        <v>41103</v>
      </c>
      <c r="F465" s="146" t="str">
        <f t="shared" si="32"/>
        <v>2012-13</v>
      </c>
      <c r="G465" s="1"/>
      <c r="H465" s="161"/>
      <c r="I465" s="37"/>
      <c r="J465" s="135">
        <f t="shared" si="34"/>
        <v>0.76382508261777382</v>
      </c>
      <c r="K465" s="112"/>
      <c r="L465" s="37">
        <v>7.80581123267</v>
      </c>
      <c r="M465" s="37" t="s">
        <v>288</v>
      </c>
      <c r="N465" s="37">
        <v>812.22926829268283</v>
      </c>
      <c r="O465" s="130">
        <f t="shared" si="33"/>
        <v>6340.1083459423589</v>
      </c>
      <c r="P465" s="132">
        <f t="shared" si="31"/>
        <v>556.95016718983959</v>
      </c>
      <c r="Q465" s="261">
        <v>0.11500738887574143</v>
      </c>
      <c r="R465" s="92"/>
    </row>
    <row r="466" spans="1:18" x14ac:dyDescent="0.25">
      <c r="A466" s="353">
        <v>41103</v>
      </c>
      <c r="B466" s="353" t="s">
        <v>285</v>
      </c>
      <c r="C466" s="263" t="s">
        <v>451</v>
      </c>
      <c r="D466" s="157" t="s">
        <v>464</v>
      </c>
      <c r="E466" s="44">
        <f t="shared" si="30"/>
        <v>41103</v>
      </c>
      <c r="F466" s="146" t="str">
        <f t="shared" si="32"/>
        <v>2012-13</v>
      </c>
      <c r="G466" s="1"/>
      <c r="H466" s="161"/>
      <c r="I466" s="37"/>
      <c r="J466" s="135">
        <f t="shared" si="34"/>
        <v>0.76382508261777382</v>
      </c>
      <c r="K466" s="112"/>
      <c r="L466" s="37">
        <v>14.182530617699999</v>
      </c>
      <c r="M466" s="37" t="s">
        <v>288</v>
      </c>
      <c r="N466" s="37">
        <v>812.22926829268283</v>
      </c>
      <c r="O466" s="130">
        <f t="shared" si="33"/>
        <v>11519.466466153042</v>
      </c>
      <c r="P466" s="132">
        <f t="shared" si="31"/>
        <v>1011.933617564714</v>
      </c>
      <c r="Q466" s="261">
        <v>0.11500738887574143</v>
      </c>
      <c r="R466" s="92"/>
    </row>
    <row r="467" spans="1:18" x14ac:dyDescent="0.25">
      <c r="A467" s="353">
        <v>41103</v>
      </c>
      <c r="B467" s="353" t="s">
        <v>285</v>
      </c>
      <c r="C467" s="263" t="s">
        <v>451</v>
      </c>
      <c r="D467" s="157" t="s">
        <v>464</v>
      </c>
      <c r="E467" s="44">
        <f t="shared" si="30"/>
        <v>41103</v>
      </c>
      <c r="F467" s="146" t="str">
        <f t="shared" si="32"/>
        <v>2012-13</v>
      </c>
      <c r="G467" s="1"/>
      <c r="H467" s="161"/>
      <c r="I467" s="37"/>
      <c r="J467" s="135">
        <f t="shared" si="34"/>
        <v>0.76382508261777382</v>
      </c>
      <c r="K467" s="112"/>
      <c r="L467" s="37">
        <v>7.5230850054999996</v>
      </c>
      <c r="M467" s="37" t="s">
        <v>288</v>
      </c>
      <c r="N467" s="37">
        <v>812.22926829268283</v>
      </c>
      <c r="O467" s="130">
        <f t="shared" si="33"/>
        <v>6110.4698293209185</v>
      </c>
      <c r="P467" s="132">
        <f t="shared" si="31"/>
        <v>536.77745037698071</v>
      </c>
      <c r="Q467" s="261">
        <v>0.11500738887574143</v>
      </c>
      <c r="R467" s="92"/>
    </row>
    <row r="468" spans="1:18" x14ac:dyDescent="0.25">
      <c r="A468" s="353">
        <v>41103</v>
      </c>
      <c r="B468" s="353" t="s">
        <v>285</v>
      </c>
      <c r="C468" s="263" t="s">
        <v>451</v>
      </c>
      <c r="D468" s="157" t="s">
        <v>464</v>
      </c>
      <c r="E468" s="44">
        <f t="shared" si="30"/>
        <v>41103</v>
      </c>
      <c r="F468" s="146" t="str">
        <f t="shared" si="32"/>
        <v>2012-13</v>
      </c>
      <c r="G468" s="1"/>
      <c r="H468" s="161"/>
      <c r="I468" s="37"/>
      <c r="J468" s="135">
        <f t="shared" si="34"/>
        <v>0.76382508261777382</v>
      </c>
      <c r="K468" s="112"/>
      <c r="L468" s="37">
        <v>62.104043192100001</v>
      </c>
      <c r="M468" s="37" t="s">
        <v>288</v>
      </c>
      <c r="N468" s="37">
        <v>812.22926829268283</v>
      </c>
      <c r="O468" s="130">
        <f t="shared" si="33"/>
        <v>50442.721559936552</v>
      </c>
      <c r="P468" s="132">
        <f t="shared" si="31"/>
        <v>4431.1675248100883</v>
      </c>
      <c r="Q468" s="261">
        <v>0.11500738887574143</v>
      </c>
      <c r="R468" s="92"/>
    </row>
    <row r="469" spans="1:18" x14ac:dyDescent="0.25">
      <c r="A469" s="353">
        <v>41103</v>
      </c>
      <c r="B469" s="353" t="s">
        <v>285</v>
      </c>
      <c r="C469" s="263" t="s">
        <v>451</v>
      </c>
      <c r="D469" s="157" t="s">
        <v>464</v>
      </c>
      <c r="E469" s="44">
        <f t="shared" si="30"/>
        <v>41103</v>
      </c>
      <c r="F469" s="146" t="str">
        <f t="shared" si="32"/>
        <v>2012-13</v>
      </c>
      <c r="G469" s="1"/>
      <c r="H469" s="161"/>
      <c r="I469" s="37"/>
      <c r="J469" s="135">
        <f t="shared" si="34"/>
        <v>0.76382508261777382</v>
      </c>
      <c r="K469" s="112"/>
      <c r="L469" s="37">
        <v>44.476890747200002</v>
      </c>
      <c r="M469" s="37" t="s">
        <v>288</v>
      </c>
      <c r="N469" s="37">
        <v>3336.4019512195118</v>
      </c>
      <c r="O469" s="130">
        <f t="shared" si="33"/>
        <v>148392.78507313514</v>
      </c>
      <c r="P469" s="132">
        <f t="shared" si="31"/>
        <v>13035.642602092517</v>
      </c>
      <c r="Q469" s="261">
        <v>0.11500738887574143</v>
      </c>
      <c r="R469" s="92"/>
    </row>
    <row r="470" spans="1:18" x14ac:dyDescent="0.25">
      <c r="A470" s="353">
        <v>41103</v>
      </c>
      <c r="B470" s="353" t="s">
        <v>285</v>
      </c>
      <c r="C470" s="263" t="s">
        <v>451</v>
      </c>
      <c r="D470" s="157" t="s">
        <v>464</v>
      </c>
      <c r="E470" s="44">
        <f t="shared" si="30"/>
        <v>41103</v>
      </c>
      <c r="F470" s="146" t="str">
        <f t="shared" si="32"/>
        <v>2012-13</v>
      </c>
      <c r="G470" s="1"/>
      <c r="H470" s="161"/>
      <c r="I470" s="37"/>
      <c r="J470" s="135">
        <f t="shared" si="34"/>
        <v>0.76382508261777382</v>
      </c>
      <c r="K470" s="112"/>
      <c r="L470" s="37">
        <v>20.141936629500002</v>
      </c>
      <c r="M470" s="37" t="s">
        <v>288</v>
      </c>
      <c r="N470" s="37">
        <v>3336.4019512195118</v>
      </c>
      <c r="O470" s="130">
        <f t="shared" si="33"/>
        <v>67201.596672003565</v>
      </c>
      <c r="P470" s="132">
        <f t="shared" si="31"/>
        <v>5903.3597629053556</v>
      </c>
      <c r="Q470" s="261">
        <v>0.11500738887574143</v>
      </c>
      <c r="R470" s="92"/>
    </row>
    <row r="471" spans="1:18" x14ac:dyDescent="0.25">
      <c r="A471" s="353">
        <v>41103</v>
      </c>
      <c r="B471" s="353" t="s">
        <v>285</v>
      </c>
      <c r="C471" s="263" t="s">
        <v>451</v>
      </c>
      <c r="D471" s="157" t="s">
        <v>464</v>
      </c>
      <c r="E471" s="44">
        <f t="shared" ref="E471:E534" si="35">IF(VALUE(A471)&lt;2022,DATEVALUE("30 Jun "&amp;A471),A471)</f>
        <v>41103</v>
      </c>
      <c r="F471" s="146" t="str">
        <f t="shared" si="32"/>
        <v>2012-13</v>
      </c>
      <c r="G471" s="1"/>
      <c r="H471" s="161"/>
      <c r="I471" s="37"/>
      <c r="J471" s="135">
        <f t="shared" si="34"/>
        <v>0.76382508261777382</v>
      </c>
      <c r="K471" s="112"/>
      <c r="L471" s="37">
        <v>20.852291289</v>
      </c>
      <c r="M471" s="37" t="s">
        <v>288</v>
      </c>
      <c r="N471" s="37">
        <v>812.22926829268283</v>
      </c>
      <c r="O471" s="130">
        <f t="shared" si="33"/>
        <v>16936.841295890354</v>
      </c>
      <c r="P471" s="132">
        <f t="shared" ref="P471:P534" si="36">IF(O471="-","-",IF(OR(E471&lt;$E$15,E471&gt;$E$16),0,O471*J471))*Q471</f>
        <v>1487.8257715344839</v>
      </c>
      <c r="Q471" s="261">
        <v>0.11500738887574143</v>
      </c>
      <c r="R471" s="92"/>
    </row>
    <row r="472" spans="1:18" x14ac:dyDescent="0.25">
      <c r="A472" s="353">
        <v>41103</v>
      </c>
      <c r="B472" s="353" t="s">
        <v>285</v>
      </c>
      <c r="C472" s="263" t="s">
        <v>451</v>
      </c>
      <c r="D472" s="157" t="s">
        <v>464</v>
      </c>
      <c r="E472" s="44">
        <f t="shared" si="35"/>
        <v>41103</v>
      </c>
      <c r="F472" s="146" t="str">
        <f t="shared" ref="F472:F532" si="37">IF(E472="","-",IF(OR(E472&lt;$E$15,E472&gt;$E$16),"ERROR - date outside of range",IF(MONTH(E472)&gt;=7,YEAR(E472)&amp;"-"&amp;IF(YEAR(E472)=1999,"00",IF(AND(YEAR(E472)&gt;=2000,YEAR(E472)&lt;2009),"0","")&amp;RIGHT(YEAR(E472),2)+1),RIGHT(YEAR(E472),4)-1&amp;"-"&amp;RIGHT(YEAR(E472),2))))</f>
        <v>2012-13</v>
      </c>
      <c r="G472" s="1"/>
      <c r="H472" s="161"/>
      <c r="I472" s="37"/>
      <c r="J472" s="135">
        <f t="shared" si="34"/>
        <v>0.76382508261777382</v>
      </c>
      <c r="K472" s="112"/>
      <c r="L472" s="37">
        <v>20.562587993699999</v>
      </c>
      <c r="M472" s="37" t="s">
        <v>288</v>
      </c>
      <c r="N472" s="37">
        <v>812.22926829268283</v>
      </c>
      <c r="O472" s="130">
        <f t="shared" ref="O472:O532" si="38">IF(N472="","-",L472*N472)</f>
        <v>16701.535800326856</v>
      </c>
      <c r="P472" s="132">
        <f t="shared" si="36"/>
        <v>1467.1552359625402</v>
      </c>
      <c r="Q472" s="261">
        <v>0.11500738887574143</v>
      </c>
      <c r="R472" s="92"/>
    </row>
    <row r="473" spans="1:18" x14ac:dyDescent="0.25">
      <c r="A473" s="353">
        <v>41103</v>
      </c>
      <c r="B473" s="353" t="s">
        <v>285</v>
      </c>
      <c r="C473" s="263" t="s">
        <v>451</v>
      </c>
      <c r="D473" s="157" t="s">
        <v>464</v>
      </c>
      <c r="E473" s="44">
        <f t="shared" si="35"/>
        <v>41103</v>
      </c>
      <c r="F473" s="146" t="str">
        <f t="shared" si="37"/>
        <v>2012-13</v>
      </c>
      <c r="G473" s="1"/>
      <c r="H473" s="161"/>
      <c r="I473" s="37"/>
      <c r="J473" s="135">
        <f t="shared" ref="J473:J536" si="39">J472</f>
        <v>0.76382508261777382</v>
      </c>
      <c r="K473" s="112"/>
      <c r="L473" s="37">
        <v>6.2939069742099996</v>
      </c>
      <c r="M473" s="37" t="s">
        <v>288</v>
      </c>
      <c r="N473" s="37">
        <v>812.22926829268283</v>
      </c>
      <c r="O473" s="130">
        <f t="shared" si="38"/>
        <v>5112.0954563648011</v>
      </c>
      <c r="P473" s="132">
        <f t="shared" si="36"/>
        <v>449.07472613381742</v>
      </c>
      <c r="Q473" s="261">
        <v>0.11500738887574143</v>
      </c>
      <c r="R473" s="92"/>
    </row>
    <row r="474" spans="1:18" x14ac:dyDescent="0.25">
      <c r="A474" s="353">
        <v>41103</v>
      </c>
      <c r="B474" s="353" t="s">
        <v>285</v>
      </c>
      <c r="C474" s="263" t="s">
        <v>451</v>
      </c>
      <c r="D474" s="157" t="s">
        <v>464</v>
      </c>
      <c r="E474" s="44">
        <f t="shared" si="35"/>
        <v>41103</v>
      </c>
      <c r="F474" s="146" t="str">
        <f t="shared" si="37"/>
        <v>2012-13</v>
      </c>
      <c r="G474" s="1"/>
      <c r="H474" s="161"/>
      <c r="I474" s="37"/>
      <c r="J474" s="135">
        <f t="shared" si="39"/>
        <v>0.76382508261777382</v>
      </c>
      <c r="K474" s="112"/>
      <c r="L474" s="37">
        <v>58.493800467299998</v>
      </c>
      <c r="M474" s="37" t="s">
        <v>288</v>
      </c>
      <c r="N474" s="37">
        <v>812.22926829268283</v>
      </c>
      <c r="O474" s="130">
        <f t="shared" si="38"/>
        <v>47510.37675321327</v>
      </c>
      <c r="P474" s="132">
        <f t="shared" si="36"/>
        <v>4173.5741460773716</v>
      </c>
      <c r="Q474" s="261">
        <v>0.11500738887574143</v>
      </c>
      <c r="R474" s="92"/>
    </row>
    <row r="475" spans="1:18" x14ac:dyDescent="0.25">
      <c r="A475" s="353">
        <v>41103</v>
      </c>
      <c r="B475" s="353" t="s">
        <v>285</v>
      </c>
      <c r="C475" s="263" t="s">
        <v>451</v>
      </c>
      <c r="D475" s="157" t="s">
        <v>464</v>
      </c>
      <c r="E475" s="44">
        <f t="shared" si="35"/>
        <v>41103</v>
      </c>
      <c r="F475" s="146" t="str">
        <f t="shared" si="37"/>
        <v>2012-13</v>
      </c>
      <c r="G475" s="1"/>
      <c r="H475" s="161"/>
      <c r="I475" s="37"/>
      <c r="J475" s="135">
        <f t="shared" si="39"/>
        <v>0.76382508261777382</v>
      </c>
      <c r="K475" s="112"/>
      <c r="L475" s="37">
        <v>29.148983517600001</v>
      </c>
      <c r="M475" s="37" t="s">
        <v>288</v>
      </c>
      <c r="N475" s="37">
        <v>3336.4019512195118</v>
      </c>
      <c r="O475" s="130">
        <f t="shared" si="38"/>
        <v>97252.725484186041</v>
      </c>
      <c r="P475" s="132">
        <f t="shared" si="36"/>
        <v>8543.2170497134011</v>
      </c>
      <c r="Q475" s="261">
        <v>0.11500738887574143</v>
      </c>
      <c r="R475" s="92"/>
    </row>
    <row r="476" spans="1:18" x14ac:dyDescent="0.25">
      <c r="A476" s="353">
        <v>41103</v>
      </c>
      <c r="B476" s="353" t="s">
        <v>285</v>
      </c>
      <c r="C476" s="263" t="s">
        <v>451</v>
      </c>
      <c r="D476" s="157" t="s">
        <v>464</v>
      </c>
      <c r="E476" s="44">
        <f t="shared" si="35"/>
        <v>41103</v>
      </c>
      <c r="F476" s="146" t="str">
        <f t="shared" si="37"/>
        <v>2012-13</v>
      </c>
      <c r="G476" s="1"/>
      <c r="H476" s="161"/>
      <c r="I476" s="37"/>
      <c r="J476" s="135">
        <f t="shared" si="39"/>
        <v>0.76382508261777382</v>
      </c>
      <c r="K476" s="112"/>
      <c r="L476" s="37">
        <v>19.9253455769</v>
      </c>
      <c r="M476" s="37" t="s">
        <v>288</v>
      </c>
      <c r="N476" s="37">
        <v>3336.4019512195118</v>
      </c>
      <c r="O476" s="130">
        <f t="shared" si="38"/>
        <v>66478.961861492222</v>
      </c>
      <c r="P476" s="132">
        <f t="shared" si="36"/>
        <v>5839.8795262010308</v>
      </c>
      <c r="Q476" s="261">
        <v>0.11500738887574143</v>
      </c>
      <c r="R476" s="92"/>
    </row>
    <row r="477" spans="1:18" x14ac:dyDescent="0.25">
      <c r="A477" s="353">
        <v>43007</v>
      </c>
      <c r="B477" s="353" t="s">
        <v>285</v>
      </c>
      <c r="C477" s="263" t="s">
        <v>453</v>
      </c>
      <c r="D477" s="157" t="s">
        <v>464</v>
      </c>
      <c r="E477" s="44">
        <f t="shared" si="35"/>
        <v>43007</v>
      </c>
      <c r="F477" s="146" t="str">
        <f t="shared" si="37"/>
        <v>2017-18</v>
      </c>
      <c r="G477" s="1"/>
      <c r="H477" s="161"/>
      <c r="I477" s="37"/>
      <c r="J477" s="135">
        <f t="shared" si="39"/>
        <v>0.76382508261777382</v>
      </c>
      <c r="K477" s="112"/>
      <c r="L477" s="37">
        <v>6.5248476610599999</v>
      </c>
      <c r="M477" s="37" t="s">
        <v>288</v>
      </c>
      <c r="N477" s="37">
        <v>950.87219512195099</v>
      </c>
      <c r="O477" s="130">
        <f t="shared" si="38"/>
        <v>6204.2962183084501</v>
      </c>
      <c r="P477" s="132">
        <f t="shared" si="36"/>
        <v>283.51418198117489</v>
      </c>
      <c r="Q477" s="261">
        <v>5.9825776994913114E-2</v>
      </c>
      <c r="R477" s="92"/>
    </row>
    <row r="478" spans="1:18" x14ac:dyDescent="0.25">
      <c r="A478" s="353">
        <v>43007</v>
      </c>
      <c r="B478" s="353" t="s">
        <v>285</v>
      </c>
      <c r="C478" s="263" t="s">
        <v>453</v>
      </c>
      <c r="D478" s="157" t="s">
        <v>464</v>
      </c>
      <c r="E478" s="44">
        <f t="shared" si="35"/>
        <v>43007</v>
      </c>
      <c r="F478" s="146" t="str">
        <f t="shared" si="37"/>
        <v>2017-18</v>
      </c>
      <c r="G478" s="1"/>
      <c r="H478" s="161"/>
      <c r="I478" s="37"/>
      <c r="J478" s="135">
        <f t="shared" si="39"/>
        <v>0.76382508261777382</v>
      </c>
      <c r="K478" s="112"/>
      <c r="L478" s="37">
        <v>96.750784038199996</v>
      </c>
      <c r="M478" s="37" t="s">
        <v>288</v>
      </c>
      <c r="N478" s="37">
        <v>950.87219512195099</v>
      </c>
      <c r="O478" s="130">
        <f t="shared" si="38"/>
        <v>91997.630398173045</v>
      </c>
      <c r="P478" s="132">
        <f t="shared" si="36"/>
        <v>4203.9631907929297</v>
      </c>
      <c r="Q478" s="261">
        <v>5.9825776994913114E-2</v>
      </c>
      <c r="R478" s="92"/>
    </row>
    <row r="479" spans="1:18" x14ac:dyDescent="0.25">
      <c r="A479" s="353">
        <v>43007</v>
      </c>
      <c r="B479" s="353" t="s">
        <v>285</v>
      </c>
      <c r="C479" s="263" t="s">
        <v>453</v>
      </c>
      <c r="D479" s="157" t="s">
        <v>464</v>
      </c>
      <c r="E479" s="44">
        <f t="shared" si="35"/>
        <v>43007</v>
      </c>
      <c r="F479" s="146" t="str">
        <f t="shared" si="37"/>
        <v>2017-18</v>
      </c>
      <c r="G479" s="1"/>
      <c r="H479" s="161"/>
      <c r="I479" s="37"/>
      <c r="J479" s="135">
        <f t="shared" si="39"/>
        <v>0.76382508261777382</v>
      </c>
      <c r="K479" s="112"/>
      <c r="L479" s="37">
        <v>98.026051283599998</v>
      </c>
      <c r="M479" s="37" t="s">
        <v>288</v>
      </c>
      <c r="N479" s="37">
        <v>950.87219512195099</v>
      </c>
      <c r="O479" s="130">
        <f t="shared" si="38"/>
        <v>93210.24656317367</v>
      </c>
      <c r="P479" s="132">
        <f t="shared" si="36"/>
        <v>4259.3754193488121</v>
      </c>
      <c r="Q479" s="261">
        <v>5.9825776994913114E-2</v>
      </c>
      <c r="R479" s="92"/>
    </row>
    <row r="480" spans="1:18" x14ac:dyDescent="0.25">
      <c r="A480" s="353">
        <v>42352</v>
      </c>
      <c r="B480" s="353" t="s">
        <v>285</v>
      </c>
      <c r="C480" s="263" t="s">
        <v>440</v>
      </c>
      <c r="D480" s="157" t="s">
        <v>465</v>
      </c>
      <c r="E480" s="44">
        <f t="shared" si="35"/>
        <v>42352</v>
      </c>
      <c r="F480" s="146" t="str">
        <f t="shared" si="37"/>
        <v>2015-16</v>
      </c>
      <c r="G480" s="1"/>
      <c r="H480" s="161"/>
      <c r="I480" s="37"/>
      <c r="J480" s="135">
        <f t="shared" si="39"/>
        <v>0.76382508261777382</v>
      </c>
      <c r="K480" s="112"/>
      <c r="L480" s="37">
        <v>140.16713934399999</v>
      </c>
      <c r="M480" s="37" t="s">
        <v>288</v>
      </c>
      <c r="N480" s="37">
        <v>1680.8751219512192</v>
      </c>
      <c r="O480" s="130">
        <f t="shared" si="38"/>
        <v>235603.45743839952</v>
      </c>
      <c r="P480" s="132">
        <f t="shared" si="36"/>
        <v>179959.83034291866</v>
      </c>
      <c r="Q480" s="261">
        <v>1</v>
      </c>
      <c r="R480" s="92"/>
    </row>
    <row r="481" spans="1:18" x14ac:dyDescent="0.25">
      <c r="A481" s="353">
        <v>42352</v>
      </c>
      <c r="B481" s="353" t="s">
        <v>285</v>
      </c>
      <c r="C481" s="263" t="s">
        <v>440</v>
      </c>
      <c r="D481" s="157" t="s">
        <v>465</v>
      </c>
      <c r="E481" s="44">
        <f t="shared" si="35"/>
        <v>42352</v>
      </c>
      <c r="F481" s="146" t="str">
        <f t="shared" si="37"/>
        <v>2015-16</v>
      </c>
      <c r="G481" s="1"/>
      <c r="H481" s="161"/>
      <c r="I481" s="37"/>
      <c r="J481" s="135">
        <f t="shared" si="39"/>
        <v>0.76382508261777382</v>
      </c>
      <c r="K481" s="112"/>
      <c r="L481" s="37">
        <v>95.268361721000005</v>
      </c>
      <c r="M481" s="37" t="s">
        <v>288</v>
      </c>
      <c r="N481" s="37">
        <v>4137.5668292682922</v>
      </c>
      <c r="O481" s="130">
        <f t="shared" si="38"/>
        <v>394179.21333554271</v>
      </c>
      <c r="P481" s="132">
        <f t="shared" si="36"/>
        <v>301083.97019223002</v>
      </c>
      <c r="Q481" s="261">
        <v>1</v>
      </c>
      <c r="R481" s="92"/>
    </row>
    <row r="482" spans="1:18" x14ac:dyDescent="0.25">
      <c r="A482" s="353">
        <v>42352</v>
      </c>
      <c r="B482" s="353" t="s">
        <v>285</v>
      </c>
      <c r="C482" s="263" t="s">
        <v>440</v>
      </c>
      <c r="D482" s="157" t="s">
        <v>465</v>
      </c>
      <c r="E482" s="44">
        <f t="shared" si="35"/>
        <v>42352</v>
      </c>
      <c r="F482" s="146" t="str">
        <f t="shared" si="37"/>
        <v>2015-16</v>
      </c>
      <c r="G482" s="1"/>
      <c r="H482" s="161"/>
      <c r="I482" s="37"/>
      <c r="J482" s="135">
        <f t="shared" si="39"/>
        <v>0.76382508261777382</v>
      </c>
      <c r="K482" s="112"/>
      <c r="L482" s="37">
        <v>115.917887425</v>
      </c>
      <c r="M482" s="37" t="s">
        <v>288</v>
      </c>
      <c r="N482" s="37">
        <v>1680.8751219512192</v>
      </c>
      <c r="O482" s="130">
        <f t="shared" si="38"/>
        <v>194843.49316182459</v>
      </c>
      <c r="P482" s="132">
        <f t="shared" si="36"/>
        <v>148826.34726186632</v>
      </c>
      <c r="Q482" s="261">
        <v>1</v>
      </c>
      <c r="R482" s="92"/>
    </row>
    <row r="483" spans="1:18" x14ac:dyDescent="0.25">
      <c r="A483" s="353">
        <v>42352</v>
      </c>
      <c r="B483" s="353" t="s">
        <v>285</v>
      </c>
      <c r="C483" s="263" t="s">
        <v>440</v>
      </c>
      <c r="D483" s="157" t="s">
        <v>465</v>
      </c>
      <c r="E483" s="44">
        <f t="shared" si="35"/>
        <v>42352</v>
      </c>
      <c r="F483" s="146" t="str">
        <f t="shared" si="37"/>
        <v>2015-16</v>
      </c>
      <c r="G483" s="1"/>
      <c r="H483" s="161"/>
      <c r="I483" s="37"/>
      <c r="J483" s="135">
        <f t="shared" si="39"/>
        <v>0.76382508261777382</v>
      </c>
      <c r="K483" s="112"/>
      <c r="L483" s="37">
        <v>115.902163384</v>
      </c>
      <c r="M483" s="37" t="s">
        <v>288</v>
      </c>
      <c r="N483" s="37">
        <v>1361.4565853658535</v>
      </c>
      <c r="O483" s="130">
        <f t="shared" si="38"/>
        <v>157795.76359729591</v>
      </c>
      <c r="P483" s="132">
        <f t="shared" si="36"/>
        <v>120528.36216643926</v>
      </c>
      <c r="Q483" s="261">
        <v>1</v>
      </c>
      <c r="R483" s="92"/>
    </row>
    <row r="484" spans="1:18" x14ac:dyDescent="0.25">
      <c r="A484" s="353">
        <v>42352</v>
      </c>
      <c r="B484" s="353" t="s">
        <v>285</v>
      </c>
      <c r="C484" s="263" t="s">
        <v>440</v>
      </c>
      <c r="D484" s="157" t="s">
        <v>465</v>
      </c>
      <c r="E484" s="44">
        <f t="shared" si="35"/>
        <v>42352</v>
      </c>
      <c r="F484" s="146" t="str">
        <f t="shared" si="37"/>
        <v>2015-16</v>
      </c>
      <c r="G484" s="1"/>
      <c r="H484" s="161"/>
      <c r="I484" s="37"/>
      <c r="J484" s="135">
        <f t="shared" si="39"/>
        <v>0.76382508261777382</v>
      </c>
      <c r="K484" s="112"/>
      <c r="L484" s="37">
        <v>115.995813864</v>
      </c>
      <c r="M484" s="37" t="s">
        <v>288</v>
      </c>
      <c r="N484" s="37">
        <v>1361.4565853658535</v>
      </c>
      <c r="O484" s="130">
        <f t="shared" si="38"/>
        <v>157923.26466001457</v>
      </c>
      <c r="P484" s="132">
        <f t="shared" si="36"/>
        <v>120625.75067620419</v>
      </c>
      <c r="Q484" s="261">
        <v>1</v>
      </c>
      <c r="R484" s="92"/>
    </row>
    <row r="485" spans="1:18" x14ac:dyDescent="0.25">
      <c r="A485" s="353">
        <v>42352</v>
      </c>
      <c r="B485" s="353" t="s">
        <v>285</v>
      </c>
      <c r="C485" s="263" t="s">
        <v>440</v>
      </c>
      <c r="D485" s="157" t="s">
        <v>465</v>
      </c>
      <c r="E485" s="44">
        <f t="shared" si="35"/>
        <v>42352</v>
      </c>
      <c r="F485" s="146" t="str">
        <f t="shared" si="37"/>
        <v>2015-16</v>
      </c>
      <c r="G485" s="1"/>
      <c r="H485" s="161"/>
      <c r="I485" s="37"/>
      <c r="J485" s="135">
        <f t="shared" si="39"/>
        <v>0.76382508261777382</v>
      </c>
      <c r="K485" s="112"/>
      <c r="L485" s="37">
        <v>119.911601311</v>
      </c>
      <c r="M485" s="37" t="s">
        <v>288</v>
      </c>
      <c r="N485" s="37">
        <v>1361.4565853658535</v>
      </c>
      <c r="O485" s="130">
        <f t="shared" si="38"/>
        <v>163254.43926662565</v>
      </c>
      <c r="P485" s="132">
        <f t="shared" si="36"/>
        <v>124697.83556054867</v>
      </c>
      <c r="Q485" s="261">
        <v>1</v>
      </c>
      <c r="R485" s="92"/>
    </row>
    <row r="486" spans="1:18" x14ac:dyDescent="0.25">
      <c r="A486" s="353">
        <v>42352</v>
      </c>
      <c r="B486" s="353" t="s">
        <v>285</v>
      </c>
      <c r="C486" s="263" t="s">
        <v>440</v>
      </c>
      <c r="D486" s="157" t="s">
        <v>465</v>
      </c>
      <c r="E486" s="44">
        <f t="shared" si="35"/>
        <v>42352</v>
      </c>
      <c r="F486" s="146" t="str">
        <f t="shared" si="37"/>
        <v>2015-16</v>
      </c>
      <c r="G486" s="1"/>
      <c r="H486" s="161"/>
      <c r="I486" s="37"/>
      <c r="J486" s="135">
        <f t="shared" si="39"/>
        <v>0.76382508261777382</v>
      </c>
      <c r="K486" s="112"/>
      <c r="L486" s="37">
        <v>96.489210168499994</v>
      </c>
      <c r="M486" s="37" t="s">
        <v>288</v>
      </c>
      <c r="N486" s="37">
        <v>4137.5668292682922</v>
      </c>
      <c r="O486" s="130">
        <f t="shared" si="38"/>
        <v>399230.55537548236</v>
      </c>
      <c r="P486" s="132">
        <f t="shared" si="36"/>
        <v>304942.31194321753</v>
      </c>
      <c r="Q486" s="261">
        <v>1</v>
      </c>
      <c r="R486" s="92"/>
    </row>
    <row r="487" spans="1:18" x14ac:dyDescent="0.25">
      <c r="A487" s="353">
        <v>42352</v>
      </c>
      <c r="B487" s="353" t="s">
        <v>285</v>
      </c>
      <c r="C487" s="263" t="s">
        <v>440</v>
      </c>
      <c r="D487" s="157" t="s">
        <v>465</v>
      </c>
      <c r="E487" s="44">
        <f t="shared" si="35"/>
        <v>42352</v>
      </c>
      <c r="F487" s="146" t="str">
        <f t="shared" si="37"/>
        <v>2015-16</v>
      </c>
      <c r="G487" s="1"/>
      <c r="H487" s="161"/>
      <c r="I487" s="37"/>
      <c r="J487" s="135">
        <f t="shared" si="39"/>
        <v>0.76382508261777382</v>
      </c>
      <c r="K487" s="112"/>
      <c r="L487" s="37">
        <v>115.864523546</v>
      </c>
      <c r="M487" s="37" t="s">
        <v>288</v>
      </c>
      <c r="N487" s="37">
        <v>4137.5668292682922</v>
      </c>
      <c r="O487" s="130">
        <f t="shared" si="38"/>
        <v>479397.20931290463</v>
      </c>
      <c r="P487" s="132">
        <f t="shared" si="36"/>
        <v>366175.61301015958</v>
      </c>
      <c r="Q487" s="261">
        <v>1</v>
      </c>
      <c r="R487" s="92"/>
    </row>
    <row r="488" spans="1:18" x14ac:dyDescent="0.25">
      <c r="A488" s="353">
        <v>42352</v>
      </c>
      <c r="B488" s="353" t="s">
        <v>285</v>
      </c>
      <c r="C488" s="263" t="s">
        <v>440</v>
      </c>
      <c r="D488" s="157" t="s">
        <v>465</v>
      </c>
      <c r="E488" s="44">
        <f t="shared" si="35"/>
        <v>42352</v>
      </c>
      <c r="F488" s="146" t="str">
        <f t="shared" si="37"/>
        <v>2015-16</v>
      </c>
      <c r="G488" s="1"/>
      <c r="H488" s="161"/>
      <c r="I488" s="37"/>
      <c r="J488" s="135">
        <f t="shared" si="39"/>
        <v>0.76382508261777382</v>
      </c>
      <c r="K488" s="112"/>
      <c r="L488" s="37">
        <v>117.17390607999999</v>
      </c>
      <c r="M488" s="37" t="s">
        <v>288</v>
      </c>
      <c r="N488" s="37">
        <v>1361.4565853658535</v>
      </c>
      <c r="O488" s="130">
        <f t="shared" si="38"/>
        <v>159527.18606565602</v>
      </c>
      <c r="P488" s="132">
        <f t="shared" si="36"/>
        <v>121850.86607638068</v>
      </c>
      <c r="Q488" s="261">
        <v>1</v>
      </c>
      <c r="R488" s="92"/>
    </row>
    <row r="489" spans="1:18" x14ac:dyDescent="0.25">
      <c r="A489" s="353">
        <v>42352</v>
      </c>
      <c r="B489" s="353" t="s">
        <v>285</v>
      </c>
      <c r="C489" s="263" t="s">
        <v>440</v>
      </c>
      <c r="D489" s="157" t="s">
        <v>465</v>
      </c>
      <c r="E489" s="44">
        <f t="shared" si="35"/>
        <v>42352</v>
      </c>
      <c r="F489" s="146" t="str">
        <f t="shared" si="37"/>
        <v>2015-16</v>
      </c>
      <c r="G489" s="1"/>
      <c r="H489" s="161"/>
      <c r="I489" s="37"/>
      <c r="J489" s="135">
        <f t="shared" si="39"/>
        <v>0.76382508261777382</v>
      </c>
      <c r="K489" s="112"/>
      <c r="L489" s="37">
        <v>129.146238385</v>
      </c>
      <c r="M489" s="37" t="s">
        <v>288</v>
      </c>
      <c r="N489" s="37">
        <v>4137.5668292682922</v>
      </c>
      <c r="O489" s="130">
        <f t="shared" si="38"/>
        <v>534351.19206655142</v>
      </c>
      <c r="P489" s="132">
        <f t="shared" si="36"/>
        <v>408150.84342713957</v>
      </c>
      <c r="Q489" s="261">
        <v>1</v>
      </c>
      <c r="R489" s="92"/>
    </row>
    <row r="490" spans="1:18" x14ac:dyDescent="0.25">
      <c r="A490" s="353">
        <v>42352</v>
      </c>
      <c r="B490" s="353" t="s">
        <v>285</v>
      </c>
      <c r="C490" s="263" t="s">
        <v>440</v>
      </c>
      <c r="D490" s="157" t="s">
        <v>465</v>
      </c>
      <c r="E490" s="44">
        <f t="shared" si="35"/>
        <v>42352</v>
      </c>
      <c r="F490" s="146" t="str">
        <f t="shared" si="37"/>
        <v>2015-16</v>
      </c>
      <c r="G490" s="1"/>
      <c r="H490" s="161"/>
      <c r="I490" s="37"/>
      <c r="J490" s="135">
        <f t="shared" si="39"/>
        <v>0.76382508261777382</v>
      </c>
      <c r="K490" s="112"/>
      <c r="L490" s="37">
        <v>77.788364378500006</v>
      </c>
      <c r="M490" s="37" t="s">
        <v>288</v>
      </c>
      <c r="N490" s="37">
        <v>4137.5668292682922</v>
      </c>
      <c r="O490" s="130">
        <f t="shared" si="38"/>
        <v>321854.55615551682</v>
      </c>
      <c r="P490" s="132">
        <f t="shared" si="36"/>
        <v>245840.58294639457</v>
      </c>
      <c r="Q490" s="261">
        <v>1</v>
      </c>
      <c r="R490" s="92"/>
    </row>
    <row r="491" spans="1:18" x14ac:dyDescent="0.25">
      <c r="A491" s="353">
        <v>42352</v>
      </c>
      <c r="B491" s="353" t="s">
        <v>285</v>
      </c>
      <c r="C491" s="263" t="s">
        <v>440</v>
      </c>
      <c r="D491" s="157" t="s">
        <v>465</v>
      </c>
      <c r="E491" s="44">
        <f t="shared" si="35"/>
        <v>42352</v>
      </c>
      <c r="F491" s="146" t="str">
        <f t="shared" si="37"/>
        <v>2015-16</v>
      </c>
      <c r="G491" s="1"/>
      <c r="H491" s="161"/>
      <c r="I491" s="37"/>
      <c r="J491" s="135">
        <f t="shared" si="39"/>
        <v>0.76382508261777382</v>
      </c>
      <c r="K491" s="112"/>
      <c r="L491" s="37">
        <v>87.553562994299995</v>
      </c>
      <c r="M491" s="37" t="s">
        <v>288</v>
      </c>
      <c r="N491" s="37">
        <v>4137.5668292682922</v>
      </c>
      <c r="O491" s="130">
        <f t="shared" si="38"/>
        <v>362258.71802946751</v>
      </c>
      <c r="P491" s="132">
        <f t="shared" si="36"/>
        <v>276702.29522786685</v>
      </c>
      <c r="Q491" s="261">
        <v>1</v>
      </c>
      <c r="R491" s="92"/>
    </row>
    <row r="492" spans="1:18" x14ac:dyDescent="0.25">
      <c r="A492" s="353">
        <v>42352</v>
      </c>
      <c r="B492" s="353" t="s">
        <v>285</v>
      </c>
      <c r="C492" s="263" t="s">
        <v>440</v>
      </c>
      <c r="D492" s="157" t="s">
        <v>465</v>
      </c>
      <c r="E492" s="44">
        <f t="shared" si="35"/>
        <v>42352</v>
      </c>
      <c r="F492" s="146" t="str">
        <f t="shared" si="37"/>
        <v>2015-16</v>
      </c>
      <c r="G492" s="1"/>
      <c r="H492" s="161"/>
      <c r="I492" s="37"/>
      <c r="J492" s="135">
        <f t="shared" si="39"/>
        <v>0.76382508261777382</v>
      </c>
      <c r="K492" s="112"/>
      <c r="L492" s="37">
        <v>147.89710051899999</v>
      </c>
      <c r="M492" s="37" t="s">
        <v>288</v>
      </c>
      <c r="N492" s="37">
        <v>4137.5668292682922</v>
      </c>
      <c r="O492" s="130">
        <f t="shared" si="38"/>
        <v>611934.13725237269</v>
      </c>
      <c r="P492" s="132">
        <f t="shared" si="36"/>
        <v>467410.6429434297</v>
      </c>
      <c r="Q492" s="261">
        <v>1</v>
      </c>
      <c r="R492" s="92"/>
    </row>
    <row r="493" spans="1:18" x14ac:dyDescent="0.25">
      <c r="A493" s="353">
        <v>42352</v>
      </c>
      <c r="B493" s="353" t="s">
        <v>285</v>
      </c>
      <c r="C493" s="263" t="s">
        <v>440</v>
      </c>
      <c r="D493" s="157" t="s">
        <v>465</v>
      </c>
      <c r="E493" s="44">
        <f t="shared" si="35"/>
        <v>42352</v>
      </c>
      <c r="F493" s="146" t="str">
        <f t="shared" si="37"/>
        <v>2015-16</v>
      </c>
      <c r="G493" s="1"/>
      <c r="H493" s="161"/>
      <c r="I493" s="37"/>
      <c r="J493" s="135">
        <f t="shared" si="39"/>
        <v>0.76382508261777382</v>
      </c>
      <c r="K493" s="112"/>
      <c r="L493" s="37">
        <v>125.95883945200001</v>
      </c>
      <c r="M493" s="37" t="s">
        <v>288</v>
      </c>
      <c r="N493" s="37">
        <v>1361.4565853658535</v>
      </c>
      <c r="O493" s="130">
        <f t="shared" si="38"/>
        <v>171487.49145696568</v>
      </c>
      <c r="P493" s="132">
        <f t="shared" si="36"/>
        <v>130986.4473300316</v>
      </c>
      <c r="Q493" s="261">
        <v>1</v>
      </c>
      <c r="R493" s="92"/>
    </row>
    <row r="494" spans="1:18" x14ac:dyDescent="0.25">
      <c r="A494" s="353">
        <v>40562</v>
      </c>
      <c r="B494" s="353" t="s">
        <v>285</v>
      </c>
      <c r="C494" s="263" t="s">
        <v>454</v>
      </c>
      <c r="D494" s="157" t="s">
        <v>464</v>
      </c>
      <c r="E494" s="44">
        <f t="shared" si="35"/>
        <v>40562</v>
      </c>
      <c r="F494" s="146" t="str">
        <f t="shared" si="37"/>
        <v>2010-11</v>
      </c>
      <c r="G494" s="1"/>
      <c r="H494" s="161"/>
      <c r="I494" s="37"/>
      <c r="J494" s="135">
        <f t="shared" si="39"/>
        <v>0.76382508261777382</v>
      </c>
      <c r="K494" s="112"/>
      <c r="L494" s="37">
        <v>163.162894464</v>
      </c>
      <c r="M494" s="37" t="s">
        <v>288</v>
      </c>
      <c r="N494" s="37">
        <v>2005.9707317073169</v>
      </c>
      <c r="O494" s="130">
        <f t="shared" si="38"/>
        <v>327299.99079543381</v>
      </c>
      <c r="P494" s="132">
        <f t="shared" si="36"/>
        <v>136372.99767082412</v>
      </c>
      <c r="Q494" s="261">
        <v>0.54549211612440418</v>
      </c>
      <c r="R494" s="92"/>
    </row>
    <row r="495" spans="1:18" x14ac:dyDescent="0.25">
      <c r="A495" s="353">
        <v>40562</v>
      </c>
      <c r="B495" s="353" t="s">
        <v>285</v>
      </c>
      <c r="C495" s="263" t="s">
        <v>454</v>
      </c>
      <c r="D495" s="157" t="s">
        <v>464</v>
      </c>
      <c r="E495" s="44">
        <f t="shared" si="35"/>
        <v>40562</v>
      </c>
      <c r="F495" s="146" t="str">
        <f t="shared" si="37"/>
        <v>2010-11</v>
      </c>
      <c r="G495" s="1"/>
      <c r="H495" s="161"/>
      <c r="I495" s="37"/>
      <c r="J495" s="135">
        <f t="shared" si="39"/>
        <v>0.76382508261777382</v>
      </c>
      <c r="K495" s="112"/>
      <c r="L495" s="37">
        <v>136.13886365600001</v>
      </c>
      <c r="M495" s="37" t="s">
        <v>288</v>
      </c>
      <c r="N495" s="37">
        <v>4641.6565853658531</v>
      </c>
      <c r="O495" s="130">
        <f t="shared" si="38"/>
        <v>631909.85301309649</v>
      </c>
      <c r="P495" s="132">
        <f t="shared" si="36"/>
        <v>263291.91364684893</v>
      </c>
      <c r="Q495" s="261">
        <v>0.54549211612440418</v>
      </c>
      <c r="R495" s="92"/>
    </row>
    <row r="496" spans="1:18" x14ac:dyDescent="0.25">
      <c r="A496" s="353">
        <v>43006</v>
      </c>
      <c r="B496" s="353" t="s">
        <v>285</v>
      </c>
      <c r="C496" s="263" t="s">
        <v>455</v>
      </c>
      <c r="D496" s="157" t="s">
        <v>464</v>
      </c>
      <c r="E496" s="44">
        <f t="shared" si="35"/>
        <v>43006</v>
      </c>
      <c r="F496" s="146" t="str">
        <f t="shared" si="37"/>
        <v>2017-18</v>
      </c>
      <c r="G496" s="1"/>
      <c r="H496" s="161"/>
      <c r="I496" s="37"/>
      <c r="J496" s="135">
        <f t="shared" si="39"/>
        <v>0.76382508261777382</v>
      </c>
      <c r="K496" s="112"/>
      <c r="L496" s="37">
        <v>142.914242583</v>
      </c>
      <c r="M496" s="37" t="s">
        <v>288</v>
      </c>
      <c r="N496" s="37">
        <v>1680.8751219512192</v>
      </c>
      <c r="O496" s="130">
        <f t="shared" si="38"/>
        <v>240220.99493026626</v>
      </c>
      <c r="P496" s="132">
        <f t="shared" si="36"/>
        <v>154473.1958464905</v>
      </c>
      <c r="Q496" s="261">
        <v>0.84187624349683565</v>
      </c>
      <c r="R496" s="92"/>
    </row>
    <row r="497" spans="1:18" x14ac:dyDescent="0.25">
      <c r="A497" s="353">
        <v>43006</v>
      </c>
      <c r="B497" s="353" t="s">
        <v>285</v>
      </c>
      <c r="C497" s="263" t="s">
        <v>455</v>
      </c>
      <c r="D497" s="157" t="s">
        <v>464</v>
      </c>
      <c r="E497" s="44">
        <f t="shared" si="35"/>
        <v>43006</v>
      </c>
      <c r="F497" s="146" t="str">
        <f t="shared" si="37"/>
        <v>2017-18</v>
      </c>
      <c r="G497" s="1"/>
      <c r="H497" s="161"/>
      <c r="I497" s="37"/>
      <c r="J497" s="135">
        <f t="shared" si="39"/>
        <v>0.76382508261777382</v>
      </c>
      <c r="K497" s="112"/>
      <c r="L497" s="37">
        <v>117.830078116</v>
      </c>
      <c r="M497" s="37" t="s">
        <v>288</v>
      </c>
      <c r="N497" s="37">
        <v>3592.3639024390236</v>
      </c>
      <c r="O497" s="130">
        <f t="shared" si="38"/>
        <v>423288.51924548874</v>
      </c>
      <c r="P497" s="132">
        <f t="shared" si="36"/>
        <v>272194.07009766344</v>
      </c>
      <c r="Q497" s="261">
        <v>0.84187624349683565</v>
      </c>
      <c r="R497" s="92"/>
    </row>
    <row r="498" spans="1:18" x14ac:dyDescent="0.25">
      <c r="A498" s="353">
        <v>43006</v>
      </c>
      <c r="B498" s="353" t="s">
        <v>285</v>
      </c>
      <c r="C498" s="263" t="s">
        <v>455</v>
      </c>
      <c r="D498" s="157" t="s">
        <v>464</v>
      </c>
      <c r="E498" s="44">
        <f t="shared" si="35"/>
        <v>43006</v>
      </c>
      <c r="F498" s="146" t="str">
        <f t="shared" si="37"/>
        <v>2017-18</v>
      </c>
      <c r="G498" s="1"/>
      <c r="H498" s="161"/>
      <c r="I498" s="37"/>
      <c r="J498" s="135">
        <f t="shared" si="39"/>
        <v>0.76382508261777382</v>
      </c>
      <c r="K498" s="112"/>
      <c r="L498" s="37">
        <v>163.225162496</v>
      </c>
      <c r="M498" s="37" t="s">
        <v>288</v>
      </c>
      <c r="N498" s="37">
        <v>4416.6341463414628</v>
      </c>
      <c r="O498" s="130">
        <f t="shared" si="38"/>
        <v>720905.82622196747</v>
      </c>
      <c r="P498" s="132">
        <f t="shared" si="36"/>
        <v>463575.74579686043</v>
      </c>
      <c r="Q498" s="261">
        <v>0.84187624349683565</v>
      </c>
      <c r="R498" s="92"/>
    </row>
    <row r="499" spans="1:18" x14ac:dyDescent="0.25">
      <c r="A499" s="353">
        <v>43006</v>
      </c>
      <c r="B499" s="353" t="s">
        <v>285</v>
      </c>
      <c r="C499" s="263" t="s">
        <v>455</v>
      </c>
      <c r="D499" s="157" t="s">
        <v>464</v>
      </c>
      <c r="E499" s="44">
        <f t="shared" si="35"/>
        <v>43006</v>
      </c>
      <c r="F499" s="146" t="str">
        <f t="shared" si="37"/>
        <v>2017-18</v>
      </c>
      <c r="G499" s="1"/>
      <c r="H499" s="161"/>
      <c r="I499" s="37"/>
      <c r="J499" s="135">
        <f t="shared" si="39"/>
        <v>0.76382508261777382</v>
      </c>
      <c r="K499" s="112"/>
      <c r="L499" s="37">
        <v>90.686658980199994</v>
      </c>
      <c r="M499" s="37" t="s">
        <v>288</v>
      </c>
      <c r="N499" s="37">
        <v>1680.8751219512192</v>
      </c>
      <c r="O499" s="130">
        <f t="shared" si="38"/>
        <v>152432.94897269228</v>
      </c>
      <c r="P499" s="132">
        <f t="shared" si="36"/>
        <v>98021.427256814859</v>
      </c>
      <c r="Q499" s="261">
        <v>0.84187624349683565</v>
      </c>
      <c r="R499" s="92"/>
    </row>
    <row r="500" spans="1:18" x14ac:dyDescent="0.25">
      <c r="A500" s="353">
        <v>43006</v>
      </c>
      <c r="B500" s="353" t="s">
        <v>285</v>
      </c>
      <c r="C500" s="263" t="s">
        <v>455</v>
      </c>
      <c r="D500" s="157" t="s">
        <v>464</v>
      </c>
      <c r="E500" s="44">
        <f t="shared" si="35"/>
        <v>43006</v>
      </c>
      <c r="F500" s="146" t="str">
        <f t="shared" si="37"/>
        <v>2017-18</v>
      </c>
      <c r="G500" s="1"/>
      <c r="H500" s="161"/>
      <c r="I500" s="37"/>
      <c r="J500" s="135">
        <f t="shared" si="39"/>
        <v>0.76382508261777382</v>
      </c>
      <c r="K500" s="112"/>
      <c r="L500" s="37">
        <v>41.875294351199997</v>
      </c>
      <c r="M500" s="37" t="s">
        <v>288</v>
      </c>
      <c r="N500" s="37">
        <v>1680.8751219512192</v>
      </c>
      <c r="O500" s="130">
        <f t="shared" si="38"/>
        <v>70387.140499316491</v>
      </c>
      <c r="P500" s="132">
        <f t="shared" si="36"/>
        <v>45262.182610565156</v>
      </c>
      <c r="Q500" s="261">
        <v>0.84187624349683565</v>
      </c>
      <c r="R500" s="92"/>
    </row>
    <row r="501" spans="1:18" x14ac:dyDescent="0.25">
      <c r="A501" s="353">
        <v>43006</v>
      </c>
      <c r="B501" s="353" t="s">
        <v>285</v>
      </c>
      <c r="C501" s="263" t="s">
        <v>455</v>
      </c>
      <c r="D501" s="157" t="s">
        <v>464</v>
      </c>
      <c r="E501" s="44">
        <f t="shared" si="35"/>
        <v>43006</v>
      </c>
      <c r="F501" s="146" t="str">
        <f t="shared" si="37"/>
        <v>2017-18</v>
      </c>
      <c r="G501" s="1"/>
      <c r="H501" s="161"/>
      <c r="I501" s="37"/>
      <c r="J501" s="135">
        <f t="shared" si="39"/>
        <v>0.76382508261777382</v>
      </c>
      <c r="K501" s="112"/>
      <c r="L501" s="37">
        <v>93.983775668999996</v>
      </c>
      <c r="M501" s="37" t="s">
        <v>288</v>
      </c>
      <c r="N501" s="37">
        <v>4416.6341463414628</v>
      </c>
      <c r="O501" s="130">
        <f t="shared" si="38"/>
        <v>415091.95282180136</v>
      </c>
      <c r="P501" s="132">
        <f t="shared" si="36"/>
        <v>266923.29927764169</v>
      </c>
      <c r="Q501" s="261">
        <v>0.84187624349683565</v>
      </c>
      <c r="R501" s="92"/>
    </row>
    <row r="502" spans="1:18" x14ac:dyDescent="0.25">
      <c r="A502" s="353">
        <v>43006</v>
      </c>
      <c r="B502" s="353" t="s">
        <v>285</v>
      </c>
      <c r="C502" s="263" t="s">
        <v>455</v>
      </c>
      <c r="D502" s="157" t="s">
        <v>464</v>
      </c>
      <c r="E502" s="44">
        <f t="shared" si="35"/>
        <v>43006</v>
      </c>
      <c r="F502" s="146" t="str">
        <f t="shared" si="37"/>
        <v>2017-18</v>
      </c>
      <c r="G502" s="1"/>
      <c r="H502" s="161"/>
      <c r="I502" s="37"/>
      <c r="J502" s="135">
        <f t="shared" si="39"/>
        <v>0.76382508261777382</v>
      </c>
      <c r="K502" s="112"/>
      <c r="L502" s="37">
        <v>61.654734198600003</v>
      </c>
      <c r="M502" s="37" t="s">
        <v>288</v>
      </c>
      <c r="N502" s="37">
        <v>3592.3639024390236</v>
      </c>
      <c r="O502" s="130">
        <f t="shared" si="38"/>
        <v>221486.24154952343</v>
      </c>
      <c r="P502" s="132">
        <f t="shared" si="36"/>
        <v>142425.88404112856</v>
      </c>
      <c r="Q502" s="261">
        <v>0.84187624349683565</v>
      </c>
      <c r="R502" s="92"/>
    </row>
    <row r="503" spans="1:18" x14ac:dyDescent="0.25">
      <c r="A503" s="353">
        <v>43006</v>
      </c>
      <c r="B503" s="353" t="s">
        <v>285</v>
      </c>
      <c r="C503" s="263" t="s">
        <v>455</v>
      </c>
      <c r="D503" s="157" t="s">
        <v>464</v>
      </c>
      <c r="E503" s="44">
        <f t="shared" si="35"/>
        <v>43006</v>
      </c>
      <c r="F503" s="146" t="str">
        <f t="shared" si="37"/>
        <v>2017-18</v>
      </c>
      <c r="G503" s="1"/>
      <c r="H503" s="161"/>
      <c r="I503" s="37"/>
      <c r="J503" s="135">
        <f t="shared" si="39"/>
        <v>0.76382508261777382</v>
      </c>
      <c r="K503" s="112"/>
      <c r="L503" s="37">
        <v>97.409490815799998</v>
      </c>
      <c r="M503" s="37" t="s">
        <v>288</v>
      </c>
      <c r="N503" s="37">
        <v>1680.8751219512192</v>
      </c>
      <c r="O503" s="130">
        <f t="shared" si="38"/>
        <v>163733.18975421399</v>
      </c>
      <c r="P503" s="132">
        <f t="shared" si="36"/>
        <v>105288.00405150022</v>
      </c>
      <c r="Q503" s="261">
        <v>0.84187624349683565</v>
      </c>
      <c r="R503" s="92"/>
    </row>
    <row r="504" spans="1:18" x14ac:dyDescent="0.25">
      <c r="A504" s="353">
        <v>43006</v>
      </c>
      <c r="B504" s="353" t="s">
        <v>285</v>
      </c>
      <c r="C504" s="263" t="s">
        <v>455</v>
      </c>
      <c r="D504" s="157" t="s">
        <v>464</v>
      </c>
      <c r="E504" s="44">
        <f t="shared" si="35"/>
        <v>43006</v>
      </c>
      <c r="F504" s="146" t="str">
        <f t="shared" si="37"/>
        <v>2017-18</v>
      </c>
      <c r="G504" s="1"/>
      <c r="H504" s="161"/>
      <c r="I504" s="37"/>
      <c r="J504" s="135">
        <f t="shared" si="39"/>
        <v>0.76382508261777382</v>
      </c>
      <c r="K504" s="112"/>
      <c r="L504" s="37">
        <v>52.534124873300001</v>
      </c>
      <c r="M504" s="37" t="s">
        <v>288</v>
      </c>
      <c r="N504" s="37">
        <v>3592.3639024390236</v>
      </c>
      <c r="O504" s="130">
        <f t="shared" si="38"/>
        <v>188721.69384106697</v>
      </c>
      <c r="P504" s="132">
        <f t="shared" si="36"/>
        <v>121356.76642940895</v>
      </c>
      <c r="Q504" s="261">
        <v>0.84187624349683565</v>
      </c>
      <c r="R504" s="92"/>
    </row>
    <row r="505" spans="1:18" x14ac:dyDescent="0.25">
      <c r="A505" s="353">
        <v>43006</v>
      </c>
      <c r="B505" s="353" t="s">
        <v>285</v>
      </c>
      <c r="C505" s="263" t="s">
        <v>455</v>
      </c>
      <c r="D505" s="157" t="s">
        <v>464</v>
      </c>
      <c r="E505" s="44">
        <f t="shared" si="35"/>
        <v>43006</v>
      </c>
      <c r="F505" s="146" t="str">
        <f t="shared" si="37"/>
        <v>2017-18</v>
      </c>
      <c r="G505" s="1"/>
      <c r="H505" s="161"/>
      <c r="I505" s="37"/>
      <c r="J505" s="135">
        <f t="shared" si="39"/>
        <v>0.76382508261777382</v>
      </c>
      <c r="K505" s="112"/>
      <c r="L505" s="37">
        <v>26.771425998600002</v>
      </c>
      <c r="M505" s="37" t="s">
        <v>288</v>
      </c>
      <c r="N505" s="37">
        <v>3592.3639024390236</v>
      </c>
      <c r="O505" s="130">
        <f t="shared" si="38"/>
        <v>96172.704374188237</v>
      </c>
      <c r="P505" s="132">
        <f t="shared" si="36"/>
        <v>61843.491249352242</v>
      </c>
      <c r="Q505" s="261">
        <v>0.84187624349683565</v>
      </c>
      <c r="R505" s="92"/>
    </row>
    <row r="506" spans="1:18" x14ac:dyDescent="0.25">
      <c r="A506" s="353">
        <v>43006</v>
      </c>
      <c r="B506" s="353" t="s">
        <v>285</v>
      </c>
      <c r="C506" s="263" t="s">
        <v>455</v>
      </c>
      <c r="D506" s="157" t="s">
        <v>464</v>
      </c>
      <c r="E506" s="44">
        <f t="shared" si="35"/>
        <v>43006</v>
      </c>
      <c r="F506" s="146" t="str">
        <f t="shared" si="37"/>
        <v>2017-18</v>
      </c>
      <c r="G506" s="1"/>
      <c r="H506" s="161"/>
      <c r="I506" s="37"/>
      <c r="J506" s="135">
        <f t="shared" si="39"/>
        <v>0.76382508261777382</v>
      </c>
      <c r="K506" s="112"/>
      <c r="L506" s="37">
        <v>51.1607333324</v>
      </c>
      <c r="M506" s="37" t="s">
        <v>288</v>
      </c>
      <c r="N506" s="37">
        <v>3592.3639024390236</v>
      </c>
      <c r="O506" s="130">
        <f t="shared" si="38"/>
        <v>183787.97164562269</v>
      </c>
      <c r="P506" s="132">
        <f t="shared" si="36"/>
        <v>118184.1551629779</v>
      </c>
      <c r="Q506" s="261">
        <v>0.84187624349683565</v>
      </c>
      <c r="R506" s="92"/>
    </row>
    <row r="507" spans="1:18" x14ac:dyDescent="0.25">
      <c r="A507" s="353">
        <v>43006</v>
      </c>
      <c r="B507" s="353" t="s">
        <v>285</v>
      </c>
      <c r="C507" s="263" t="s">
        <v>455</v>
      </c>
      <c r="D507" s="157" t="s">
        <v>464</v>
      </c>
      <c r="E507" s="44">
        <f t="shared" si="35"/>
        <v>43006</v>
      </c>
      <c r="F507" s="146" t="str">
        <f t="shared" si="37"/>
        <v>2017-18</v>
      </c>
      <c r="G507" s="1"/>
      <c r="H507" s="161"/>
      <c r="I507" s="37"/>
      <c r="J507" s="135">
        <f t="shared" si="39"/>
        <v>0.76382508261777382</v>
      </c>
      <c r="K507" s="112"/>
      <c r="L507" s="37">
        <v>39.243267981599999</v>
      </c>
      <c r="M507" s="37" t="s">
        <v>288</v>
      </c>
      <c r="N507" s="37">
        <v>950.87219512195099</v>
      </c>
      <c r="O507" s="130">
        <f t="shared" si="38"/>
        <v>37315.332369422969</v>
      </c>
      <c r="P507" s="132">
        <f t="shared" si="36"/>
        <v>23995.48235512077</v>
      </c>
      <c r="Q507" s="261">
        <v>0.84187624349683565</v>
      </c>
      <c r="R507" s="92"/>
    </row>
    <row r="508" spans="1:18" x14ac:dyDescent="0.25">
      <c r="A508" s="353">
        <v>43006</v>
      </c>
      <c r="B508" s="353" t="s">
        <v>285</v>
      </c>
      <c r="C508" s="263" t="s">
        <v>455</v>
      </c>
      <c r="D508" s="157" t="s">
        <v>464</v>
      </c>
      <c r="E508" s="44">
        <f t="shared" si="35"/>
        <v>43006</v>
      </c>
      <c r="F508" s="146" t="str">
        <f t="shared" si="37"/>
        <v>2017-18</v>
      </c>
      <c r="G508" s="1"/>
      <c r="H508" s="161"/>
      <c r="I508" s="37"/>
      <c r="J508" s="135">
        <f t="shared" si="39"/>
        <v>0.76382508261777382</v>
      </c>
      <c r="K508" s="112"/>
      <c r="L508" s="37">
        <v>47.570803621700001</v>
      </c>
      <c r="M508" s="37" t="s">
        <v>288</v>
      </c>
      <c r="N508" s="37">
        <v>3592.3639024390236</v>
      </c>
      <c r="O508" s="130">
        <f t="shared" si="38"/>
        <v>170891.63774061066</v>
      </c>
      <c r="P508" s="132">
        <f t="shared" si="36"/>
        <v>109891.21676436308</v>
      </c>
      <c r="Q508" s="261">
        <v>0.84187624349683565</v>
      </c>
      <c r="R508" s="92"/>
    </row>
    <row r="509" spans="1:18" x14ac:dyDescent="0.25">
      <c r="A509" s="353">
        <v>43006</v>
      </c>
      <c r="B509" s="353" t="s">
        <v>285</v>
      </c>
      <c r="C509" s="263" t="s">
        <v>455</v>
      </c>
      <c r="D509" s="157" t="s">
        <v>464</v>
      </c>
      <c r="E509" s="44">
        <f t="shared" si="35"/>
        <v>43006</v>
      </c>
      <c r="F509" s="146" t="str">
        <f t="shared" si="37"/>
        <v>2017-18</v>
      </c>
      <c r="G509" s="1"/>
      <c r="H509" s="161"/>
      <c r="I509" s="37"/>
      <c r="J509" s="135">
        <f t="shared" si="39"/>
        <v>0.76382508261777382</v>
      </c>
      <c r="K509" s="112"/>
      <c r="L509" s="37">
        <v>63.846469988599999</v>
      </c>
      <c r="M509" s="37" t="s">
        <v>288</v>
      </c>
      <c r="N509" s="37">
        <v>1162.6195121951216</v>
      </c>
      <c r="O509" s="130">
        <f t="shared" si="38"/>
        <v>74229.151793526602</v>
      </c>
      <c r="P509" s="132">
        <f t="shared" si="36"/>
        <v>47732.773340019223</v>
      </c>
      <c r="Q509" s="261">
        <v>0.84187624349683565</v>
      </c>
      <c r="R509" s="92"/>
    </row>
    <row r="510" spans="1:18" x14ac:dyDescent="0.25">
      <c r="A510" s="353">
        <v>43006</v>
      </c>
      <c r="B510" s="353" t="s">
        <v>285</v>
      </c>
      <c r="C510" s="263" t="s">
        <v>455</v>
      </c>
      <c r="D510" s="157" t="s">
        <v>464</v>
      </c>
      <c r="E510" s="44">
        <f t="shared" si="35"/>
        <v>43006</v>
      </c>
      <c r="F510" s="146" t="str">
        <f t="shared" si="37"/>
        <v>2017-18</v>
      </c>
      <c r="G510" s="1"/>
      <c r="H510" s="161"/>
      <c r="I510" s="37"/>
      <c r="J510" s="135">
        <f t="shared" si="39"/>
        <v>0.76382508261777382</v>
      </c>
      <c r="K510" s="112"/>
      <c r="L510" s="37">
        <v>45.107201697699999</v>
      </c>
      <c r="M510" s="37" t="s">
        <v>288</v>
      </c>
      <c r="N510" s="37">
        <v>1162.6195121951216</v>
      </c>
      <c r="O510" s="130">
        <f t="shared" si="38"/>
        <v>52442.512834266934</v>
      </c>
      <c r="P510" s="132">
        <f t="shared" si="36"/>
        <v>33722.958137282854</v>
      </c>
      <c r="Q510" s="261">
        <v>0.84187624349683565</v>
      </c>
      <c r="R510" s="92"/>
    </row>
    <row r="511" spans="1:18" x14ac:dyDescent="0.25">
      <c r="A511" s="353">
        <v>43006</v>
      </c>
      <c r="B511" s="353" t="s">
        <v>285</v>
      </c>
      <c r="C511" s="263" t="s">
        <v>455</v>
      </c>
      <c r="D511" s="157" t="s">
        <v>464</v>
      </c>
      <c r="E511" s="44">
        <f t="shared" si="35"/>
        <v>43006</v>
      </c>
      <c r="F511" s="146" t="str">
        <f t="shared" si="37"/>
        <v>2017-18</v>
      </c>
      <c r="G511" s="1"/>
      <c r="H511" s="161"/>
      <c r="I511" s="37"/>
      <c r="J511" s="135">
        <f t="shared" si="39"/>
        <v>0.76382508261777382</v>
      </c>
      <c r="K511" s="112"/>
      <c r="L511" s="37">
        <v>47.0713355241</v>
      </c>
      <c r="M511" s="37" t="s">
        <v>288</v>
      </c>
      <c r="N511" s="37">
        <v>3592.3639024390236</v>
      </c>
      <c r="O511" s="130">
        <f t="shared" si="38"/>
        <v>169097.36657637253</v>
      </c>
      <c r="P511" s="132">
        <f t="shared" si="36"/>
        <v>108737.41752614277</v>
      </c>
      <c r="Q511" s="261">
        <v>0.84187624349683565</v>
      </c>
      <c r="R511" s="92"/>
    </row>
    <row r="512" spans="1:18" x14ac:dyDescent="0.25">
      <c r="A512" s="353">
        <v>43006</v>
      </c>
      <c r="B512" s="353" t="s">
        <v>285</v>
      </c>
      <c r="C512" s="263" t="s">
        <v>455</v>
      </c>
      <c r="D512" s="157" t="s">
        <v>464</v>
      </c>
      <c r="E512" s="44">
        <f t="shared" si="35"/>
        <v>43006</v>
      </c>
      <c r="F512" s="146" t="str">
        <f t="shared" si="37"/>
        <v>2017-18</v>
      </c>
      <c r="G512" s="1"/>
      <c r="H512" s="161"/>
      <c r="I512" s="37"/>
      <c r="J512" s="135">
        <f t="shared" si="39"/>
        <v>0.76382508261777382</v>
      </c>
      <c r="K512" s="112"/>
      <c r="L512" s="37">
        <v>86.693206406300007</v>
      </c>
      <c r="M512" s="37" t="s">
        <v>288</v>
      </c>
      <c r="N512" s="37">
        <v>4137.5668292682922</v>
      </c>
      <c r="O512" s="130">
        <f t="shared" si="38"/>
        <v>358698.93514961633</v>
      </c>
      <c r="P512" s="132">
        <f t="shared" si="36"/>
        <v>230659.98405084893</v>
      </c>
      <c r="Q512" s="261">
        <v>0.84187624349683565</v>
      </c>
      <c r="R512" s="92"/>
    </row>
    <row r="513" spans="1:18" x14ac:dyDescent="0.25">
      <c r="A513" s="353">
        <v>43006</v>
      </c>
      <c r="B513" s="353" t="s">
        <v>285</v>
      </c>
      <c r="C513" s="263" t="s">
        <v>455</v>
      </c>
      <c r="D513" s="157" t="s">
        <v>464</v>
      </c>
      <c r="E513" s="44">
        <f t="shared" si="35"/>
        <v>43006</v>
      </c>
      <c r="F513" s="146" t="str">
        <f t="shared" si="37"/>
        <v>2017-18</v>
      </c>
      <c r="G513" s="1"/>
      <c r="H513" s="161"/>
      <c r="I513" s="37"/>
      <c r="J513" s="135">
        <f t="shared" si="39"/>
        <v>0.76382508261777382</v>
      </c>
      <c r="K513" s="112"/>
      <c r="L513" s="37">
        <v>67.335298143000003</v>
      </c>
      <c r="M513" s="37" t="s">
        <v>288</v>
      </c>
      <c r="N513" s="37">
        <v>1361.4565853658535</v>
      </c>
      <c r="O513" s="130">
        <f t="shared" si="38"/>
        <v>91674.085084360471</v>
      </c>
      <c r="P513" s="132">
        <f t="shared" si="36"/>
        <v>58950.671249176601</v>
      </c>
      <c r="Q513" s="261">
        <v>0.84187624349683565</v>
      </c>
      <c r="R513" s="92"/>
    </row>
    <row r="514" spans="1:18" x14ac:dyDescent="0.25">
      <c r="A514" s="353">
        <v>43006</v>
      </c>
      <c r="B514" s="353" t="s">
        <v>285</v>
      </c>
      <c r="C514" s="263" t="s">
        <v>455</v>
      </c>
      <c r="D514" s="157" t="s">
        <v>464</v>
      </c>
      <c r="E514" s="44">
        <f t="shared" si="35"/>
        <v>43006</v>
      </c>
      <c r="F514" s="146" t="str">
        <f t="shared" si="37"/>
        <v>2017-18</v>
      </c>
      <c r="G514" s="1"/>
      <c r="H514" s="161"/>
      <c r="I514" s="37"/>
      <c r="J514" s="135">
        <f t="shared" si="39"/>
        <v>0.76382508261777382</v>
      </c>
      <c r="K514" s="112"/>
      <c r="L514" s="37">
        <v>61.172842504499997</v>
      </c>
      <c r="M514" s="37" t="s">
        <v>288</v>
      </c>
      <c r="N514" s="37">
        <v>3592.3639024390236</v>
      </c>
      <c r="O514" s="130">
        <f t="shared" si="38"/>
        <v>219755.11122275339</v>
      </c>
      <c r="P514" s="132">
        <f t="shared" si="36"/>
        <v>141312.68727795398</v>
      </c>
      <c r="Q514" s="261">
        <v>0.84187624349683565</v>
      </c>
      <c r="R514" s="92"/>
    </row>
    <row r="515" spans="1:18" x14ac:dyDescent="0.25">
      <c r="A515" s="353">
        <v>43006</v>
      </c>
      <c r="B515" s="353" t="s">
        <v>285</v>
      </c>
      <c r="C515" s="263" t="s">
        <v>455</v>
      </c>
      <c r="D515" s="157" t="s">
        <v>464</v>
      </c>
      <c r="E515" s="44">
        <f t="shared" si="35"/>
        <v>43006</v>
      </c>
      <c r="F515" s="146" t="str">
        <f t="shared" si="37"/>
        <v>2017-18</v>
      </c>
      <c r="G515" s="1"/>
      <c r="H515" s="161"/>
      <c r="I515" s="37"/>
      <c r="J515" s="135">
        <f t="shared" si="39"/>
        <v>0.76382508261777382</v>
      </c>
      <c r="K515" s="112"/>
      <c r="L515" s="37">
        <v>65.060858309699995</v>
      </c>
      <c r="M515" s="37" t="s">
        <v>288</v>
      </c>
      <c r="N515" s="37">
        <v>1361.4565853658535</v>
      </c>
      <c r="O515" s="130">
        <f t="shared" si="38"/>
        <v>88577.533995295773</v>
      </c>
      <c r="P515" s="132">
        <f t="shared" si="36"/>
        <v>56959.445865364469</v>
      </c>
      <c r="Q515" s="261">
        <v>0.84187624349683565</v>
      </c>
      <c r="R515" s="92"/>
    </row>
    <row r="516" spans="1:18" x14ac:dyDescent="0.25">
      <c r="A516" s="353">
        <v>43006</v>
      </c>
      <c r="B516" s="353" t="s">
        <v>285</v>
      </c>
      <c r="C516" s="263" t="s">
        <v>455</v>
      </c>
      <c r="D516" s="157" t="s">
        <v>464</v>
      </c>
      <c r="E516" s="44">
        <f t="shared" si="35"/>
        <v>43006</v>
      </c>
      <c r="F516" s="146" t="str">
        <f t="shared" si="37"/>
        <v>2017-18</v>
      </c>
      <c r="G516" s="1"/>
      <c r="H516" s="161"/>
      <c r="I516" s="37"/>
      <c r="J516" s="135">
        <f t="shared" si="39"/>
        <v>0.76382508261777382</v>
      </c>
      <c r="K516" s="112"/>
      <c r="L516" s="37">
        <v>45.304567111499999</v>
      </c>
      <c r="M516" s="37" t="s">
        <v>288</v>
      </c>
      <c r="N516" s="37">
        <v>3592.3639024390236</v>
      </c>
      <c r="O516" s="130">
        <f t="shared" si="38"/>
        <v>162750.49150697878</v>
      </c>
      <c r="P516" s="132">
        <f t="shared" si="36"/>
        <v>104656.08368647454</v>
      </c>
      <c r="Q516" s="261">
        <v>0.84187624349683565</v>
      </c>
      <c r="R516" s="92"/>
    </row>
    <row r="517" spans="1:18" x14ac:dyDescent="0.25">
      <c r="A517" s="353">
        <v>43006</v>
      </c>
      <c r="B517" s="353" t="s">
        <v>285</v>
      </c>
      <c r="C517" s="263" t="s">
        <v>455</v>
      </c>
      <c r="D517" s="157" t="s">
        <v>464</v>
      </c>
      <c r="E517" s="44">
        <f t="shared" si="35"/>
        <v>43006</v>
      </c>
      <c r="F517" s="146" t="str">
        <f t="shared" si="37"/>
        <v>2017-18</v>
      </c>
      <c r="G517" s="1"/>
      <c r="H517" s="161"/>
      <c r="I517" s="37"/>
      <c r="J517" s="135">
        <f t="shared" si="39"/>
        <v>0.76382508261777382</v>
      </c>
      <c r="K517" s="112"/>
      <c r="L517" s="37">
        <v>94.782713191799999</v>
      </c>
      <c r="M517" s="37" t="s">
        <v>288</v>
      </c>
      <c r="N517" s="37">
        <v>4137.5668292682922</v>
      </c>
      <c r="O517" s="130">
        <f t="shared" si="38"/>
        <v>392169.81009044184</v>
      </c>
      <c r="P517" s="132">
        <f t="shared" si="36"/>
        <v>252183.30269911457</v>
      </c>
      <c r="Q517" s="261">
        <v>0.84187624349683565</v>
      </c>
      <c r="R517" s="92"/>
    </row>
    <row r="518" spans="1:18" x14ac:dyDescent="0.25">
      <c r="A518" s="353">
        <v>43006</v>
      </c>
      <c r="B518" s="353" t="s">
        <v>285</v>
      </c>
      <c r="C518" s="263" t="s">
        <v>455</v>
      </c>
      <c r="D518" s="157" t="s">
        <v>464</v>
      </c>
      <c r="E518" s="44">
        <f t="shared" si="35"/>
        <v>43006</v>
      </c>
      <c r="F518" s="146" t="str">
        <f t="shared" si="37"/>
        <v>2017-18</v>
      </c>
      <c r="G518" s="1"/>
      <c r="H518" s="161"/>
      <c r="I518" s="37"/>
      <c r="J518" s="135">
        <f t="shared" si="39"/>
        <v>0.76382508261777382</v>
      </c>
      <c r="K518" s="112"/>
      <c r="L518" s="37">
        <v>98.3226527968</v>
      </c>
      <c r="M518" s="37" t="s">
        <v>288</v>
      </c>
      <c r="N518" s="37">
        <v>1162.6195121951216</v>
      </c>
      <c r="O518" s="130">
        <f t="shared" si="38"/>
        <v>114311.83463234593</v>
      </c>
      <c r="P518" s="132">
        <f t="shared" si="36"/>
        <v>73507.789874319598</v>
      </c>
      <c r="Q518" s="261">
        <v>0.84187624349683565</v>
      </c>
      <c r="R518" s="92"/>
    </row>
    <row r="519" spans="1:18" x14ac:dyDescent="0.25">
      <c r="A519" s="353">
        <v>43006</v>
      </c>
      <c r="B519" s="353" t="s">
        <v>285</v>
      </c>
      <c r="C519" s="263" t="s">
        <v>455</v>
      </c>
      <c r="D519" s="157" t="s">
        <v>464</v>
      </c>
      <c r="E519" s="44">
        <f t="shared" si="35"/>
        <v>43006</v>
      </c>
      <c r="F519" s="146" t="str">
        <f t="shared" si="37"/>
        <v>2017-18</v>
      </c>
      <c r="G519" s="1"/>
      <c r="H519" s="161"/>
      <c r="I519" s="37"/>
      <c r="J519" s="135">
        <f t="shared" si="39"/>
        <v>0.76382508261777382</v>
      </c>
      <c r="K519" s="112"/>
      <c r="L519" s="37">
        <v>39.592612240199998</v>
      </c>
      <c r="M519" s="37" t="s">
        <v>288</v>
      </c>
      <c r="N519" s="37">
        <v>1162.6195121951216</v>
      </c>
      <c r="O519" s="130">
        <f t="shared" si="38"/>
        <v>46031.143529231922</v>
      </c>
      <c r="P519" s="132">
        <f t="shared" si="36"/>
        <v>29600.151525028385</v>
      </c>
      <c r="Q519" s="261">
        <v>0.84187624349683565</v>
      </c>
      <c r="R519" s="92"/>
    </row>
    <row r="520" spans="1:18" x14ac:dyDescent="0.25">
      <c r="A520" s="353">
        <v>43006</v>
      </c>
      <c r="B520" s="353" t="s">
        <v>285</v>
      </c>
      <c r="C520" s="263" t="s">
        <v>455</v>
      </c>
      <c r="D520" s="157" t="s">
        <v>464</v>
      </c>
      <c r="E520" s="44">
        <f t="shared" si="35"/>
        <v>43006</v>
      </c>
      <c r="F520" s="146" t="str">
        <f t="shared" si="37"/>
        <v>2017-18</v>
      </c>
      <c r="G520" s="1"/>
      <c r="H520" s="161"/>
      <c r="I520" s="37"/>
      <c r="J520" s="135">
        <f t="shared" si="39"/>
        <v>0.76382508261777382</v>
      </c>
      <c r="K520" s="112"/>
      <c r="L520" s="37">
        <v>99.429930393199996</v>
      </c>
      <c r="M520" s="37" t="s">
        <v>288</v>
      </c>
      <c r="N520" s="37">
        <v>1162.6195121951216</v>
      </c>
      <c r="O520" s="130">
        <f t="shared" si="38"/>
        <v>115599.17717133707</v>
      </c>
      <c r="P520" s="132">
        <f t="shared" si="36"/>
        <v>74335.610590842829</v>
      </c>
      <c r="Q520" s="261">
        <v>0.84187624349683565</v>
      </c>
      <c r="R520" s="92"/>
    </row>
    <row r="521" spans="1:18" x14ac:dyDescent="0.25">
      <c r="A521" s="353">
        <v>43006</v>
      </c>
      <c r="B521" s="353" t="s">
        <v>285</v>
      </c>
      <c r="C521" s="263" t="s">
        <v>455</v>
      </c>
      <c r="D521" s="157" t="s">
        <v>464</v>
      </c>
      <c r="E521" s="44">
        <f t="shared" si="35"/>
        <v>43006</v>
      </c>
      <c r="F521" s="146" t="str">
        <f t="shared" si="37"/>
        <v>2017-18</v>
      </c>
      <c r="G521" s="1"/>
      <c r="H521" s="161"/>
      <c r="I521" s="37"/>
      <c r="J521" s="135">
        <f t="shared" si="39"/>
        <v>0.76382508261777382</v>
      </c>
      <c r="K521" s="112"/>
      <c r="L521" s="37">
        <v>62.119058074000002</v>
      </c>
      <c r="M521" s="37" t="s">
        <v>288</v>
      </c>
      <c r="N521" s="37">
        <v>1162.6195121951216</v>
      </c>
      <c r="O521" s="130">
        <f t="shared" si="38"/>
        <v>72220.828996014316</v>
      </c>
      <c r="P521" s="132">
        <f t="shared" si="36"/>
        <v>46441.329014292634</v>
      </c>
      <c r="Q521" s="261">
        <v>0.84187624349683565</v>
      </c>
      <c r="R521" s="92"/>
    </row>
    <row r="522" spans="1:18" x14ac:dyDescent="0.25">
      <c r="A522" s="353">
        <v>43006</v>
      </c>
      <c r="B522" s="353" t="s">
        <v>285</v>
      </c>
      <c r="C522" s="263" t="s">
        <v>455</v>
      </c>
      <c r="D522" s="157" t="s">
        <v>464</v>
      </c>
      <c r="E522" s="44">
        <f t="shared" si="35"/>
        <v>43006</v>
      </c>
      <c r="F522" s="146" t="str">
        <f t="shared" si="37"/>
        <v>2017-18</v>
      </c>
      <c r="G522" s="1"/>
      <c r="H522" s="161"/>
      <c r="I522" s="37"/>
      <c r="J522" s="135">
        <f t="shared" si="39"/>
        <v>0.76382508261777382</v>
      </c>
      <c r="K522" s="112"/>
      <c r="L522" s="37">
        <v>42.224698984600003</v>
      </c>
      <c r="M522" s="37" t="s">
        <v>288</v>
      </c>
      <c r="N522" s="37">
        <v>3592.3639024390236</v>
      </c>
      <c r="O522" s="130">
        <f t="shared" si="38"/>
        <v>151686.48442363075</v>
      </c>
      <c r="P522" s="132">
        <f t="shared" si="36"/>
        <v>97541.416071642991</v>
      </c>
      <c r="Q522" s="261">
        <v>0.84187624349683565</v>
      </c>
      <c r="R522" s="92"/>
    </row>
    <row r="523" spans="1:18" x14ac:dyDescent="0.25">
      <c r="A523" s="353">
        <v>43006</v>
      </c>
      <c r="B523" s="353" t="s">
        <v>285</v>
      </c>
      <c r="C523" s="263" t="s">
        <v>455</v>
      </c>
      <c r="D523" s="157" t="s">
        <v>464</v>
      </c>
      <c r="E523" s="44">
        <f t="shared" si="35"/>
        <v>43006</v>
      </c>
      <c r="F523" s="146" t="str">
        <f t="shared" si="37"/>
        <v>2017-18</v>
      </c>
      <c r="G523" s="1"/>
      <c r="H523" s="161"/>
      <c r="I523" s="37"/>
      <c r="J523" s="135">
        <f t="shared" si="39"/>
        <v>0.76382508261777382</v>
      </c>
      <c r="K523" s="112"/>
      <c r="L523" s="37">
        <v>64.844307421699995</v>
      </c>
      <c r="M523" s="37" t="s">
        <v>288</v>
      </c>
      <c r="N523" s="37">
        <v>1162.6195121951216</v>
      </c>
      <c r="O523" s="130">
        <f t="shared" si="38"/>
        <v>75389.257063247351</v>
      </c>
      <c r="P523" s="132">
        <f t="shared" si="36"/>
        <v>48478.774615153983</v>
      </c>
      <c r="Q523" s="261">
        <v>0.84187624349683565</v>
      </c>
      <c r="R523" s="92"/>
    </row>
    <row r="524" spans="1:18" x14ac:dyDescent="0.25">
      <c r="A524" s="353">
        <v>43006</v>
      </c>
      <c r="B524" s="353" t="s">
        <v>285</v>
      </c>
      <c r="C524" s="263" t="s">
        <v>455</v>
      </c>
      <c r="D524" s="157" t="s">
        <v>464</v>
      </c>
      <c r="E524" s="44">
        <f t="shared" si="35"/>
        <v>43006</v>
      </c>
      <c r="F524" s="146" t="str">
        <f t="shared" si="37"/>
        <v>2017-18</v>
      </c>
      <c r="G524" s="1"/>
      <c r="H524" s="161"/>
      <c r="I524" s="37"/>
      <c r="J524" s="135">
        <f t="shared" si="39"/>
        <v>0.76382508261777382</v>
      </c>
      <c r="K524" s="112"/>
      <c r="L524" s="37">
        <v>101.261765948</v>
      </c>
      <c r="M524" s="37" t="s">
        <v>288</v>
      </c>
      <c r="N524" s="37">
        <v>950.87219512195099</v>
      </c>
      <c r="O524" s="130">
        <f t="shared" si="38"/>
        <v>96286.997668899989</v>
      </c>
      <c r="P524" s="132">
        <f t="shared" si="36"/>
        <v>61916.987117201235</v>
      </c>
      <c r="Q524" s="261">
        <v>0.84187624349683565</v>
      </c>
      <c r="R524" s="92"/>
    </row>
    <row r="525" spans="1:18" x14ac:dyDescent="0.25">
      <c r="A525" s="353">
        <v>43006</v>
      </c>
      <c r="B525" s="353" t="s">
        <v>285</v>
      </c>
      <c r="C525" s="263" t="s">
        <v>455</v>
      </c>
      <c r="D525" s="157" t="s">
        <v>464</v>
      </c>
      <c r="E525" s="44">
        <f t="shared" si="35"/>
        <v>43006</v>
      </c>
      <c r="F525" s="146" t="str">
        <f t="shared" si="37"/>
        <v>2017-18</v>
      </c>
      <c r="G525" s="1"/>
      <c r="H525" s="161"/>
      <c r="I525" s="37"/>
      <c r="J525" s="135">
        <f t="shared" si="39"/>
        <v>0.76382508261777382</v>
      </c>
      <c r="K525" s="112"/>
      <c r="L525" s="37">
        <v>100.505052142</v>
      </c>
      <c r="M525" s="37" t="s">
        <v>288</v>
      </c>
      <c r="N525" s="37">
        <v>3592.3639024390236</v>
      </c>
      <c r="O525" s="130">
        <f t="shared" si="38"/>
        <v>361050.72132767265</v>
      </c>
      <c r="P525" s="132">
        <f t="shared" si="36"/>
        <v>232172.29119526575</v>
      </c>
      <c r="Q525" s="261">
        <v>0.84187624349683565</v>
      </c>
      <c r="R525" s="92"/>
    </row>
    <row r="526" spans="1:18" x14ac:dyDescent="0.25">
      <c r="A526" s="353">
        <v>43006</v>
      </c>
      <c r="B526" s="353" t="s">
        <v>285</v>
      </c>
      <c r="C526" s="263" t="s">
        <v>455</v>
      </c>
      <c r="D526" s="157" t="s">
        <v>464</v>
      </c>
      <c r="E526" s="44">
        <f t="shared" si="35"/>
        <v>43006</v>
      </c>
      <c r="F526" s="146" t="str">
        <f t="shared" si="37"/>
        <v>2017-18</v>
      </c>
      <c r="G526" s="1"/>
      <c r="H526" s="161"/>
      <c r="I526" s="37"/>
      <c r="J526" s="135">
        <f t="shared" si="39"/>
        <v>0.76382508261777382</v>
      </c>
      <c r="K526" s="112"/>
      <c r="L526" s="37">
        <v>78.175774099099996</v>
      </c>
      <c r="M526" s="37" t="s">
        <v>288</v>
      </c>
      <c r="N526" s="37">
        <v>950.87219512195099</v>
      </c>
      <c r="O526" s="130">
        <f t="shared" si="38"/>
        <v>74335.169922968969</v>
      </c>
      <c r="P526" s="132">
        <f t="shared" si="36"/>
        <v>47800.94789435983</v>
      </c>
      <c r="Q526" s="261">
        <v>0.84187624349683565</v>
      </c>
      <c r="R526" s="92"/>
    </row>
    <row r="527" spans="1:18" x14ac:dyDescent="0.25">
      <c r="A527" s="353">
        <v>43006</v>
      </c>
      <c r="B527" s="353" t="s">
        <v>285</v>
      </c>
      <c r="C527" s="263" t="s">
        <v>455</v>
      </c>
      <c r="D527" s="157" t="s">
        <v>464</v>
      </c>
      <c r="E527" s="44">
        <f t="shared" si="35"/>
        <v>43006</v>
      </c>
      <c r="F527" s="146" t="str">
        <f t="shared" si="37"/>
        <v>2017-18</v>
      </c>
      <c r="G527" s="1"/>
      <c r="H527" s="161"/>
      <c r="I527" s="37"/>
      <c r="J527" s="135">
        <f t="shared" si="39"/>
        <v>0.76382508261777382</v>
      </c>
      <c r="K527" s="112"/>
      <c r="L527" s="37">
        <v>94.601183380500004</v>
      </c>
      <c r="M527" s="37" t="s">
        <v>288</v>
      </c>
      <c r="N527" s="37">
        <v>1162.6195121951216</v>
      </c>
      <c r="O527" s="130">
        <f t="shared" si="38"/>
        <v>109985.18167491816</v>
      </c>
      <c r="P527" s="132">
        <f t="shared" si="36"/>
        <v>70725.552169215793</v>
      </c>
      <c r="Q527" s="261">
        <v>0.84187624349683565</v>
      </c>
      <c r="R527" s="92"/>
    </row>
    <row r="528" spans="1:18" x14ac:dyDescent="0.25">
      <c r="A528" s="353">
        <v>43006</v>
      </c>
      <c r="B528" s="353" t="s">
        <v>285</v>
      </c>
      <c r="C528" s="263" t="s">
        <v>455</v>
      </c>
      <c r="D528" s="157" t="s">
        <v>464</v>
      </c>
      <c r="E528" s="44">
        <f t="shared" si="35"/>
        <v>43006</v>
      </c>
      <c r="F528" s="146" t="str">
        <f t="shared" si="37"/>
        <v>2017-18</v>
      </c>
      <c r="G528" s="1"/>
      <c r="H528" s="161"/>
      <c r="I528" s="37"/>
      <c r="J528" s="135">
        <f t="shared" si="39"/>
        <v>0.76382508261777382</v>
      </c>
      <c r="K528" s="112"/>
      <c r="L528" s="37">
        <v>27.575633835400001</v>
      </c>
      <c r="M528" s="37" t="s">
        <v>288</v>
      </c>
      <c r="N528" s="37">
        <v>3592.3639024390236</v>
      </c>
      <c r="O528" s="130">
        <f t="shared" si="38"/>
        <v>99061.711577167123</v>
      </c>
      <c r="P528" s="132">
        <f t="shared" si="36"/>
        <v>63701.256327701158</v>
      </c>
      <c r="Q528" s="261">
        <v>0.84187624349683565</v>
      </c>
      <c r="R528" s="92"/>
    </row>
    <row r="529" spans="1:18" x14ac:dyDescent="0.25">
      <c r="A529" s="353">
        <v>38979</v>
      </c>
      <c r="B529" s="353" t="s">
        <v>285</v>
      </c>
      <c r="C529" s="263" t="s">
        <v>456</v>
      </c>
      <c r="D529" s="157" t="s">
        <v>465</v>
      </c>
      <c r="E529" s="44">
        <f t="shared" si="35"/>
        <v>38979</v>
      </c>
      <c r="F529" s="146" t="str">
        <f t="shared" si="37"/>
        <v>2006-07</v>
      </c>
      <c r="G529" s="1"/>
      <c r="H529" s="161"/>
      <c r="I529" s="37"/>
      <c r="J529" s="135">
        <f t="shared" si="39"/>
        <v>0.76382508261777382</v>
      </c>
      <c r="K529" s="112"/>
      <c r="L529" s="37">
        <v>15.492166084799999</v>
      </c>
      <c r="M529" s="37" t="s">
        <v>288</v>
      </c>
      <c r="N529" s="37">
        <v>3336.4019512195118</v>
      </c>
      <c r="O529" s="130">
        <f t="shared" si="38"/>
        <v>51688.09315394346</v>
      </c>
      <c r="P529" s="132">
        <f t="shared" si="36"/>
        <v>39480.662023666053</v>
      </c>
      <c r="Q529" s="261">
        <v>1</v>
      </c>
      <c r="R529" s="92"/>
    </row>
    <row r="530" spans="1:18" x14ac:dyDescent="0.25">
      <c r="C530" s="263"/>
      <c r="D530" s="157"/>
      <c r="E530" s="44"/>
      <c r="F530" s="146"/>
      <c r="G530" s="1"/>
      <c r="H530" s="161"/>
      <c r="I530" s="37"/>
      <c r="J530" s="135"/>
      <c r="K530" s="112"/>
      <c r="L530" s="37"/>
      <c r="M530" s="37"/>
      <c r="N530" s="37"/>
      <c r="O530" s="130"/>
      <c r="P530" s="132"/>
      <c r="Q530" s="261"/>
      <c r="R530" s="92"/>
    </row>
    <row r="531" spans="1:18" x14ac:dyDescent="0.25">
      <c r="A531" s="353">
        <v>42352</v>
      </c>
      <c r="B531" s="353" t="s">
        <v>287</v>
      </c>
      <c r="C531" s="263" t="s">
        <v>440</v>
      </c>
      <c r="D531" s="157" t="s">
        <v>465</v>
      </c>
      <c r="E531" s="44">
        <f t="shared" si="35"/>
        <v>42352</v>
      </c>
      <c r="F531" s="146" t="str">
        <f t="shared" si="37"/>
        <v>2015-16</v>
      </c>
      <c r="G531" s="1"/>
      <c r="H531" s="161"/>
      <c r="I531" s="37"/>
      <c r="J531" s="135">
        <f>J529</f>
        <v>0.76382508261777382</v>
      </c>
      <c r="K531" s="112"/>
      <c r="L531" s="37">
        <v>1086.75648376</v>
      </c>
      <c r="M531" s="37" t="s">
        <v>288</v>
      </c>
      <c r="N531" s="37">
        <v>3592.3639024390236</v>
      </c>
      <c r="O531" s="130">
        <f t="shared" si="38"/>
        <v>3904024.7630009851</v>
      </c>
      <c r="P531" s="132">
        <f t="shared" si="36"/>
        <v>2981992.0371410623</v>
      </c>
      <c r="Q531" s="261">
        <v>1</v>
      </c>
      <c r="R531" s="92"/>
    </row>
    <row r="532" spans="1:18" x14ac:dyDescent="0.25">
      <c r="A532" s="353">
        <v>42352</v>
      </c>
      <c r="B532" s="353" t="s">
        <v>287</v>
      </c>
      <c r="C532" s="263" t="s">
        <v>440</v>
      </c>
      <c r="D532" s="157" t="s">
        <v>465</v>
      </c>
      <c r="E532" s="44">
        <f t="shared" si="35"/>
        <v>42352</v>
      </c>
      <c r="F532" s="146" t="str">
        <f t="shared" si="37"/>
        <v>2015-16</v>
      </c>
      <c r="G532" s="1"/>
      <c r="H532" s="161"/>
      <c r="I532" s="37"/>
      <c r="J532" s="135">
        <f t="shared" si="39"/>
        <v>0.76382508261777382</v>
      </c>
      <c r="K532" s="112"/>
      <c r="L532" s="37">
        <v>11.542234690100001</v>
      </c>
      <c r="M532" s="37" t="s">
        <v>288</v>
      </c>
      <c r="N532" s="37">
        <v>404.93951219512189</v>
      </c>
      <c r="O532" s="130">
        <f t="shared" si="38"/>
        <v>4673.9068850507083</v>
      </c>
      <c r="P532" s="132">
        <f t="shared" si="36"/>
        <v>3570.0473126216393</v>
      </c>
      <c r="Q532" s="261">
        <v>1</v>
      </c>
      <c r="R532" s="92"/>
    </row>
    <row r="533" spans="1:18" x14ac:dyDescent="0.25">
      <c r="A533" s="353">
        <v>42352</v>
      </c>
      <c r="B533" s="353" t="s">
        <v>287</v>
      </c>
      <c r="C533" s="263" t="s">
        <v>440</v>
      </c>
      <c r="D533" s="157" t="s">
        <v>465</v>
      </c>
      <c r="E533" s="44">
        <f t="shared" si="35"/>
        <v>42352</v>
      </c>
      <c r="F533" s="146" t="str">
        <f t="shared" ref="F533:F570" si="40">IF(E533="","-",IF(OR(E533&lt;$E$15,E533&gt;$E$16),"ERROR - date outside of range",IF(MONTH(E533)&gt;=7,YEAR(E533)&amp;"-"&amp;IF(YEAR(E533)=1999,"00",IF(AND(YEAR(E533)&gt;=2000,YEAR(E533)&lt;2009),"0","")&amp;RIGHT(YEAR(E533),2)+1),RIGHT(YEAR(E533),4)-1&amp;"-"&amp;RIGHT(YEAR(E533),2))))</f>
        <v>2015-16</v>
      </c>
      <c r="G533" s="1"/>
      <c r="H533" s="161"/>
      <c r="I533" s="37"/>
      <c r="J533" s="135">
        <f t="shared" si="39"/>
        <v>0.76382508261777382</v>
      </c>
      <c r="K533" s="112"/>
      <c r="L533" s="37">
        <v>4.8832130175700001</v>
      </c>
      <c r="M533" s="37" t="s">
        <v>288</v>
      </c>
      <c r="N533" s="37">
        <v>644.31024390243897</v>
      </c>
      <c r="O533" s="130">
        <f t="shared" ref="O533:O572" si="41">IF(N533="","-",L533*N533)</f>
        <v>3146.3041703780918</v>
      </c>
      <c r="P533" s="132">
        <f t="shared" si="36"/>
        <v>2403.2260428796922</v>
      </c>
      <c r="Q533" s="261">
        <v>1</v>
      </c>
      <c r="R533" s="92"/>
    </row>
    <row r="534" spans="1:18" x14ac:dyDescent="0.25">
      <c r="A534" s="353">
        <v>42352</v>
      </c>
      <c r="B534" s="353" t="s">
        <v>287</v>
      </c>
      <c r="C534" s="263" t="s">
        <v>440</v>
      </c>
      <c r="D534" s="157" t="s">
        <v>465</v>
      </c>
      <c r="E534" s="44">
        <f t="shared" si="35"/>
        <v>42352</v>
      </c>
      <c r="F534" s="146" t="str">
        <f t="shared" si="40"/>
        <v>2015-16</v>
      </c>
      <c r="G534" s="1"/>
      <c r="H534" s="161"/>
      <c r="I534" s="37"/>
      <c r="J534" s="135">
        <f t="shared" si="39"/>
        <v>0.76382508261777382</v>
      </c>
      <c r="K534" s="112"/>
      <c r="L534" s="37">
        <v>19.823081707099998</v>
      </c>
      <c r="M534" s="37" t="s">
        <v>288</v>
      </c>
      <c r="N534" s="37">
        <v>644.31024390243897</v>
      </c>
      <c r="O534" s="130">
        <f t="shared" si="41"/>
        <v>12772.214609599576</v>
      </c>
      <c r="P534" s="132">
        <f t="shared" si="36"/>
        <v>9755.7378793893331</v>
      </c>
      <c r="Q534" s="261">
        <v>1</v>
      </c>
      <c r="R534" s="92"/>
    </row>
    <row r="535" spans="1:18" x14ac:dyDescent="0.25">
      <c r="A535" s="353">
        <v>42352</v>
      </c>
      <c r="B535" s="353" t="s">
        <v>287</v>
      </c>
      <c r="C535" s="263" t="s">
        <v>440</v>
      </c>
      <c r="D535" s="157" t="s">
        <v>465</v>
      </c>
      <c r="E535" s="44">
        <f t="shared" ref="E535:E572" si="42">IF(VALUE(A535)&lt;2022,DATEVALUE("30 Jun "&amp;A535),A535)</f>
        <v>42352</v>
      </c>
      <c r="F535" s="146" t="str">
        <f t="shared" si="40"/>
        <v>2015-16</v>
      </c>
      <c r="G535" s="1"/>
      <c r="H535" s="161"/>
      <c r="I535" s="37"/>
      <c r="J535" s="135">
        <f t="shared" si="39"/>
        <v>0.76382508261777382</v>
      </c>
      <c r="K535" s="112"/>
      <c r="L535" s="37">
        <v>4.78425559091</v>
      </c>
      <c r="M535" s="37" t="s">
        <v>288</v>
      </c>
      <c r="N535" s="37">
        <v>644.31024390243897</v>
      </c>
      <c r="O535" s="130">
        <f t="shared" si="41"/>
        <v>3082.5448866708293</v>
      </c>
      <c r="P535" s="132">
        <f t="shared" ref="P535:P572" si="43">IF(O535="-","-",IF(OR(E535&lt;$E$15,E535&gt;$E$16),0,O535*J535))*Q535</f>
        <v>2354.5251027343425</v>
      </c>
      <c r="Q535" s="261">
        <v>1</v>
      </c>
      <c r="R535" s="92"/>
    </row>
    <row r="536" spans="1:18" x14ac:dyDescent="0.25">
      <c r="A536" s="353">
        <v>42352</v>
      </c>
      <c r="B536" s="353" t="s">
        <v>287</v>
      </c>
      <c r="C536" s="263" t="s">
        <v>440</v>
      </c>
      <c r="D536" s="157" t="s">
        <v>465</v>
      </c>
      <c r="E536" s="44">
        <f t="shared" si="42"/>
        <v>42352</v>
      </c>
      <c r="F536" s="146" t="str">
        <f t="shared" si="40"/>
        <v>2015-16</v>
      </c>
      <c r="G536" s="1"/>
      <c r="H536" s="161"/>
      <c r="I536" s="37"/>
      <c r="J536" s="135">
        <f t="shared" si="39"/>
        <v>0.76382508261777382</v>
      </c>
      <c r="K536" s="112"/>
      <c r="L536" s="37">
        <v>1.0815770892500001</v>
      </c>
      <c r="M536" s="37" t="s">
        <v>288</v>
      </c>
      <c r="N536" s="37">
        <v>644.31024390243897</v>
      </c>
      <c r="O536" s="130">
        <f t="shared" si="41"/>
        <v>696.87119817395751</v>
      </c>
      <c r="P536" s="132">
        <f t="shared" si="43"/>
        <v>532.28770051917013</v>
      </c>
      <c r="Q536" s="261">
        <v>1</v>
      </c>
      <c r="R536" s="92"/>
    </row>
    <row r="537" spans="1:18" x14ac:dyDescent="0.25">
      <c r="A537" s="353">
        <v>42352</v>
      </c>
      <c r="B537" s="353" t="s">
        <v>287</v>
      </c>
      <c r="C537" s="263" t="s">
        <v>440</v>
      </c>
      <c r="D537" s="157" t="s">
        <v>465</v>
      </c>
      <c r="E537" s="44">
        <f t="shared" si="42"/>
        <v>42352</v>
      </c>
      <c r="F537" s="146" t="str">
        <f t="shared" si="40"/>
        <v>2015-16</v>
      </c>
      <c r="G537" s="1"/>
      <c r="H537" s="161"/>
      <c r="I537" s="37"/>
      <c r="J537" s="135">
        <f t="shared" ref="J537:J600" si="44">J536</f>
        <v>0.76382508261777382</v>
      </c>
      <c r="K537" s="112"/>
      <c r="L537" s="37">
        <v>1.45506047984</v>
      </c>
      <c r="M537" s="37" t="s">
        <v>288</v>
      </c>
      <c r="N537" s="37">
        <v>644.31024390243897</v>
      </c>
      <c r="O537" s="130">
        <f t="shared" si="41"/>
        <v>937.51037265851028</v>
      </c>
      <c r="P537" s="132">
        <f t="shared" si="43"/>
        <v>716.09393785090651</v>
      </c>
      <c r="Q537" s="261">
        <v>1</v>
      </c>
      <c r="R537" s="92"/>
    </row>
    <row r="538" spans="1:18" x14ac:dyDescent="0.25">
      <c r="A538" s="353">
        <v>42352</v>
      </c>
      <c r="B538" s="353" t="s">
        <v>287</v>
      </c>
      <c r="C538" s="263" t="s">
        <v>440</v>
      </c>
      <c r="D538" s="157" t="s">
        <v>465</v>
      </c>
      <c r="E538" s="44">
        <f t="shared" si="42"/>
        <v>42352</v>
      </c>
      <c r="F538" s="146" t="str">
        <f t="shared" si="40"/>
        <v>2015-16</v>
      </c>
      <c r="G538" s="1"/>
      <c r="H538" s="161"/>
      <c r="I538" s="37"/>
      <c r="J538" s="135">
        <f t="shared" si="44"/>
        <v>0.76382508261777382</v>
      </c>
      <c r="K538" s="112"/>
      <c r="L538" s="37">
        <v>1.45404023328</v>
      </c>
      <c r="M538" s="37" t="s">
        <v>288</v>
      </c>
      <c r="N538" s="37">
        <v>644.31024390243897</v>
      </c>
      <c r="O538" s="130">
        <f t="shared" si="41"/>
        <v>936.85301734859604</v>
      </c>
      <c r="P538" s="132">
        <f t="shared" si="43"/>
        <v>715.5918333770021</v>
      </c>
      <c r="Q538" s="261">
        <v>1</v>
      </c>
      <c r="R538" s="92"/>
    </row>
    <row r="539" spans="1:18" x14ac:dyDescent="0.25">
      <c r="A539" s="353">
        <v>42352</v>
      </c>
      <c r="B539" s="353" t="s">
        <v>287</v>
      </c>
      <c r="C539" s="263" t="s">
        <v>440</v>
      </c>
      <c r="D539" s="157" t="s">
        <v>465</v>
      </c>
      <c r="E539" s="44">
        <f t="shared" si="42"/>
        <v>42352</v>
      </c>
      <c r="F539" s="146" t="str">
        <f t="shared" si="40"/>
        <v>2015-16</v>
      </c>
      <c r="G539" s="1"/>
      <c r="H539" s="161"/>
      <c r="I539" s="37"/>
      <c r="J539" s="135">
        <f t="shared" si="44"/>
        <v>0.76382508261777382</v>
      </c>
      <c r="K539" s="112"/>
      <c r="L539" s="37">
        <v>1.5606489035</v>
      </c>
      <c r="M539" s="37" t="s">
        <v>288</v>
      </c>
      <c r="N539" s="37">
        <v>404.93951219512189</v>
      </c>
      <c r="O539" s="130">
        <f t="shared" si="41"/>
        <v>631.96840569114181</v>
      </c>
      <c r="P539" s="132">
        <f t="shared" si="43"/>
        <v>482.7133196888592</v>
      </c>
      <c r="Q539" s="261">
        <v>1</v>
      </c>
      <c r="R539" s="92"/>
    </row>
    <row r="540" spans="1:18" x14ac:dyDescent="0.25">
      <c r="A540" s="353">
        <v>43306</v>
      </c>
      <c r="B540" s="353" t="s">
        <v>287</v>
      </c>
      <c r="C540" s="263" t="s">
        <v>448</v>
      </c>
      <c r="D540" s="157" t="s">
        <v>464</v>
      </c>
      <c r="E540" s="44">
        <f t="shared" si="42"/>
        <v>43306</v>
      </c>
      <c r="F540" s="146" t="str">
        <f t="shared" si="40"/>
        <v>2018-19</v>
      </c>
      <c r="G540" s="1"/>
      <c r="H540" s="161"/>
      <c r="I540" s="37"/>
      <c r="J540" s="135">
        <f t="shared" si="44"/>
        <v>0.76382508261777382</v>
      </c>
      <c r="K540" s="112"/>
      <c r="L540" s="37">
        <v>440.636975248</v>
      </c>
      <c r="M540" s="37" t="s">
        <v>288</v>
      </c>
      <c r="N540" s="37">
        <v>644.31024390243897</v>
      </c>
      <c r="O540" s="130">
        <f t="shared" si="41"/>
        <v>283906.91699447186</v>
      </c>
      <c r="P540" s="132">
        <f t="shared" si="43"/>
        <v>216855.22432905991</v>
      </c>
      <c r="Q540" s="261">
        <v>1</v>
      </c>
      <c r="R540" s="92"/>
    </row>
    <row r="541" spans="1:18" x14ac:dyDescent="0.25">
      <c r="A541" s="353">
        <v>43501</v>
      </c>
      <c r="B541" s="353" t="s">
        <v>287</v>
      </c>
      <c r="C541" s="263" t="s">
        <v>441</v>
      </c>
      <c r="D541" s="157" t="s">
        <v>465</v>
      </c>
      <c r="E541" s="44">
        <f t="shared" si="42"/>
        <v>43501</v>
      </c>
      <c r="F541" s="146" t="str">
        <f t="shared" si="40"/>
        <v>2018-19</v>
      </c>
      <c r="G541" s="1"/>
      <c r="H541" s="161"/>
      <c r="I541" s="37"/>
      <c r="J541" s="135">
        <f t="shared" si="44"/>
        <v>0.76382508261777382</v>
      </c>
      <c r="K541" s="112"/>
      <c r="L541" s="37">
        <v>0.99637994761000004</v>
      </c>
      <c r="M541" s="37" t="s">
        <v>288</v>
      </c>
      <c r="N541" s="37">
        <v>404.93951219512189</v>
      </c>
      <c r="O541" s="130">
        <f t="shared" si="41"/>
        <v>403.47360994619453</v>
      </c>
      <c r="P541" s="132">
        <f t="shared" si="43"/>
        <v>308.18326345124348</v>
      </c>
      <c r="Q541" s="261">
        <v>1</v>
      </c>
      <c r="R541" s="92"/>
    </row>
    <row r="542" spans="1:18" x14ac:dyDescent="0.25">
      <c r="A542" s="353">
        <v>43501</v>
      </c>
      <c r="B542" s="353" t="s">
        <v>287</v>
      </c>
      <c r="C542" s="263" t="s">
        <v>448</v>
      </c>
      <c r="D542" s="157" t="s">
        <v>464</v>
      </c>
      <c r="E542" s="44">
        <f t="shared" si="42"/>
        <v>43501</v>
      </c>
      <c r="F542" s="146" t="str">
        <f t="shared" si="40"/>
        <v>2018-19</v>
      </c>
      <c r="G542" s="1"/>
      <c r="H542" s="161"/>
      <c r="I542" s="37"/>
      <c r="J542" s="135">
        <f t="shared" si="44"/>
        <v>0.76382508261777382</v>
      </c>
      <c r="K542" s="112"/>
      <c r="L542" s="37">
        <v>1.0262928432</v>
      </c>
      <c r="M542" s="37" t="s">
        <v>288</v>
      </c>
      <c r="N542" s="37">
        <v>644.31024390243897</v>
      </c>
      <c r="O542" s="130">
        <f t="shared" si="41"/>
        <v>661.25099211751956</v>
      </c>
      <c r="P542" s="132">
        <f t="shared" si="43"/>
        <v>505.08009368524927</v>
      </c>
      <c r="Q542" s="261">
        <v>1</v>
      </c>
      <c r="R542" s="92"/>
    </row>
    <row r="543" spans="1:18" x14ac:dyDescent="0.25">
      <c r="A543" s="353">
        <v>43501</v>
      </c>
      <c r="B543" s="353" t="s">
        <v>287</v>
      </c>
      <c r="C543" s="263" t="s">
        <v>441</v>
      </c>
      <c r="D543" s="157" t="s">
        <v>465</v>
      </c>
      <c r="E543" s="44">
        <f t="shared" si="42"/>
        <v>43501</v>
      </c>
      <c r="F543" s="146" t="str">
        <f t="shared" si="40"/>
        <v>2018-19</v>
      </c>
      <c r="G543" s="1"/>
      <c r="H543" s="161"/>
      <c r="I543" s="37"/>
      <c r="J543" s="135">
        <f t="shared" si="44"/>
        <v>0.76382508261777382</v>
      </c>
      <c r="K543" s="112"/>
      <c r="L543" s="37">
        <v>2.08814032096</v>
      </c>
      <c r="M543" s="37" t="s">
        <v>288</v>
      </c>
      <c r="N543" s="37">
        <v>404.93951219512189</v>
      </c>
      <c r="O543" s="130">
        <f t="shared" si="41"/>
        <v>845.57052296450763</v>
      </c>
      <c r="P543" s="132">
        <f t="shared" si="43"/>
        <v>645.86797456251929</v>
      </c>
      <c r="Q543" s="261">
        <v>1</v>
      </c>
      <c r="R543" s="92"/>
    </row>
    <row r="544" spans="1:18" x14ac:dyDescent="0.25">
      <c r="A544" s="353">
        <v>43501</v>
      </c>
      <c r="B544" s="353" t="s">
        <v>287</v>
      </c>
      <c r="C544" s="263" t="s">
        <v>441</v>
      </c>
      <c r="D544" s="157" t="s">
        <v>465</v>
      </c>
      <c r="E544" s="44">
        <f t="shared" si="42"/>
        <v>43501</v>
      </c>
      <c r="F544" s="146" t="str">
        <f t="shared" si="40"/>
        <v>2018-19</v>
      </c>
      <c r="G544" s="1"/>
      <c r="H544" s="161"/>
      <c r="I544" s="37"/>
      <c r="J544" s="135">
        <f t="shared" si="44"/>
        <v>0.76382508261777382</v>
      </c>
      <c r="K544" s="112"/>
      <c r="L544" s="37">
        <v>3.6129767505500001</v>
      </c>
      <c r="M544" s="37" t="s">
        <v>288</v>
      </c>
      <c r="N544" s="37">
        <v>404.93951219512189</v>
      </c>
      <c r="O544" s="130">
        <f t="shared" si="41"/>
        <v>1463.0370429400336</v>
      </c>
      <c r="P544" s="132">
        <f t="shared" si="43"/>
        <v>1117.5043901965348</v>
      </c>
      <c r="Q544" s="261">
        <v>1</v>
      </c>
      <c r="R544" s="92"/>
    </row>
    <row r="545" spans="1:18" x14ac:dyDescent="0.25">
      <c r="A545" s="353">
        <v>43501</v>
      </c>
      <c r="B545" s="353" t="s">
        <v>287</v>
      </c>
      <c r="C545" s="263" t="s">
        <v>441</v>
      </c>
      <c r="D545" s="157" t="s">
        <v>465</v>
      </c>
      <c r="E545" s="44">
        <f t="shared" si="42"/>
        <v>43501</v>
      </c>
      <c r="F545" s="146" t="str">
        <f t="shared" si="40"/>
        <v>2018-19</v>
      </c>
      <c r="G545" s="1"/>
      <c r="H545" s="161"/>
      <c r="I545" s="37"/>
      <c r="J545" s="135">
        <f t="shared" si="44"/>
        <v>0.76382508261777382</v>
      </c>
      <c r="K545" s="112"/>
      <c r="L545" s="37">
        <v>0.93921669491100002</v>
      </c>
      <c r="M545" s="37" t="s">
        <v>288</v>
      </c>
      <c r="N545" s="37">
        <v>404.93951219512189</v>
      </c>
      <c r="O545" s="130">
        <f t="shared" si="41"/>
        <v>380.32595028277495</v>
      </c>
      <c r="P545" s="132">
        <f t="shared" si="43"/>
        <v>290.5025003964239</v>
      </c>
      <c r="Q545" s="261">
        <v>1</v>
      </c>
      <c r="R545" s="92"/>
    </row>
    <row r="546" spans="1:18" x14ac:dyDescent="0.25">
      <c r="A546" s="353">
        <v>43501</v>
      </c>
      <c r="B546" s="353" t="s">
        <v>287</v>
      </c>
      <c r="C546" s="263" t="s">
        <v>448</v>
      </c>
      <c r="D546" s="157" t="s">
        <v>464</v>
      </c>
      <c r="E546" s="44">
        <f t="shared" si="42"/>
        <v>43501</v>
      </c>
      <c r="F546" s="146" t="str">
        <f t="shared" si="40"/>
        <v>2018-19</v>
      </c>
      <c r="G546" s="1"/>
      <c r="H546" s="161"/>
      <c r="I546" s="37"/>
      <c r="J546" s="135">
        <f t="shared" si="44"/>
        <v>0.76382508261777382</v>
      </c>
      <c r="K546" s="112"/>
      <c r="L546" s="37">
        <v>3.29164965973</v>
      </c>
      <c r="M546" s="37" t="s">
        <v>288</v>
      </c>
      <c r="N546" s="37">
        <v>479.79317073170722</v>
      </c>
      <c r="O546" s="130">
        <f t="shared" si="41"/>
        <v>1579.3110271798018</v>
      </c>
      <c r="P546" s="132">
        <f t="shared" si="43"/>
        <v>1206.3173758147734</v>
      </c>
      <c r="Q546" s="261">
        <v>1</v>
      </c>
      <c r="R546" s="92"/>
    </row>
    <row r="547" spans="1:18" x14ac:dyDescent="0.25">
      <c r="A547" s="353">
        <v>43501</v>
      </c>
      <c r="B547" s="353" t="s">
        <v>287</v>
      </c>
      <c r="C547" s="263" t="s">
        <v>448</v>
      </c>
      <c r="D547" s="157" t="s">
        <v>464</v>
      </c>
      <c r="E547" s="44">
        <f t="shared" si="42"/>
        <v>43501</v>
      </c>
      <c r="F547" s="146" t="str">
        <f t="shared" si="40"/>
        <v>2018-19</v>
      </c>
      <c r="G547" s="1"/>
      <c r="H547" s="161"/>
      <c r="I547" s="37"/>
      <c r="J547" s="135">
        <f t="shared" si="44"/>
        <v>0.76382508261777382</v>
      </c>
      <c r="K547" s="112"/>
      <c r="L547" s="37">
        <v>2.8594553104</v>
      </c>
      <c r="M547" s="37" t="s">
        <v>288</v>
      </c>
      <c r="N547" s="37">
        <v>479.79317073170722</v>
      </c>
      <c r="O547" s="130">
        <f t="shared" si="41"/>
        <v>1371.947129942434</v>
      </c>
      <c r="P547" s="132">
        <f t="shared" si="43"/>
        <v>1047.9276298754974</v>
      </c>
      <c r="Q547" s="261">
        <v>1</v>
      </c>
      <c r="R547" s="92"/>
    </row>
    <row r="548" spans="1:18" x14ac:dyDescent="0.25">
      <c r="A548" s="353">
        <v>43501</v>
      </c>
      <c r="B548" s="353" t="s">
        <v>287</v>
      </c>
      <c r="C548" s="263" t="s">
        <v>441</v>
      </c>
      <c r="D548" s="157" t="s">
        <v>465</v>
      </c>
      <c r="E548" s="44">
        <f t="shared" si="42"/>
        <v>43501</v>
      </c>
      <c r="F548" s="146" t="str">
        <f t="shared" si="40"/>
        <v>2018-19</v>
      </c>
      <c r="G548" s="1"/>
      <c r="H548" s="161"/>
      <c r="I548" s="37"/>
      <c r="J548" s="135">
        <f t="shared" si="44"/>
        <v>0.76382508261777382</v>
      </c>
      <c r="K548" s="112"/>
      <c r="L548" s="37">
        <v>1.4942456290699999</v>
      </c>
      <c r="M548" s="37" t="s">
        <v>288</v>
      </c>
      <c r="N548" s="37">
        <v>404.93951219512189</v>
      </c>
      <c r="O548" s="130">
        <f t="shared" si="41"/>
        <v>605.07909613529887</v>
      </c>
      <c r="P548" s="132">
        <f t="shared" si="43"/>
        <v>462.17459059583257</v>
      </c>
      <c r="Q548" s="261">
        <v>1</v>
      </c>
      <c r="R548" s="92"/>
    </row>
    <row r="549" spans="1:18" x14ac:dyDescent="0.25">
      <c r="A549" s="353">
        <v>43306</v>
      </c>
      <c r="B549" s="353" t="s">
        <v>287</v>
      </c>
      <c r="C549" s="263" t="s">
        <v>448</v>
      </c>
      <c r="D549" s="157" t="s">
        <v>464</v>
      </c>
      <c r="E549" s="44">
        <f t="shared" si="42"/>
        <v>43306</v>
      </c>
      <c r="F549" s="146" t="str">
        <f t="shared" si="40"/>
        <v>2018-19</v>
      </c>
      <c r="G549" s="1"/>
      <c r="H549" s="161"/>
      <c r="I549" s="37"/>
      <c r="J549" s="135">
        <f t="shared" si="44"/>
        <v>0.76382508261777382</v>
      </c>
      <c r="K549" s="112"/>
      <c r="L549" s="37">
        <v>0.78853344887800003</v>
      </c>
      <c r="M549" s="37" t="s">
        <v>288</v>
      </c>
      <c r="N549" s="37">
        <v>479.79317073170722</v>
      </c>
      <c r="O549" s="130">
        <f t="shared" si="41"/>
        <v>378.3329636651842</v>
      </c>
      <c r="P549" s="132">
        <f t="shared" si="43"/>
        <v>288.98020722858655</v>
      </c>
      <c r="Q549" s="261">
        <v>1</v>
      </c>
      <c r="R549" s="92"/>
    </row>
    <row r="550" spans="1:18" x14ac:dyDescent="0.25">
      <c r="A550" s="353">
        <v>43501</v>
      </c>
      <c r="B550" s="353" t="s">
        <v>287</v>
      </c>
      <c r="C550" s="263" t="s">
        <v>448</v>
      </c>
      <c r="D550" s="157" t="s">
        <v>464</v>
      </c>
      <c r="E550" s="44">
        <f t="shared" si="42"/>
        <v>43501</v>
      </c>
      <c r="F550" s="146" t="str">
        <f t="shared" si="40"/>
        <v>2018-19</v>
      </c>
      <c r="G550" s="1"/>
      <c r="H550" s="161"/>
      <c r="I550" s="37"/>
      <c r="J550" s="135">
        <f t="shared" si="44"/>
        <v>0.76382508261777382</v>
      </c>
      <c r="K550" s="112"/>
      <c r="L550" s="37">
        <v>1.9105928399300001</v>
      </c>
      <c r="M550" s="37" t="s">
        <v>288</v>
      </c>
      <c r="N550" s="37">
        <v>479.79317073170722</v>
      </c>
      <c r="O550" s="130">
        <f t="shared" si="41"/>
        <v>916.68939664731192</v>
      </c>
      <c r="P550" s="132">
        <f t="shared" si="43"/>
        <v>700.19035412897028</v>
      </c>
      <c r="Q550" s="261">
        <v>1</v>
      </c>
      <c r="R550" s="92"/>
    </row>
    <row r="551" spans="1:18" x14ac:dyDescent="0.25">
      <c r="A551" s="353">
        <v>43501</v>
      </c>
      <c r="B551" s="353" t="s">
        <v>287</v>
      </c>
      <c r="C551" s="263" t="s">
        <v>448</v>
      </c>
      <c r="D551" s="157" t="s">
        <v>464</v>
      </c>
      <c r="E551" s="44">
        <f t="shared" si="42"/>
        <v>43501</v>
      </c>
      <c r="F551" s="146" t="str">
        <f t="shared" si="40"/>
        <v>2018-19</v>
      </c>
      <c r="G551" s="1"/>
      <c r="H551" s="161"/>
      <c r="I551" s="37"/>
      <c r="J551" s="135">
        <f t="shared" si="44"/>
        <v>0.76382508261777382</v>
      </c>
      <c r="K551" s="112"/>
      <c r="L551" s="37">
        <v>3.6514099633199999</v>
      </c>
      <c r="M551" s="37" t="s">
        <v>288</v>
      </c>
      <c r="N551" s="37">
        <v>479.79317073170722</v>
      </c>
      <c r="O551" s="130">
        <f t="shared" si="41"/>
        <v>1751.9215639426495</v>
      </c>
      <c r="P551" s="132">
        <f t="shared" si="43"/>
        <v>1338.1616333183538</v>
      </c>
      <c r="Q551" s="261">
        <v>1</v>
      </c>
      <c r="R551" s="92"/>
    </row>
    <row r="552" spans="1:18" x14ac:dyDescent="0.25">
      <c r="A552" s="353">
        <v>43501</v>
      </c>
      <c r="B552" s="353" t="s">
        <v>287</v>
      </c>
      <c r="C552" s="263" t="s">
        <v>448</v>
      </c>
      <c r="D552" s="157" t="s">
        <v>464</v>
      </c>
      <c r="E552" s="44">
        <f t="shared" si="42"/>
        <v>43501</v>
      </c>
      <c r="F552" s="146" t="str">
        <f t="shared" si="40"/>
        <v>2018-19</v>
      </c>
      <c r="G552" s="1"/>
      <c r="H552" s="161"/>
      <c r="I552" s="37"/>
      <c r="J552" s="135">
        <f t="shared" si="44"/>
        <v>0.76382508261777382</v>
      </c>
      <c r="K552" s="112"/>
      <c r="L552" s="37">
        <v>3.82841095721</v>
      </c>
      <c r="M552" s="37" t="s">
        <v>288</v>
      </c>
      <c r="N552" s="37">
        <v>479.79317073170722</v>
      </c>
      <c r="O552" s="130">
        <f t="shared" si="41"/>
        <v>1836.8454320237963</v>
      </c>
      <c r="P552" s="132">
        <f t="shared" si="43"/>
        <v>1403.0286138716567</v>
      </c>
      <c r="Q552" s="261">
        <v>1</v>
      </c>
      <c r="R552" s="92"/>
    </row>
    <row r="553" spans="1:18" x14ac:dyDescent="0.25">
      <c r="A553" s="353">
        <v>43501</v>
      </c>
      <c r="B553" s="353" t="s">
        <v>287</v>
      </c>
      <c r="C553" s="263" t="s">
        <v>448</v>
      </c>
      <c r="D553" s="157" t="s">
        <v>464</v>
      </c>
      <c r="E553" s="44">
        <f t="shared" si="42"/>
        <v>43501</v>
      </c>
      <c r="F553" s="146" t="str">
        <f t="shared" si="40"/>
        <v>2018-19</v>
      </c>
      <c r="G553" s="1"/>
      <c r="H553" s="161"/>
      <c r="I553" s="37"/>
      <c r="J553" s="135">
        <f t="shared" si="44"/>
        <v>0.76382508261777382</v>
      </c>
      <c r="K553" s="112"/>
      <c r="L553" s="37">
        <v>1.88669366883</v>
      </c>
      <c r="M553" s="37" t="s">
        <v>288</v>
      </c>
      <c r="N553" s="37">
        <v>479.79317073170722</v>
      </c>
      <c r="O553" s="130">
        <f t="shared" si="41"/>
        <v>905.22273756738332</v>
      </c>
      <c r="P553" s="132">
        <f t="shared" si="43"/>
        <v>691.43183230989393</v>
      </c>
      <c r="Q553" s="261">
        <v>1</v>
      </c>
      <c r="R553" s="92"/>
    </row>
    <row r="554" spans="1:18" x14ac:dyDescent="0.25">
      <c r="A554" s="353">
        <v>43306</v>
      </c>
      <c r="B554" s="353" t="s">
        <v>287</v>
      </c>
      <c r="C554" s="263" t="s">
        <v>448</v>
      </c>
      <c r="D554" s="157" t="s">
        <v>464</v>
      </c>
      <c r="E554" s="44">
        <f t="shared" si="42"/>
        <v>43306</v>
      </c>
      <c r="F554" s="146" t="str">
        <f t="shared" si="40"/>
        <v>2018-19</v>
      </c>
      <c r="G554" s="1"/>
      <c r="H554" s="161"/>
      <c r="I554" s="37"/>
      <c r="J554" s="135">
        <f t="shared" si="44"/>
        <v>0.76382508261777382</v>
      </c>
      <c r="K554" s="112"/>
      <c r="L554" s="37">
        <v>1.9991620744700001</v>
      </c>
      <c r="M554" s="37" t="s">
        <v>288</v>
      </c>
      <c r="N554" s="37">
        <v>644.31024390243897</v>
      </c>
      <c r="O554" s="130">
        <f t="shared" si="41"/>
        <v>1288.0806038022715</v>
      </c>
      <c r="P554" s="132">
        <f t="shared" si="43"/>
        <v>983.86827361762198</v>
      </c>
      <c r="Q554" s="261">
        <v>1</v>
      </c>
      <c r="R554" s="92"/>
    </row>
    <row r="555" spans="1:18" x14ac:dyDescent="0.25">
      <c r="A555" s="353">
        <v>43306</v>
      </c>
      <c r="B555" s="353" t="s">
        <v>287</v>
      </c>
      <c r="C555" s="263" t="s">
        <v>448</v>
      </c>
      <c r="D555" s="157" t="s">
        <v>464</v>
      </c>
      <c r="E555" s="44">
        <f t="shared" si="42"/>
        <v>43306</v>
      </c>
      <c r="F555" s="146" t="str">
        <f t="shared" si="40"/>
        <v>2018-19</v>
      </c>
      <c r="G555" s="1"/>
      <c r="H555" s="161"/>
      <c r="I555" s="37"/>
      <c r="J555" s="135">
        <f t="shared" si="44"/>
        <v>0.76382508261777382</v>
      </c>
      <c r="K555" s="112"/>
      <c r="L555" s="37">
        <v>1.09902229277</v>
      </c>
      <c r="M555" s="37" t="s">
        <v>288</v>
      </c>
      <c r="N555" s="37">
        <v>644.31024390243897</v>
      </c>
      <c r="O555" s="130">
        <f t="shared" si="41"/>
        <v>708.11132150885635</v>
      </c>
      <c r="P555" s="132">
        <f t="shared" si="43"/>
        <v>540.87318865408315</v>
      </c>
      <c r="Q555" s="261">
        <v>1</v>
      </c>
      <c r="R555" s="92"/>
    </row>
    <row r="556" spans="1:18" x14ac:dyDescent="0.25">
      <c r="A556" s="353">
        <v>43306</v>
      </c>
      <c r="B556" s="353" t="s">
        <v>287</v>
      </c>
      <c r="C556" s="263" t="s">
        <v>448</v>
      </c>
      <c r="D556" s="157" t="s">
        <v>464</v>
      </c>
      <c r="E556" s="44">
        <f t="shared" si="42"/>
        <v>43306</v>
      </c>
      <c r="F556" s="146" t="str">
        <f t="shared" si="40"/>
        <v>2018-19</v>
      </c>
      <c r="G556" s="1"/>
      <c r="H556" s="161"/>
      <c r="I556" s="37"/>
      <c r="J556" s="135">
        <f t="shared" si="44"/>
        <v>0.76382508261777382</v>
      </c>
      <c r="K556" s="112"/>
      <c r="L556" s="37">
        <v>0.99972046092900002</v>
      </c>
      <c r="M556" s="37" t="s">
        <v>288</v>
      </c>
      <c r="N556" s="37">
        <v>644.31024390243897</v>
      </c>
      <c r="O556" s="130">
        <f t="shared" si="41"/>
        <v>644.13013401542275</v>
      </c>
      <c r="P556" s="132">
        <f t="shared" si="43"/>
        <v>492.00275283092799</v>
      </c>
      <c r="Q556" s="261">
        <v>1</v>
      </c>
      <c r="R556" s="92"/>
    </row>
    <row r="557" spans="1:18" x14ac:dyDescent="0.25">
      <c r="A557" s="353">
        <v>43306</v>
      </c>
      <c r="B557" s="353" t="s">
        <v>287</v>
      </c>
      <c r="C557" s="263" t="s">
        <v>448</v>
      </c>
      <c r="D557" s="157" t="s">
        <v>464</v>
      </c>
      <c r="E557" s="44">
        <f t="shared" si="42"/>
        <v>43306</v>
      </c>
      <c r="F557" s="146" t="str">
        <f t="shared" si="40"/>
        <v>2018-19</v>
      </c>
      <c r="G557" s="1"/>
      <c r="H557" s="161"/>
      <c r="I557" s="37"/>
      <c r="J557" s="135">
        <f t="shared" si="44"/>
        <v>0.76382508261777382</v>
      </c>
      <c r="K557" s="112"/>
      <c r="L557" s="37">
        <v>246.60692813899999</v>
      </c>
      <c r="M557" s="37" t="s">
        <v>288</v>
      </c>
      <c r="N557" s="37">
        <v>644.31024390243897</v>
      </c>
      <c r="O557" s="130">
        <f t="shared" si="41"/>
        <v>158891.37001727032</v>
      </c>
      <c r="P557" s="132">
        <f t="shared" si="43"/>
        <v>121365.21383069278</v>
      </c>
      <c r="Q557" s="261">
        <v>1</v>
      </c>
      <c r="R557" s="92"/>
    </row>
    <row r="558" spans="1:18" x14ac:dyDescent="0.25">
      <c r="A558" s="353">
        <v>43306</v>
      </c>
      <c r="B558" s="353" t="s">
        <v>287</v>
      </c>
      <c r="C558" s="263" t="s">
        <v>448</v>
      </c>
      <c r="D558" s="157" t="s">
        <v>464</v>
      </c>
      <c r="E558" s="44">
        <f t="shared" si="42"/>
        <v>43306</v>
      </c>
      <c r="F558" s="146" t="str">
        <f t="shared" si="40"/>
        <v>2018-19</v>
      </c>
      <c r="G558" s="1"/>
      <c r="H558" s="161"/>
      <c r="I558" s="37"/>
      <c r="J558" s="135">
        <f t="shared" si="44"/>
        <v>0.76382508261777382</v>
      </c>
      <c r="K558" s="112"/>
      <c r="L558" s="37">
        <v>82.028098693900006</v>
      </c>
      <c r="M558" s="37" t="s">
        <v>288</v>
      </c>
      <c r="N558" s="37">
        <v>3592.3639024390236</v>
      </c>
      <c r="O558" s="130">
        <f t="shared" si="41"/>
        <v>294674.78073367203</v>
      </c>
      <c r="P558" s="132">
        <f t="shared" si="43"/>
        <v>225079.98873927142</v>
      </c>
      <c r="Q558" s="261">
        <v>1</v>
      </c>
      <c r="R558" s="92"/>
    </row>
    <row r="559" spans="1:18" x14ac:dyDescent="0.25">
      <c r="A559" s="353">
        <v>43306</v>
      </c>
      <c r="B559" s="353" t="s">
        <v>287</v>
      </c>
      <c r="C559" s="263" t="s">
        <v>448</v>
      </c>
      <c r="D559" s="157" t="s">
        <v>464</v>
      </c>
      <c r="E559" s="44">
        <f t="shared" si="42"/>
        <v>43306</v>
      </c>
      <c r="F559" s="146" t="str">
        <f t="shared" si="40"/>
        <v>2018-19</v>
      </c>
      <c r="G559" s="1"/>
      <c r="H559" s="161"/>
      <c r="I559" s="37"/>
      <c r="J559" s="135">
        <f t="shared" si="44"/>
        <v>0.76382508261777382</v>
      </c>
      <c r="K559" s="112"/>
      <c r="L559" s="37">
        <v>0.99886735856200004</v>
      </c>
      <c r="M559" s="37" t="s">
        <v>288</v>
      </c>
      <c r="N559" s="37">
        <v>644.31024390243897</v>
      </c>
      <c r="O559" s="130">
        <f t="shared" si="41"/>
        <v>643.58047142126725</v>
      </c>
      <c r="P559" s="132">
        <f t="shared" si="43"/>
        <v>491.58290675453526</v>
      </c>
      <c r="Q559" s="261">
        <v>1</v>
      </c>
      <c r="R559" s="92"/>
    </row>
    <row r="560" spans="1:18" x14ac:dyDescent="0.25">
      <c r="A560" s="353">
        <v>43306</v>
      </c>
      <c r="B560" s="353" t="s">
        <v>287</v>
      </c>
      <c r="C560" s="263" t="s">
        <v>448</v>
      </c>
      <c r="D560" s="157" t="s">
        <v>464</v>
      </c>
      <c r="E560" s="44">
        <f t="shared" si="42"/>
        <v>43306</v>
      </c>
      <c r="F560" s="146" t="str">
        <f t="shared" si="40"/>
        <v>2018-19</v>
      </c>
      <c r="G560" s="1"/>
      <c r="H560" s="161"/>
      <c r="I560" s="37"/>
      <c r="J560" s="135">
        <f t="shared" si="44"/>
        <v>0.76382508261777382</v>
      </c>
      <c r="K560" s="112"/>
      <c r="L560" s="37">
        <v>0.99967444700800001</v>
      </c>
      <c r="M560" s="37" t="s">
        <v>288</v>
      </c>
      <c r="N560" s="37">
        <v>644.31024390243897</v>
      </c>
      <c r="O560" s="130">
        <f t="shared" si="41"/>
        <v>644.10048677476027</v>
      </c>
      <c r="P560" s="132">
        <f t="shared" si="43"/>
        <v>491.9801075248796</v>
      </c>
      <c r="Q560" s="261">
        <v>1</v>
      </c>
      <c r="R560" s="92"/>
    </row>
    <row r="561" spans="1:18" x14ac:dyDescent="0.25">
      <c r="A561" s="353">
        <v>43306</v>
      </c>
      <c r="B561" s="353" t="s">
        <v>287</v>
      </c>
      <c r="C561" s="263" t="s">
        <v>448</v>
      </c>
      <c r="D561" s="157" t="s">
        <v>464</v>
      </c>
      <c r="E561" s="44">
        <f t="shared" si="42"/>
        <v>43306</v>
      </c>
      <c r="F561" s="146" t="str">
        <f t="shared" si="40"/>
        <v>2018-19</v>
      </c>
      <c r="G561" s="1"/>
      <c r="H561" s="161"/>
      <c r="I561" s="37"/>
      <c r="J561" s="135">
        <f t="shared" si="44"/>
        <v>0.76382508261777382</v>
      </c>
      <c r="K561" s="112"/>
      <c r="L561" s="37">
        <v>1.49881186278</v>
      </c>
      <c r="M561" s="37" t="s">
        <v>288</v>
      </c>
      <c r="N561" s="37">
        <v>644.31024390243897</v>
      </c>
      <c r="O561" s="130">
        <f t="shared" si="41"/>
        <v>965.69983687165075</v>
      </c>
      <c r="P561" s="132">
        <f t="shared" si="43"/>
        <v>737.62575768245938</v>
      </c>
      <c r="Q561" s="261">
        <v>1</v>
      </c>
      <c r="R561" s="92"/>
    </row>
    <row r="562" spans="1:18" x14ac:dyDescent="0.25">
      <c r="C562" s="263"/>
      <c r="D562" s="157"/>
      <c r="E562" s="44"/>
      <c r="F562" s="146"/>
      <c r="G562" s="1"/>
      <c r="H562" s="161"/>
      <c r="I562" s="37"/>
      <c r="J562" s="135"/>
      <c r="K562" s="112"/>
      <c r="L562" s="37"/>
      <c r="M562" s="37"/>
      <c r="N562" s="37"/>
      <c r="O562" s="130"/>
      <c r="P562" s="132"/>
      <c r="Q562" s="261"/>
      <c r="R562" s="92"/>
    </row>
    <row r="563" spans="1:18" x14ac:dyDescent="0.25">
      <c r="A563" s="353">
        <v>39692</v>
      </c>
      <c r="B563" s="353" t="s">
        <v>284</v>
      </c>
      <c r="C563" s="263"/>
      <c r="D563" s="157" t="s">
        <v>474</v>
      </c>
      <c r="E563" s="44">
        <f t="shared" si="42"/>
        <v>39692</v>
      </c>
      <c r="F563" s="146" t="str">
        <f t="shared" si="40"/>
        <v>2008-09</v>
      </c>
      <c r="G563" s="1"/>
      <c r="H563" s="161"/>
      <c r="I563" s="37"/>
      <c r="J563" s="135">
        <f>J561</f>
        <v>0.76382508261777382</v>
      </c>
      <c r="K563" s="112"/>
      <c r="L563" s="37">
        <v>1</v>
      </c>
      <c r="M563" s="37" t="s">
        <v>473</v>
      </c>
      <c r="N563" s="37">
        <v>92294.307692307673</v>
      </c>
      <c r="O563" s="130">
        <f t="shared" si="41"/>
        <v>92294.307692307673</v>
      </c>
      <c r="P563" s="132">
        <f t="shared" si="43"/>
        <v>70496.707198227145</v>
      </c>
      <c r="Q563" s="261">
        <v>1</v>
      </c>
      <c r="R563" s="92"/>
    </row>
    <row r="564" spans="1:18" x14ac:dyDescent="0.25">
      <c r="A564" s="353">
        <v>39763</v>
      </c>
      <c r="B564" s="353" t="s">
        <v>284</v>
      </c>
      <c r="C564" s="263"/>
      <c r="D564" s="157" t="s">
        <v>475</v>
      </c>
      <c r="E564" s="44">
        <f t="shared" si="42"/>
        <v>39763</v>
      </c>
      <c r="F564" s="146" t="str">
        <f t="shared" si="40"/>
        <v>2008-09</v>
      </c>
      <c r="G564" s="1"/>
      <c r="H564" s="161"/>
      <c r="I564" s="37"/>
      <c r="J564" s="135">
        <f>J563</f>
        <v>0.76382508261777382</v>
      </c>
      <c r="K564" s="112"/>
      <c r="L564" s="37">
        <v>1</v>
      </c>
      <c r="M564" s="37" t="s">
        <v>473</v>
      </c>
      <c r="N564" s="37">
        <v>2738716.303041161</v>
      </c>
      <c r="O564" s="130">
        <f t="shared" si="41"/>
        <v>2738716.303041161</v>
      </c>
      <c r="P564" s="132">
        <f t="shared" si="43"/>
        <v>2091900.206437059</v>
      </c>
      <c r="Q564" s="261">
        <v>1</v>
      </c>
      <c r="R564" s="92"/>
    </row>
    <row r="565" spans="1:18" x14ac:dyDescent="0.25">
      <c r="A565" s="353">
        <v>43678</v>
      </c>
      <c r="B565" s="353" t="s">
        <v>284</v>
      </c>
      <c r="C565" s="263"/>
      <c r="D565" s="157" t="s">
        <v>476</v>
      </c>
      <c r="E565" s="44">
        <f t="shared" si="42"/>
        <v>43678</v>
      </c>
      <c r="F565" s="146" t="str">
        <f t="shared" si="40"/>
        <v>2019-20</v>
      </c>
      <c r="G565" s="1"/>
      <c r="H565" s="161"/>
      <c r="I565" s="37"/>
      <c r="J565" s="135">
        <f t="shared" si="44"/>
        <v>0.76382508261777382</v>
      </c>
      <c r="K565" s="112"/>
      <c r="L565" s="37">
        <v>1</v>
      </c>
      <c r="M565" s="37" t="s">
        <v>473</v>
      </c>
      <c r="N565" s="37">
        <v>7330901.6873076903</v>
      </c>
      <c r="O565" s="130">
        <f t="shared" si="41"/>
        <v>7330901.6873076903</v>
      </c>
      <c r="P565" s="132">
        <f t="shared" si="43"/>
        <v>5599526.5869705742</v>
      </c>
      <c r="Q565" s="261">
        <v>1</v>
      </c>
      <c r="R565" s="92"/>
    </row>
    <row r="566" spans="1:18" x14ac:dyDescent="0.25">
      <c r="A566" s="353">
        <v>42572</v>
      </c>
      <c r="B566" s="353" t="s">
        <v>284</v>
      </c>
      <c r="C566" s="263"/>
      <c r="D566" s="157" t="s">
        <v>477</v>
      </c>
      <c r="E566" s="44">
        <f t="shared" si="42"/>
        <v>42572</v>
      </c>
      <c r="F566" s="146" t="str">
        <f t="shared" si="40"/>
        <v>2016-17</v>
      </c>
      <c r="G566" s="1"/>
      <c r="H566" s="161"/>
      <c r="I566" s="37"/>
      <c r="J566" s="135">
        <f t="shared" si="44"/>
        <v>0.76382508261777382</v>
      </c>
      <c r="K566" s="112"/>
      <c r="L566" s="37">
        <v>1</v>
      </c>
      <c r="M566" s="37" t="s">
        <v>473</v>
      </c>
      <c r="N566" s="37">
        <v>4692574.1755384607</v>
      </c>
      <c r="O566" s="130">
        <f t="shared" si="41"/>
        <v>4692574.1755384607</v>
      </c>
      <c r="P566" s="132">
        <f t="shared" si="43"/>
        <v>3584305.8573206966</v>
      </c>
      <c r="Q566" s="261">
        <v>1</v>
      </c>
      <c r="R566" s="92"/>
    </row>
    <row r="567" spans="1:18" x14ac:dyDescent="0.25">
      <c r="C567" s="263"/>
      <c r="D567" s="157"/>
      <c r="E567" s="44"/>
      <c r="F567" s="146"/>
      <c r="G567" s="1"/>
      <c r="H567" s="161"/>
      <c r="I567" s="37"/>
      <c r="J567" s="135"/>
      <c r="K567" s="112"/>
      <c r="L567" s="37"/>
      <c r="M567" s="37"/>
      <c r="N567" s="37"/>
      <c r="O567" s="130"/>
      <c r="P567" s="132"/>
      <c r="Q567" s="261"/>
      <c r="R567" s="92"/>
    </row>
    <row r="568" spans="1:18" ht="34.5" x14ac:dyDescent="0.25">
      <c r="A568" s="353">
        <v>1996</v>
      </c>
      <c r="B568" s="353" t="s">
        <v>478</v>
      </c>
      <c r="C568" s="263" t="s">
        <v>479</v>
      </c>
      <c r="D568" s="157" t="s">
        <v>480</v>
      </c>
      <c r="E568" s="44">
        <f t="shared" si="42"/>
        <v>35246</v>
      </c>
      <c r="F568" s="146" t="str">
        <f t="shared" si="40"/>
        <v>1995-96</v>
      </c>
      <c r="G568" s="1"/>
      <c r="H568" s="161"/>
      <c r="I568" s="37"/>
      <c r="J568" s="135">
        <f>J566</f>
        <v>0.76382508261777382</v>
      </c>
      <c r="K568" s="112"/>
      <c r="L568" s="37">
        <v>1</v>
      </c>
      <c r="M568" s="37" t="s">
        <v>485</v>
      </c>
      <c r="N568" s="37">
        <v>44847719.128329299</v>
      </c>
      <c r="O568" s="130">
        <f t="shared" si="41"/>
        <v>44847719.128329299</v>
      </c>
      <c r="P568" s="132">
        <f t="shared" si="43"/>
        <v>34255812.76841484</v>
      </c>
      <c r="Q568" s="261">
        <v>1</v>
      </c>
      <c r="R568" s="92"/>
    </row>
    <row r="569" spans="1:18" x14ac:dyDescent="0.25">
      <c r="A569" s="353">
        <v>1998</v>
      </c>
      <c r="B569" s="353" t="s">
        <v>478</v>
      </c>
      <c r="C569" s="263" t="s">
        <v>479</v>
      </c>
      <c r="D569" s="157" t="s">
        <v>481</v>
      </c>
      <c r="E569" s="44">
        <f t="shared" si="42"/>
        <v>35976</v>
      </c>
      <c r="F569" s="146" t="str">
        <f t="shared" si="40"/>
        <v>1997-98</v>
      </c>
      <c r="G569" s="1"/>
      <c r="H569" s="161"/>
      <c r="I569" s="37"/>
      <c r="J569" s="135">
        <f t="shared" si="44"/>
        <v>0.76382508261777382</v>
      </c>
      <c r="K569" s="112"/>
      <c r="L569" s="37">
        <v>1</v>
      </c>
      <c r="M569" s="37" t="s">
        <v>485</v>
      </c>
      <c r="N569" s="37">
        <v>3565438.256658596</v>
      </c>
      <c r="O569" s="130">
        <f t="shared" si="41"/>
        <v>3565438.256658596</v>
      </c>
      <c r="P569" s="132">
        <f t="shared" si="43"/>
        <v>2723371.1709608235</v>
      </c>
      <c r="Q569" s="261">
        <v>1</v>
      </c>
      <c r="R569" s="92"/>
    </row>
    <row r="570" spans="1:18" ht="23" x14ac:dyDescent="0.25">
      <c r="A570" s="353">
        <v>1999</v>
      </c>
      <c r="B570" s="353" t="s">
        <v>478</v>
      </c>
      <c r="C570" s="263" t="s">
        <v>479</v>
      </c>
      <c r="D570" s="157" t="s">
        <v>482</v>
      </c>
      <c r="E570" s="44">
        <f t="shared" si="42"/>
        <v>36341</v>
      </c>
      <c r="F570" s="146" t="str">
        <f t="shared" si="40"/>
        <v>1998-99</v>
      </c>
      <c r="G570" s="1"/>
      <c r="H570" s="161"/>
      <c r="I570" s="37"/>
      <c r="J570" s="135">
        <f t="shared" si="44"/>
        <v>0.76382508261777382</v>
      </c>
      <c r="K570" s="112"/>
      <c r="L570" s="37">
        <v>1</v>
      </c>
      <c r="M570" s="37" t="s">
        <v>485</v>
      </c>
      <c r="N570" s="37">
        <v>8379283.2929782094</v>
      </c>
      <c r="O570" s="130">
        <f t="shared" si="41"/>
        <v>8379283.2929782094</v>
      </c>
      <c r="P570" s="132">
        <f t="shared" si="43"/>
        <v>6400306.753536813</v>
      </c>
      <c r="Q570" s="261">
        <v>1</v>
      </c>
      <c r="R570" s="92"/>
    </row>
    <row r="571" spans="1:18" x14ac:dyDescent="0.25">
      <c r="A571" s="353">
        <v>2000</v>
      </c>
      <c r="B571" s="353" t="s">
        <v>478</v>
      </c>
      <c r="C571" s="263" t="s">
        <v>479</v>
      </c>
      <c r="D571" s="157" t="s">
        <v>483</v>
      </c>
      <c r="E571" s="44">
        <f t="shared" si="42"/>
        <v>36707</v>
      </c>
      <c r="F571" s="146" t="str">
        <f t="shared" ref="F571:F634" si="45">IF(E571="","-",IF(OR(E571&lt;$E$15,E571&gt;$E$16),"ERROR - date outside of range",IF(MONTH(E571)&gt;=7,YEAR(E571)&amp;"-"&amp;IF(YEAR(E571)=1999,"00",IF(AND(YEAR(E571)&gt;=2000,YEAR(E571)&lt;2009),"0","")&amp;RIGHT(YEAR(E571),2)+1),RIGHT(YEAR(E571),4)-1&amp;"-"&amp;RIGHT(YEAR(E571),2))))</f>
        <v>1999-00</v>
      </c>
      <c r="G571" s="1"/>
      <c r="H571" s="161"/>
      <c r="I571" s="37"/>
      <c r="J571" s="135">
        <f t="shared" si="44"/>
        <v>0.76382508261777382</v>
      </c>
      <c r="K571" s="112"/>
      <c r="L571" s="37">
        <v>1</v>
      </c>
      <c r="M571" s="37" t="s">
        <v>485</v>
      </c>
      <c r="N571" s="37">
        <v>719128.32929782092</v>
      </c>
      <c r="O571" s="130">
        <f t="shared" si="41"/>
        <v>719128.32929782092</v>
      </c>
      <c r="P571" s="132">
        <f t="shared" si="43"/>
        <v>549288.25553868967</v>
      </c>
      <c r="Q571" s="261">
        <v>1</v>
      </c>
      <c r="R571" s="92"/>
    </row>
    <row r="572" spans="1:18" x14ac:dyDescent="0.25">
      <c r="A572" s="353">
        <v>2002</v>
      </c>
      <c r="B572" s="353" t="s">
        <v>478</v>
      </c>
      <c r="C572" s="263" t="s">
        <v>479</v>
      </c>
      <c r="D572" s="157" t="s">
        <v>484</v>
      </c>
      <c r="E572" s="44">
        <f t="shared" si="42"/>
        <v>37437</v>
      </c>
      <c r="F572" s="146" t="str">
        <f t="shared" si="45"/>
        <v>2001-02</v>
      </c>
      <c r="G572" s="1"/>
      <c r="H572" s="161"/>
      <c r="I572" s="37"/>
      <c r="J572" s="135">
        <f t="shared" si="44"/>
        <v>0.76382508261777382</v>
      </c>
      <c r="K572" s="112"/>
      <c r="L572" s="37">
        <v>1</v>
      </c>
      <c r="M572" s="37" t="s">
        <v>485</v>
      </c>
      <c r="N572" s="37">
        <v>2022214.8697466541</v>
      </c>
      <c r="O572" s="130">
        <f t="shared" si="41"/>
        <v>2022214.8697466541</v>
      </c>
      <c r="P572" s="132">
        <f t="shared" si="43"/>
        <v>1544618.4399551288</v>
      </c>
      <c r="Q572" s="261">
        <v>1</v>
      </c>
      <c r="R572" s="92"/>
    </row>
    <row r="573" spans="1:18" x14ac:dyDescent="0.25">
      <c r="C573" s="263"/>
      <c r="D573" s="157"/>
      <c r="E573" s="44"/>
      <c r="F573" s="146" t="str">
        <f t="shared" si="45"/>
        <v>-</v>
      </c>
      <c r="G573" s="1"/>
      <c r="H573" s="161"/>
      <c r="I573" s="37"/>
      <c r="J573" s="135">
        <f t="shared" si="44"/>
        <v>0.76382508261777382</v>
      </c>
      <c r="K573" s="112"/>
      <c r="L573" s="37"/>
      <c r="M573" s="37"/>
      <c r="N573" s="37"/>
      <c r="O573" s="130"/>
      <c r="P573" s="132"/>
      <c r="Q573" s="261"/>
      <c r="R573" s="92"/>
    </row>
    <row r="574" spans="1:18" x14ac:dyDescent="0.25">
      <c r="A574" s="353">
        <v>1996</v>
      </c>
      <c r="B574" s="353" t="s">
        <v>285</v>
      </c>
      <c r="C574" s="263">
        <v>360524</v>
      </c>
      <c r="D574" s="157" t="s">
        <v>656</v>
      </c>
      <c r="E574" s="44">
        <v>35246</v>
      </c>
      <c r="F574" s="146" t="str">
        <f t="shared" si="45"/>
        <v>1995-96</v>
      </c>
      <c r="G574" s="1"/>
      <c r="H574" s="161"/>
      <c r="I574" s="37"/>
      <c r="J574" s="135">
        <f t="shared" si="44"/>
        <v>0.76382508261777382</v>
      </c>
      <c r="K574" s="112"/>
      <c r="L574" s="37">
        <v>179.81</v>
      </c>
      <c r="M574" s="37" t="s">
        <v>288</v>
      </c>
      <c r="N574" s="37">
        <v>624.71678416763677</v>
      </c>
      <c r="O574" s="130">
        <f t="shared" ref="O574:O637" si="46">IF(N574="","-",L574*N574)</f>
        <v>112330.32496118276</v>
      </c>
      <c r="P574" s="132">
        <f t="shared" ref="P574:P637" si="47">IF(O574="-","-",IF(OR(E574&lt;$E$15,E574&gt;$E$16),0,O574*J574))*Q574</f>
        <v>85800.719743956812</v>
      </c>
      <c r="Q574" s="261">
        <v>1</v>
      </c>
      <c r="R574" s="92"/>
    </row>
    <row r="575" spans="1:18" x14ac:dyDescent="0.25">
      <c r="A575" s="353">
        <v>1996</v>
      </c>
      <c r="B575" s="353" t="s">
        <v>285</v>
      </c>
      <c r="C575" s="263">
        <v>360983</v>
      </c>
      <c r="D575" s="157" t="s">
        <v>657</v>
      </c>
      <c r="E575" s="44">
        <v>35246</v>
      </c>
      <c r="F575" s="146" t="str">
        <f t="shared" si="45"/>
        <v>1995-96</v>
      </c>
      <c r="G575" s="1"/>
      <c r="H575" s="161"/>
      <c r="I575" s="37"/>
      <c r="J575" s="135">
        <f t="shared" si="44"/>
        <v>0.76382508261777382</v>
      </c>
      <c r="K575" s="112"/>
      <c r="L575" s="37">
        <v>83.25</v>
      </c>
      <c r="M575" s="37" t="s">
        <v>288</v>
      </c>
      <c r="N575" s="37">
        <v>685.06801396973219</v>
      </c>
      <c r="O575" s="130">
        <f t="shared" si="46"/>
        <v>57031.912162980203</v>
      </c>
      <c r="P575" s="132">
        <f t="shared" si="47"/>
        <v>31364.931614211342</v>
      </c>
      <c r="Q575" s="261">
        <v>0.72</v>
      </c>
      <c r="R575" s="92"/>
    </row>
    <row r="576" spans="1:18" x14ac:dyDescent="0.25">
      <c r="A576" s="353">
        <v>1997</v>
      </c>
      <c r="B576" s="353" t="s">
        <v>285</v>
      </c>
      <c r="C576" s="263">
        <v>361193</v>
      </c>
      <c r="D576" s="157" t="s">
        <v>658</v>
      </c>
      <c r="E576" s="44">
        <v>35611</v>
      </c>
      <c r="F576" s="146" t="str">
        <f t="shared" si="45"/>
        <v>1996-97</v>
      </c>
      <c r="G576" s="1"/>
      <c r="H576" s="161"/>
      <c r="I576" s="37"/>
      <c r="J576" s="135">
        <f t="shared" si="44"/>
        <v>0.76382508261777382</v>
      </c>
      <c r="K576" s="112"/>
      <c r="L576" s="37">
        <v>86.918000000000006</v>
      </c>
      <c r="M576" s="37" t="s">
        <v>288</v>
      </c>
      <c r="N576" s="37">
        <v>971.21945797438889</v>
      </c>
      <c r="O576" s="130">
        <f t="shared" si="46"/>
        <v>84416.452848217945</v>
      </c>
      <c r="P576" s="132">
        <f t="shared" si="47"/>
        <v>64479.404071089477</v>
      </c>
      <c r="Q576" s="261">
        <v>1</v>
      </c>
      <c r="R576" s="92"/>
    </row>
    <row r="577" spans="1:18" x14ac:dyDescent="0.25">
      <c r="A577" s="353">
        <v>1997</v>
      </c>
      <c r="B577" s="353" t="s">
        <v>285</v>
      </c>
      <c r="C577" s="263">
        <v>361429</v>
      </c>
      <c r="D577" s="157" t="s">
        <v>659</v>
      </c>
      <c r="E577" s="44">
        <v>35611</v>
      </c>
      <c r="F577" s="146" t="str">
        <f t="shared" si="45"/>
        <v>1996-97</v>
      </c>
      <c r="G577" s="1"/>
      <c r="H577" s="161"/>
      <c r="I577" s="37"/>
      <c r="J577" s="135">
        <f t="shared" si="44"/>
        <v>0.76382508261777382</v>
      </c>
      <c r="K577" s="112"/>
      <c r="L577" s="37">
        <v>28.33</v>
      </c>
      <c r="M577" s="37" t="s">
        <v>288</v>
      </c>
      <c r="N577" s="37">
        <v>1066.2475641443541</v>
      </c>
      <c r="O577" s="130">
        <f t="shared" si="46"/>
        <v>30206.793492209548</v>
      </c>
      <c r="P577" s="132">
        <f t="shared" si="47"/>
        <v>23072.706534804991</v>
      </c>
      <c r="Q577" s="261">
        <v>1</v>
      </c>
      <c r="R577" s="92"/>
    </row>
    <row r="578" spans="1:18" x14ac:dyDescent="0.25">
      <c r="A578" s="353">
        <v>1999</v>
      </c>
      <c r="B578" s="353" t="s">
        <v>285</v>
      </c>
      <c r="C578" s="263">
        <v>362105</v>
      </c>
      <c r="D578" s="157" t="s">
        <v>660</v>
      </c>
      <c r="E578" s="44">
        <v>36341</v>
      </c>
      <c r="F578" s="146" t="str">
        <f t="shared" si="45"/>
        <v>1998-99</v>
      </c>
      <c r="G578" s="1"/>
      <c r="H578" s="161"/>
      <c r="I578" s="37"/>
      <c r="J578" s="135">
        <f t="shared" si="44"/>
        <v>0.76382508261777382</v>
      </c>
      <c r="K578" s="112"/>
      <c r="L578" s="37">
        <v>81.45</v>
      </c>
      <c r="M578" s="37" t="s">
        <v>288</v>
      </c>
      <c r="N578" s="37">
        <v>893.90845634458674</v>
      </c>
      <c r="O578" s="130">
        <f t="shared" si="46"/>
        <v>72808.84376926659</v>
      </c>
      <c r="P578" s="132">
        <f t="shared" si="47"/>
        <v>3892.925477515525</v>
      </c>
      <c r="Q578" s="261">
        <v>7.0000000000000007E-2</v>
      </c>
      <c r="R578" s="92"/>
    </row>
    <row r="579" spans="1:18" x14ac:dyDescent="0.25">
      <c r="A579" s="353">
        <v>1999</v>
      </c>
      <c r="B579" s="353" t="s">
        <v>285</v>
      </c>
      <c r="C579" s="263">
        <v>361901</v>
      </c>
      <c r="D579" s="157" t="s">
        <v>657</v>
      </c>
      <c r="E579" s="44">
        <v>36341</v>
      </c>
      <c r="F579" s="146" t="str">
        <f t="shared" si="45"/>
        <v>1998-99</v>
      </c>
      <c r="G579" s="1"/>
      <c r="H579" s="161"/>
      <c r="I579" s="37"/>
      <c r="J579" s="135">
        <f t="shared" si="44"/>
        <v>0.76382508261777382</v>
      </c>
      <c r="K579" s="112"/>
      <c r="L579" s="37">
        <v>53.39</v>
      </c>
      <c r="M579" s="37" t="s">
        <v>288</v>
      </c>
      <c r="N579" s="37">
        <v>2290.3384232828871</v>
      </c>
      <c r="O579" s="130">
        <f t="shared" si="46"/>
        <v>122281.16841907335</v>
      </c>
      <c r="P579" s="132">
        <f t="shared" si="47"/>
        <v>67249.024970613551</v>
      </c>
      <c r="Q579" s="261">
        <v>0.72</v>
      </c>
      <c r="R579" s="92"/>
    </row>
    <row r="580" spans="1:18" x14ac:dyDescent="0.25">
      <c r="A580" s="353">
        <v>2002</v>
      </c>
      <c r="B580" s="353" t="s">
        <v>285</v>
      </c>
      <c r="C580" s="263">
        <v>3001651</v>
      </c>
      <c r="D580" s="157" t="s">
        <v>661</v>
      </c>
      <c r="E580" s="44">
        <v>37437</v>
      </c>
      <c r="F580" s="146" t="str">
        <f t="shared" si="45"/>
        <v>2001-02</v>
      </c>
      <c r="G580" s="1"/>
      <c r="H580" s="161"/>
      <c r="I580" s="37"/>
      <c r="J580" s="135">
        <f t="shared" si="44"/>
        <v>0.76382508261777382</v>
      </c>
      <c r="K580" s="112"/>
      <c r="L580" s="37">
        <v>122</v>
      </c>
      <c r="M580" s="37" t="s">
        <v>288</v>
      </c>
      <c r="N580" s="37">
        <v>893.90845634458674</v>
      </c>
      <c r="O580" s="130">
        <f t="shared" si="46"/>
        <v>109056.83167403958</v>
      </c>
      <c r="P580" s="132">
        <f t="shared" si="47"/>
        <v>42483.175166362533</v>
      </c>
      <c r="Q580" s="261">
        <v>0.51</v>
      </c>
      <c r="R580" s="92"/>
    </row>
    <row r="581" spans="1:18" x14ac:dyDescent="0.25">
      <c r="A581" s="353">
        <v>2002</v>
      </c>
      <c r="B581" s="353" t="s">
        <v>285</v>
      </c>
      <c r="C581" s="263">
        <v>3001651</v>
      </c>
      <c r="D581" s="157" t="s">
        <v>661</v>
      </c>
      <c r="E581" s="44">
        <v>37437</v>
      </c>
      <c r="F581" s="146" t="str">
        <f t="shared" si="45"/>
        <v>2001-02</v>
      </c>
      <c r="G581" s="1"/>
      <c r="H581" s="161"/>
      <c r="I581" s="37"/>
      <c r="J581" s="135">
        <f t="shared" si="44"/>
        <v>0.76382508261777382</v>
      </c>
      <c r="K581" s="112"/>
      <c r="L581" s="37">
        <v>22</v>
      </c>
      <c r="M581" s="37" t="s">
        <v>288</v>
      </c>
      <c r="N581" s="37">
        <v>771.49937043073351</v>
      </c>
      <c r="O581" s="130">
        <f t="shared" si="46"/>
        <v>16972.986149476135</v>
      </c>
      <c r="P581" s="132">
        <f t="shared" si="47"/>
        <v>6611.8401994259093</v>
      </c>
      <c r="Q581" s="261">
        <v>0.51</v>
      </c>
      <c r="R581" s="92"/>
    </row>
    <row r="582" spans="1:18" x14ac:dyDescent="0.25">
      <c r="A582" s="353">
        <v>2005</v>
      </c>
      <c r="B582" s="353" t="s">
        <v>285</v>
      </c>
      <c r="C582" s="263" t="s">
        <v>662</v>
      </c>
      <c r="D582" s="157" t="s">
        <v>663</v>
      </c>
      <c r="E582" s="44">
        <v>38533</v>
      </c>
      <c r="F582" s="146" t="str">
        <f t="shared" si="45"/>
        <v>2004-05</v>
      </c>
      <c r="G582" s="1"/>
      <c r="H582" s="161"/>
      <c r="I582" s="37"/>
      <c r="J582" s="135">
        <f t="shared" si="44"/>
        <v>0.76382508261777382</v>
      </c>
      <c r="K582" s="112"/>
      <c r="L582" s="37">
        <v>45.532780535699999</v>
      </c>
      <c r="M582" s="37" t="s">
        <v>288</v>
      </c>
      <c r="N582" s="37">
        <v>563.72605355064024</v>
      </c>
      <c r="O582" s="130">
        <f t="shared" si="46"/>
        <v>25668.014678577569</v>
      </c>
      <c r="P582" s="132">
        <f t="shared" si="47"/>
        <v>18978.494945355636</v>
      </c>
      <c r="Q582" s="261">
        <v>0.96800048264602367</v>
      </c>
      <c r="R582" s="92"/>
    </row>
    <row r="583" spans="1:18" x14ac:dyDescent="0.25">
      <c r="A583" s="353">
        <v>2005</v>
      </c>
      <c r="B583" s="353" t="s">
        <v>285</v>
      </c>
      <c r="C583" s="263" t="s">
        <v>662</v>
      </c>
      <c r="D583" s="157" t="s">
        <v>663</v>
      </c>
      <c r="E583" s="44">
        <v>38533</v>
      </c>
      <c r="F583" s="146" t="str">
        <f t="shared" si="45"/>
        <v>2004-05</v>
      </c>
      <c r="G583" s="1"/>
      <c r="H583" s="161"/>
      <c r="I583" s="37"/>
      <c r="J583" s="135">
        <f t="shared" si="44"/>
        <v>0.76382508261777382</v>
      </c>
      <c r="K583" s="112"/>
      <c r="L583" s="37">
        <v>32.573802029500001</v>
      </c>
      <c r="M583" s="37" t="s">
        <v>288</v>
      </c>
      <c r="N583" s="37">
        <v>563.72605355064024</v>
      </c>
      <c r="O583" s="130">
        <f t="shared" si="46"/>
        <v>18362.700867229873</v>
      </c>
      <c r="P583" s="132">
        <f t="shared" si="47"/>
        <v>13577.069748314174</v>
      </c>
      <c r="Q583" s="261">
        <v>0.96800048264602367</v>
      </c>
      <c r="R583" s="92"/>
    </row>
    <row r="584" spans="1:18" x14ac:dyDescent="0.25">
      <c r="A584" s="353">
        <v>2005</v>
      </c>
      <c r="B584" s="353" t="s">
        <v>285</v>
      </c>
      <c r="C584" s="263" t="s">
        <v>662</v>
      </c>
      <c r="D584" s="157" t="s">
        <v>663</v>
      </c>
      <c r="E584" s="44">
        <v>38533</v>
      </c>
      <c r="F584" s="146" t="str">
        <f t="shared" si="45"/>
        <v>2004-05</v>
      </c>
      <c r="G584" s="1"/>
      <c r="H584" s="161"/>
      <c r="I584" s="37"/>
      <c r="J584" s="135">
        <f t="shared" si="44"/>
        <v>0.76382508261777382</v>
      </c>
      <c r="K584" s="112"/>
      <c r="L584" s="37">
        <v>59.982773948000002</v>
      </c>
      <c r="M584" s="37" t="s">
        <v>288</v>
      </c>
      <c r="N584" s="37">
        <v>563.72605355064024</v>
      </c>
      <c r="O584" s="130">
        <f t="shared" si="46"/>
        <v>33813.8524387262</v>
      </c>
      <c r="P584" s="132">
        <f t="shared" si="47"/>
        <v>25001.389302109023</v>
      </c>
      <c r="Q584" s="261">
        <v>0.96800048264602367</v>
      </c>
      <c r="R584" s="92"/>
    </row>
    <row r="585" spans="1:18" x14ac:dyDescent="0.25">
      <c r="A585" s="353">
        <v>2005</v>
      </c>
      <c r="B585" s="353" t="s">
        <v>285</v>
      </c>
      <c r="C585" s="263" t="s">
        <v>662</v>
      </c>
      <c r="D585" s="157" t="s">
        <v>663</v>
      </c>
      <c r="E585" s="44">
        <v>38533</v>
      </c>
      <c r="F585" s="146" t="str">
        <f t="shared" si="45"/>
        <v>2004-05</v>
      </c>
      <c r="G585" s="1"/>
      <c r="H585" s="161"/>
      <c r="I585" s="37"/>
      <c r="J585" s="135">
        <f t="shared" si="44"/>
        <v>0.76382508261777382</v>
      </c>
      <c r="K585" s="112"/>
      <c r="L585" s="37">
        <v>29.4124280025</v>
      </c>
      <c r="M585" s="37" t="s">
        <v>288</v>
      </c>
      <c r="N585" s="37">
        <v>563.72605355064024</v>
      </c>
      <c r="O585" s="130">
        <f t="shared" si="46"/>
        <v>16580.551963191665</v>
      </c>
      <c r="P585" s="132">
        <f t="shared" si="47"/>
        <v>12259.379058531753</v>
      </c>
      <c r="Q585" s="261">
        <v>0.96800048264602367</v>
      </c>
      <c r="R585" s="92"/>
    </row>
    <row r="586" spans="1:18" x14ac:dyDescent="0.25">
      <c r="A586" s="353">
        <v>38667</v>
      </c>
      <c r="B586" s="353" t="s">
        <v>285</v>
      </c>
      <c r="C586" s="263" t="s">
        <v>662</v>
      </c>
      <c r="D586" s="157" t="s">
        <v>663</v>
      </c>
      <c r="E586" s="44">
        <v>38667</v>
      </c>
      <c r="F586" s="146" t="str">
        <f t="shared" si="45"/>
        <v>2005-06</v>
      </c>
      <c r="G586" s="1"/>
      <c r="H586" s="161"/>
      <c r="I586" s="37"/>
      <c r="J586" s="135">
        <f t="shared" si="44"/>
        <v>0.76382508261777382</v>
      </c>
      <c r="K586" s="112"/>
      <c r="L586" s="37">
        <v>36.121945282200002</v>
      </c>
      <c r="M586" s="37" t="s">
        <v>288</v>
      </c>
      <c r="N586" s="37">
        <v>3336.4019512195118</v>
      </c>
      <c r="O586" s="130">
        <f t="shared" si="46"/>
        <v>120517.32872137653</v>
      </c>
      <c r="P586" s="132">
        <f t="shared" si="47"/>
        <v>89108.469922893113</v>
      </c>
      <c r="Q586" s="261">
        <v>0.96800048264602367</v>
      </c>
      <c r="R586" s="92"/>
    </row>
    <row r="587" spans="1:18" x14ac:dyDescent="0.25">
      <c r="A587" s="353">
        <v>38667</v>
      </c>
      <c r="B587" s="353" t="s">
        <v>285</v>
      </c>
      <c r="C587" s="263" t="s">
        <v>662</v>
      </c>
      <c r="D587" s="157" t="s">
        <v>663</v>
      </c>
      <c r="E587" s="44">
        <v>38667</v>
      </c>
      <c r="F587" s="146" t="str">
        <f t="shared" si="45"/>
        <v>2005-06</v>
      </c>
      <c r="G587" s="1"/>
      <c r="H587" s="161"/>
      <c r="I587" s="37"/>
      <c r="J587" s="135">
        <f t="shared" si="44"/>
        <v>0.76382508261777382</v>
      </c>
      <c r="K587" s="112"/>
      <c r="L587" s="37">
        <v>61.799228794199998</v>
      </c>
      <c r="M587" s="37" t="s">
        <v>288</v>
      </c>
      <c r="N587" s="37">
        <v>3336.4019512195118</v>
      </c>
      <c r="O587" s="130">
        <f t="shared" si="46"/>
        <v>206187.06753282991</v>
      </c>
      <c r="P587" s="132">
        <f t="shared" si="47"/>
        <v>152451.22258073936</v>
      </c>
      <c r="Q587" s="261">
        <v>0.96800048264602367</v>
      </c>
      <c r="R587" s="92"/>
    </row>
    <row r="588" spans="1:18" x14ac:dyDescent="0.25">
      <c r="A588" s="353">
        <v>2005</v>
      </c>
      <c r="B588" s="353" t="s">
        <v>285</v>
      </c>
      <c r="C588" s="263" t="s">
        <v>662</v>
      </c>
      <c r="D588" s="157" t="s">
        <v>663</v>
      </c>
      <c r="E588" s="44">
        <v>38533</v>
      </c>
      <c r="F588" s="146" t="str">
        <f t="shared" si="45"/>
        <v>2004-05</v>
      </c>
      <c r="G588" s="1"/>
      <c r="H588" s="161"/>
      <c r="I588" s="37"/>
      <c r="J588" s="135">
        <f t="shared" si="44"/>
        <v>0.76382508261777382</v>
      </c>
      <c r="K588" s="112"/>
      <c r="L588" s="37">
        <v>15.940521231</v>
      </c>
      <c r="M588" s="37" t="s">
        <v>288</v>
      </c>
      <c r="N588" s="37">
        <v>563.72605355064024</v>
      </c>
      <c r="O588" s="130">
        <f t="shared" si="46"/>
        <v>8986.0871250918244</v>
      </c>
      <c r="P588" s="132">
        <f t="shared" si="47"/>
        <v>6644.1604938154651</v>
      </c>
      <c r="Q588" s="261">
        <v>0.96800048264602367</v>
      </c>
      <c r="R588" s="92"/>
    </row>
    <row r="589" spans="1:18" x14ac:dyDescent="0.25">
      <c r="A589" s="353">
        <v>2005</v>
      </c>
      <c r="B589" s="353" t="s">
        <v>285</v>
      </c>
      <c r="C589" s="263" t="s">
        <v>662</v>
      </c>
      <c r="D589" s="157" t="s">
        <v>663</v>
      </c>
      <c r="E589" s="44">
        <v>38533</v>
      </c>
      <c r="F589" s="146" t="str">
        <f t="shared" si="45"/>
        <v>2004-05</v>
      </c>
      <c r="G589" s="1"/>
      <c r="H589" s="161"/>
      <c r="I589" s="37"/>
      <c r="J589" s="135">
        <f t="shared" si="44"/>
        <v>0.76382508261777382</v>
      </c>
      <c r="K589" s="112"/>
      <c r="L589" s="37">
        <v>19.729742709899998</v>
      </c>
      <c r="M589" s="37" t="s">
        <v>288</v>
      </c>
      <c r="N589" s="37">
        <v>563.72605355064024</v>
      </c>
      <c r="O589" s="130">
        <f t="shared" si="46"/>
        <v>11122.16999542144</v>
      </c>
      <c r="P589" s="132">
        <f t="shared" si="47"/>
        <v>8223.5439586085413</v>
      </c>
      <c r="Q589" s="261">
        <v>0.96800048264602367</v>
      </c>
      <c r="R589" s="92"/>
    </row>
    <row r="590" spans="1:18" x14ac:dyDescent="0.25">
      <c r="A590" s="353">
        <v>38667</v>
      </c>
      <c r="B590" s="353" t="s">
        <v>285</v>
      </c>
      <c r="C590" s="263" t="s">
        <v>662</v>
      </c>
      <c r="D590" s="157" t="s">
        <v>663</v>
      </c>
      <c r="E590" s="44">
        <v>38667</v>
      </c>
      <c r="F590" s="146" t="str">
        <f t="shared" si="45"/>
        <v>2005-06</v>
      </c>
      <c r="G590" s="1"/>
      <c r="H590" s="161"/>
      <c r="I590" s="37"/>
      <c r="J590" s="135">
        <f t="shared" si="44"/>
        <v>0.76382508261777382</v>
      </c>
      <c r="K590" s="112"/>
      <c r="L590" s="37">
        <v>31.5870486938</v>
      </c>
      <c r="M590" s="37" t="s">
        <v>288</v>
      </c>
      <c r="N590" s="37">
        <v>3336.4019512195118</v>
      </c>
      <c r="O590" s="130">
        <f t="shared" si="46"/>
        <v>105387.09089526006</v>
      </c>
      <c r="P590" s="132">
        <f t="shared" si="47"/>
        <v>77921.428552504862</v>
      </c>
      <c r="Q590" s="261">
        <v>0.96800048264602367</v>
      </c>
      <c r="R590" s="92"/>
    </row>
    <row r="591" spans="1:18" x14ac:dyDescent="0.25">
      <c r="A591" s="353">
        <v>2005</v>
      </c>
      <c r="B591" s="353" t="s">
        <v>285</v>
      </c>
      <c r="C591" s="263" t="s">
        <v>662</v>
      </c>
      <c r="D591" s="157" t="s">
        <v>663</v>
      </c>
      <c r="E591" s="44">
        <v>38533</v>
      </c>
      <c r="F591" s="146" t="str">
        <f t="shared" si="45"/>
        <v>2004-05</v>
      </c>
      <c r="G591" s="1"/>
      <c r="H591" s="161"/>
      <c r="I591" s="37"/>
      <c r="J591" s="135">
        <f t="shared" si="44"/>
        <v>0.76382508261777382</v>
      </c>
      <c r="K591" s="112"/>
      <c r="L591" s="37">
        <v>45.723778125300001</v>
      </c>
      <c r="M591" s="37" t="s">
        <v>288</v>
      </c>
      <c r="N591" s="37">
        <v>563.72605355064024</v>
      </c>
      <c r="O591" s="130">
        <f t="shared" si="46"/>
        <v>25775.684996000462</v>
      </c>
      <c r="P591" s="132">
        <f t="shared" si="47"/>
        <v>19058.104552898858</v>
      </c>
      <c r="Q591" s="261">
        <v>0.96800048264602367</v>
      </c>
      <c r="R591" s="92"/>
    </row>
    <row r="592" spans="1:18" x14ac:dyDescent="0.25">
      <c r="A592" s="353">
        <v>38667</v>
      </c>
      <c r="B592" s="353" t="s">
        <v>285</v>
      </c>
      <c r="C592" s="263" t="s">
        <v>662</v>
      </c>
      <c r="D592" s="157" t="s">
        <v>663</v>
      </c>
      <c r="E592" s="44">
        <v>38667</v>
      </c>
      <c r="F592" s="146" t="str">
        <f t="shared" si="45"/>
        <v>2005-06</v>
      </c>
      <c r="G592" s="1"/>
      <c r="H592" s="161"/>
      <c r="I592" s="37"/>
      <c r="J592" s="135">
        <f t="shared" si="44"/>
        <v>0.76382508261777382</v>
      </c>
      <c r="K592" s="112"/>
      <c r="L592" s="37">
        <v>29.758412946699998</v>
      </c>
      <c r="M592" s="37" t="s">
        <v>288</v>
      </c>
      <c r="N592" s="37">
        <v>3336.4019512195118</v>
      </c>
      <c r="O592" s="130">
        <f t="shared" si="46"/>
        <v>99286.02702056586</v>
      </c>
      <c r="P592" s="132">
        <f t="shared" si="47"/>
        <v>73410.405344940125</v>
      </c>
      <c r="Q592" s="261">
        <v>0.96800048264602367</v>
      </c>
      <c r="R592" s="92"/>
    </row>
    <row r="593" spans="1:18" x14ac:dyDescent="0.25">
      <c r="A593" s="353">
        <v>38667</v>
      </c>
      <c r="B593" s="353" t="s">
        <v>285</v>
      </c>
      <c r="C593" s="263" t="s">
        <v>662</v>
      </c>
      <c r="D593" s="157" t="s">
        <v>663</v>
      </c>
      <c r="E593" s="44">
        <v>38667</v>
      </c>
      <c r="F593" s="146" t="str">
        <f t="shared" si="45"/>
        <v>2005-06</v>
      </c>
      <c r="G593" s="1"/>
      <c r="H593" s="161"/>
      <c r="I593" s="37"/>
      <c r="J593" s="135">
        <f t="shared" si="44"/>
        <v>0.76382508261777382</v>
      </c>
      <c r="K593" s="112"/>
      <c r="L593" s="37">
        <v>29.903196928300002</v>
      </c>
      <c r="M593" s="37" t="s">
        <v>288</v>
      </c>
      <c r="N593" s="37">
        <v>3336.4019512195118</v>
      </c>
      <c r="O593" s="130">
        <f t="shared" si="46"/>
        <v>99769.084579281436</v>
      </c>
      <c r="P593" s="132">
        <f t="shared" si="47"/>
        <v>73767.569915367567</v>
      </c>
      <c r="Q593" s="261">
        <v>0.96800048264602367</v>
      </c>
      <c r="R593" s="92"/>
    </row>
    <row r="594" spans="1:18" x14ac:dyDescent="0.25">
      <c r="A594" s="353">
        <v>38667</v>
      </c>
      <c r="B594" s="353" t="s">
        <v>285</v>
      </c>
      <c r="C594" s="263" t="s">
        <v>662</v>
      </c>
      <c r="D594" s="157" t="s">
        <v>664</v>
      </c>
      <c r="E594" s="44">
        <v>38667</v>
      </c>
      <c r="F594" s="146" t="str">
        <f t="shared" si="45"/>
        <v>2005-06</v>
      </c>
      <c r="G594" s="1"/>
      <c r="H594" s="161"/>
      <c r="I594" s="37"/>
      <c r="J594" s="135">
        <f t="shared" si="44"/>
        <v>0.76382508261777382</v>
      </c>
      <c r="K594" s="112"/>
      <c r="L594" s="37">
        <v>88.011126174400005</v>
      </c>
      <c r="M594" s="37" t="s">
        <v>288</v>
      </c>
      <c r="N594" s="37">
        <v>4641.6565853658531</v>
      </c>
      <c r="O594" s="130">
        <f t="shared" si="46"/>
        <v>408517.42339286878</v>
      </c>
      <c r="P594" s="132">
        <f t="shared" si="47"/>
        <v>302050.85792715912</v>
      </c>
      <c r="Q594" s="261">
        <v>0.96800048264602367</v>
      </c>
      <c r="R594" s="92"/>
    </row>
    <row r="595" spans="1:18" x14ac:dyDescent="0.25">
      <c r="A595" s="353">
        <v>2005</v>
      </c>
      <c r="B595" s="353" t="s">
        <v>285</v>
      </c>
      <c r="C595" s="263" t="s">
        <v>662</v>
      </c>
      <c r="D595" s="157" t="s">
        <v>664</v>
      </c>
      <c r="E595" s="44">
        <v>38533</v>
      </c>
      <c r="F595" s="146" t="str">
        <f t="shared" si="45"/>
        <v>2004-05</v>
      </c>
      <c r="G595" s="1"/>
      <c r="H595" s="161"/>
      <c r="I595" s="37"/>
      <c r="J595" s="135">
        <f t="shared" si="44"/>
        <v>0.76382508261777382</v>
      </c>
      <c r="K595" s="112"/>
      <c r="L595" s="37">
        <v>71.616325827300003</v>
      </c>
      <c r="M595" s="37" t="s">
        <v>288</v>
      </c>
      <c r="N595" s="37">
        <v>1472.130322700815</v>
      </c>
      <c r="O595" s="130">
        <f t="shared" si="46"/>
        <v>105428.56485078986</v>
      </c>
      <c r="P595" s="132">
        <f t="shared" si="47"/>
        <v>77952.093692183276</v>
      </c>
      <c r="Q595" s="261">
        <v>0.96800048264602367</v>
      </c>
      <c r="R595" s="92"/>
    </row>
    <row r="596" spans="1:18" x14ac:dyDescent="0.25">
      <c r="A596" s="353">
        <v>2005</v>
      </c>
      <c r="B596" s="353" t="s">
        <v>285</v>
      </c>
      <c r="C596" s="263" t="s">
        <v>662</v>
      </c>
      <c r="D596" s="157" t="s">
        <v>664</v>
      </c>
      <c r="E596" s="44">
        <v>38533</v>
      </c>
      <c r="F596" s="146" t="str">
        <f t="shared" si="45"/>
        <v>2004-05</v>
      </c>
      <c r="G596" s="1"/>
      <c r="H596" s="161"/>
      <c r="I596" s="37"/>
      <c r="J596" s="135">
        <f t="shared" si="44"/>
        <v>0.76382508261777382</v>
      </c>
      <c r="K596" s="112"/>
      <c r="L596" s="37">
        <v>105.248789</v>
      </c>
      <c r="M596" s="37" t="s">
        <v>288</v>
      </c>
      <c r="N596" s="37">
        <v>1472.130322700815</v>
      </c>
      <c r="O596" s="130">
        <f t="shared" si="46"/>
        <v>154939.93371443998</v>
      </c>
      <c r="P596" s="132">
        <f t="shared" si="47"/>
        <v>114559.96054448999</v>
      </c>
      <c r="Q596" s="261">
        <v>0.96800048264602367</v>
      </c>
      <c r="R596" s="92"/>
    </row>
    <row r="597" spans="1:18" x14ac:dyDescent="0.25">
      <c r="A597" s="353">
        <v>38667</v>
      </c>
      <c r="B597" s="353" t="s">
        <v>285</v>
      </c>
      <c r="C597" s="263" t="s">
        <v>662</v>
      </c>
      <c r="D597" s="157" t="s">
        <v>664</v>
      </c>
      <c r="E597" s="44">
        <v>38667</v>
      </c>
      <c r="F597" s="146" t="str">
        <f t="shared" si="45"/>
        <v>2005-06</v>
      </c>
      <c r="G597" s="1"/>
      <c r="H597" s="161"/>
      <c r="I597" s="37"/>
      <c r="J597" s="135">
        <f t="shared" si="44"/>
        <v>0.76382508261777382</v>
      </c>
      <c r="K597" s="112"/>
      <c r="L597" s="37">
        <v>111.22310595899999</v>
      </c>
      <c r="M597" s="37" t="s">
        <v>288</v>
      </c>
      <c r="N597" s="37">
        <v>4416.6341463414628</v>
      </c>
      <c r="O597" s="130">
        <f t="shared" si="46"/>
        <v>491231.76764067402</v>
      </c>
      <c r="P597" s="132">
        <f t="shared" si="47"/>
        <v>363208.44194262731</v>
      </c>
      <c r="Q597" s="261">
        <v>0.96800048264602367</v>
      </c>
      <c r="R597" s="92"/>
    </row>
    <row r="598" spans="1:18" x14ac:dyDescent="0.25">
      <c r="A598" s="353">
        <v>2005</v>
      </c>
      <c r="B598" s="353" t="s">
        <v>285</v>
      </c>
      <c r="C598" s="263" t="s">
        <v>662</v>
      </c>
      <c r="D598" s="157" t="s">
        <v>664</v>
      </c>
      <c r="E598" s="44">
        <v>38533</v>
      </c>
      <c r="F598" s="146" t="str">
        <f t="shared" si="45"/>
        <v>2004-05</v>
      </c>
      <c r="G598" s="1"/>
      <c r="H598" s="161"/>
      <c r="I598" s="37"/>
      <c r="J598" s="135">
        <f t="shared" si="44"/>
        <v>0.76382508261777382</v>
      </c>
      <c r="K598" s="112"/>
      <c r="L598" s="37">
        <v>99.718098221899993</v>
      </c>
      <c r="M598" s="37" t="s">
        <v>288</v>
      </c>
      <c r="N598" s="37">
        <v>1472.130322700815</v>
      </c>
      <c r="O598" s="130">
        <f t="shared" si="46"/>
        <v>146798.03611451719</v>
      </c>
      <c r="P598" s="132">
        <f t="shared" si="47"/>
        <v>108539.97947541649</v>
      </c>
      <c r="Q598" s="261">
        <v>0.96800048264602367</v>
      </c>
      <c r="R598" s="92"/>
    </row>
    <row r="599" spans="1:18" x14ac:dyDescent="0.25">
      <c r="A599" s="353">
        <v>2005</v>
      </c>
      <c r="B599" s="353" t="s">
        <v>285</v>
      </c>
      <c r="C599" s="263" t="s">
        <v>662</v>
      </c>
      <c r="D599" s="157" t="s">
        <v>663</v>
      </c>
      <c r="E599" s="44">
        <v>38533</v>
      </c>
      <c r="F599" s="146" t="str">
        <f t="shared" si="45"/>
        <v>2004-05</v>
      </c>
      <c r="G599" s="1"/>
      <c r="H599" s="161"/>
      <c r="I599" s="37"/>
      <c r="J599" s="135">
        <f t="shared" si="44"/>
        <v>0.76382508261777382</v>
      </c>
      <c r="K599" s="112"/>
      <c r="L599" s="37">
        <v>54.846777363199998</v>
      </c>
      <c r="M599" s="37" t="s">
        <v>288</v>
      </c>
      <c r="N599" s="37">
        <v>634.59447171129227</v>
      </c>
      <c r="O599" s="130">
        <f t="shared" si="46"/>
        <v>34805.461705866765</v>
      </c>
      <c r="P599" s="132">
        <f t="shared" si="47"/>
        <v>25734.568385098308</v>
      </c>
      <c r="Q599" s="261">
        <v>0.96800048264602367</v>
      </c>
      <c r="R599" s="92"/>
    </row>
    <row r="600" spans="1:18" x14ac:dyDescent="0.25">
      <c r="A600" s="353">
        <v>38667</v>
      </c>
      <c r="B600" s="353" t="s">
        <v>285</v>
      </c>
      <c r="C600" s="263" t="s">
        <v>662</v>
      </c>
      <c r="D600" s="157" t="s">
        <v>664</v>
      </c>
      <c r="E600" s="44">
        <v>38667</v>
      </c>
      <c r="F600" s="146" t="str">
        <f t="shared" si="45"/>
        <v>2005-06</v>
      </c>
      <c r="G600" s="1"/>
      <c r="H600" s="161"/>
      <c r="I600" s="37"/>
      <c r="J600" s="135">
        <f t="shared" si="44"/>
        <v>0.76382508261777382</v>
      </c>
      <c r="K600" s="112"/>
      <c r="L600" s="37">
        <v>73.417729230800006</v>
      </c>
      <c r="M600" s="37" t="s">
        <v>288</v>
      </c>
      <c r="N600" s="37">
        <v>4416.6341463414628</v>
      </c>
      <c r="O600" s="130">
        <f t="shared" si="46"/>
        <v>324259.24986760307</v>
      </c>
      <c r="P600" s="132">
        <f t="shared" si="47"/>
        <v>239751.79271395624</v>
      </c>
      <c r="Q600" s="261">
        <v>0.96800048264602367</v>
      </c>
      <c r="R600" s="92"/>
    </row>
    <row r="601" spans="1:18" x14ac:dyDescent="0.25">
      <c r="A601" s="353">
        <v>2005</v>
      </c>
      <c r="B601" s="353" t="s">
        <v>285</v>
      </c>
      <c r="C601" s="263" t="s">
        <v>662</v>
      </c>
      <c r="D601" s="157" t="s">
        <v>664</v>
      </c>
      <c r="E601" s="44">
        <v>38533</v>
      </c>
      <c r="F601" s="146" t="str">
        <f t="shared" si="45"/>
        <v>2004-05</v>
      </c>
      <c r="G601" s="1"/>
      <c r="H601" s="161"/>
      <c r="I601" s="37"/>
      <c r="J601" s="135">
        <f t="shared" ref="J601:J664" si="48">J600</f>
        <v>0.76382508261777382</v>
      </c>
      <c r="K601" s="112"/>
      <c r="L601" s="37">
        <v>52.788154021499999</v>
      </c>
      <c r="M601" s="37" t="s">
        <v>288</v>
      </c>
      <c r="N601" s="37">
        <v>1472.130322700815</v>
      </c>
      <c r="O601" s="130">
        <f t="shared" si="46"/>
        <v>77711.04221445111</v>
      </c>
      <c r="P601" s="132">
        <f t="shared" si="47"/>
        <v>57458.227304824381</v>
      </c>
      <c r="Q601" s="261">
        <v>0.96800048264602367</v>
      </c>
      <c r="R601" s="92"/>
    </row>
    <row r="602" spans="1:18" x14ac:dyDescent="0.25">
      <c r="A602" s="353">
        <v>2005</v>
      </c>
      <c r="B602" s="353" t="s">
        <v>285</v>
      </c>
      <c r="C602" s="263" t="s">
        <v>662</v>
      </c>
      <c r="D602" s="157" t="s">
        <v>664</v>
      </c>
      <c r="E602" s="44">
        <v>38533</v>
      </c>
      <c r="F602" s="146" t="str">
        <f t="shared" si="45"/>
        <v>2004-05</v>
      </c>
      <c r="G602" s="1"/>
      <c r="H602" s="161"/>
      <c r="I602" s="37"/>
      <c r="J602" s="135">
        <f t="shared" si="48"/>
        <v>0.76382508261777382</v>
      </c>
      <c r="K602" s="112"/>
      <c r="L602" s="37">
        <v>43.243411983800002</v>
      </c>
      <c r="M602" s="37" t="s">
        <v>288</v>
      </c>
      <c r="N602" s="37">
        <v>1472.130322700815</v>
      </c>
      <c r="O602" s="130">
        <f t="shared" si="46"/>
        <v>63659.938038395783</v>
      </c>
      <c r="P602" s="132">
        <f t="shared" si="47"/>
        <v>47069.0790624988</v>
      </c>
      <c r="Q602" s="261">
        <v>0.96800048264602367</v>
      </c>
      <c r="R602" s="92"/>
    </row>
    <row r="603" spans="1:18" x14ac:dyDescent="0.25">
      <c r="A603" s="353">
        <v>2005</v>
      </c>
      <c r="B603" s="353" t="s">
        <v>285</v>
      </c>
      <c r="C603" s="263" t="s">
        <v>662</v>
      </c>
      <c r="D603" s="157" t="s">
        <v>663</v>
      </c>
      <c r="E603" s="44">
        <v>38533</v>
      </c>
      <c r="F603" s="146" t="str">
        <f t="shared" si="45"/>
        <v>2004-05</v>
      </c>
      <c r="G603" s="1"/>
      <c r="H603" s="161"/>
      <c r="I603" s="37"/>
      <c r="J603" s="135">
        <f t="shared" si="48"/>
        <v>0.76382508261777382</v>
      </c>
      <c r="K603" s="112"/>
      <c r="L603" s="37">
        <v>48.566125288800002</v>
      </c>
      <c r="M603" s="37" t="s">
        <v>288</v>
      </c>
      <c r="N603" s="37">
        <v>634.59447171129227</v>
      </c>
      <c r="O603" s="130">
        <f t="shared" si="46"/>
        <v>30819.794620710469</v>
      </c>
      <c r="P603" s="132">
        <f t="shared" si="47"/>
        <v>22787.633704846638</v>
      </c>
      <c r="Q603" s="261">
        <v>0.96800048264602367</v>
      </c>
      <c r="R603" s="92"/>
    </row>
    <row r="604" spans="1:18" x14ac:dyDescent="0.25">
      <c r="A604" s="353">
        <v>38667</v>
      </c>
      <c r="B604" s="353" t="s">
        <v>285</v>
      </c>
      <c r="C604" s="263" t="s">
        <v>662</v>
      </c>
      <c r="D604" s="157" t="s">
        <v>663</v>
      </c>
      <c r="E604" s="44">
        <v>38667</v>
      </c>
      <c r="F604" s="146" t="str">
        <f t="shared" si="45"/>
        <v>2005-06</v>
      </c>
      <c r="G604" s="1"/>
      <c r="H604" s="161"/>
      <c r="I604" s="37"/>
      <c r="J604" s="135">
        <f t="shared" si="48"/>
        <v>0.76382508261777382</v>
      </c>
      <c r="K604" s="112"/>
      <c r="L604" s="37">
        <v>33.271039719299999</v>
      </c>
      <c r="M604" s="37" t="s">
        <v>288</v>
      </c>
      <c r="N604" s="37">
        <v>3336.4019512195118</v>
      </c>
      <c r="O604" s="130">
        <f t="shared" si="46"/>
        <v>111005.5618385744</v>
      </c>
      <c r="P604" s="132">
        <f t="shared" si="47"/>
        <v>82075.630727218115</v>
      </c>
      <c r="Q604" s="261">
        <v>0.96800048264602367</v>
      </c>
      <c r="R604" s="92"/>
    </row>
    <row r="605" spans="1:18" x14ac:dyDescent="0.25">
      <c r="A605" s="353">
        <v>38667</v>
      </c>
      <c r="B605" s="353" t="s">
        <v>285</v>
      </c>
      <c r="C605" s="263" t="s">
        <v>662</v>
      </c>
      <c r="D605" s="157" t="s">
        <v>663</v>
      </c>
      <c r="E605" s="44">
        <v>38667</v>
      </c>
      <c r="F605" s="146" t="str">
        <f t="shared" si="45"/>
        <v>2005-06</v>
      </c>
      <c r="G605" s="1"/>
      <c r="H605" s="161"/>
      <c r="I605" s="37"/>
      <c r="J605" s="135">
        <f t="shared" si="48"/>
        <v>0.76382508261777382</v>
      </c>
      <c r="K605" s="112"/>
      <c r="L605" s="37">
        <v>22.6240694848</v>
      </c>
      <c r="M605" s="37" t="s">
        <v>288</v>
      </c>
      <c r="N605" s="37">
        <v>3875.3912195121943</v>
      </c>
      <c r="O605" s="130">
        <f t="shared" si="46"/>
        <v>87677.120231027686</v>
      </c>
      <c r="P605" s="132">
        <f t="shared" si="47"/>
        <v>64826.976451616603</v>
      </c>
      <c r="Q605" s="261">
        <v>0.96800048264602367</v>
      </c>
      <c r="R605" s="92"/>
    </row>
    <row r="606" spans="1:18" x14ac:dyDescent="0.25">
      <c r="A606" s="353">
        <v>38667</v>
      </c>
      <c r="B606" s="353" t="s">
        <v>285</v>
      </c>
      <c r="C606" s="263" t="s">
        <v>662</v>
      </c>
      <c r="D606" s="157" t="s">
        <v>663</v>
      </c>
      <c r="E606" s="44">
        <v>38667</v>
      </c>
      <c r="F606" s="146" t="str">
        <f t="shared" si="45"/>
        <v>2005-06</v>
      </c>
      <c r="G606" s="1"/>
      <c r="H606" s="161"/>
      <c r="I606" s="37"/>
      <c r="J606" s="135">
        <f t="shared" si="48"/>
        <v>0.76382508261777382</v>
      </c>
      <c r="K606" s="112"/>
      <c r="L606" s="37">
        <v>8.8894328840500005</v>
      </c>
      <c r="M606" s="37" t="s">
        <v>288</v>
      </c>
      <c r="N606" s="37">
        <v>3875.3912195121943</v>
      </c>
      <c r="O606" s="130">
        <f t="shared" si="46"/>
        <v>34450.030145290337</v>
      </c>
      <c r="P606" s="132">
        <f t="shared" si="47"/>
        <v>25471.768314259582</v>
      </c>
      <c r="Q606" s="261">
        <v>0.96800048264602367</v>
      </c>
      <c r="R606" s="92"/>
    </row>
    <row r="607" spans="1:18" x14ac:dyDescent="0.25">
      <c r="A607" s="353">
        <v>38667</v>
      </c>
      <c r="B607" s="353" t="s">
        <v>285</v>
      </c>
      <c r="C607" s="263" t="s">
        <v>662</v>
      </c>
      <c r="D607" s="157" t="s">
        <v>663</v>
      </c>
      <c r="E607" s="44">
        <v>38667</v>
      </c>
      <c r="F607" s="146" t="str">
        <f t="shared" si="45"/>
        <v>2005-06</v>
      </c>
      <c r="G607" s="1"/>
      <c r="H607" s="161"/>
      <c r="I607" s="37"/>
      <c r="J607" s="135">
        <f t="shared" si="48"/>
        <v>0.76382508261777382</v>
      </c>
      <c r="K607" s="112"/>
      <c r="L607" s="37">
        <v>12.950046910699999</v>
      </c>
      <c r="M607" s="37" t="s">
        <v>288</v>
      </c>
      <c r="N607" s="37">
        <v>3592.3639024390236</v>
      </c>
      <c r="O607" s="130">
        <f t="shared" si="46"/>
        <v>46521.281056890672</v>
      </c>
      <c r="P607" s="132">
        <f t="shared" si="47"/>
        <v>34397.04661407011</v>
      </c>
      <c r="Q607" s="261">
        <v>0.96800048264602367</v>
      </c>
      <c r="R607" s="92"/>
    </row>
    <row r="608" spans="1:18" x14ac:dyDescent="0.25">
      <c r="A608" s="353">
        <v>2005</v>
      </c>
      <c r="B608" s="353" t="s">
        <v>285</v>
      </c>
      <c r="C608" s="263" t="s">
        <v>662</v>
      </c>
      <c r="D608" s="157" t="s">
        <v>663</v>
      </c>
      <c r="E608" s="44">
        <v>38533</v>
      </c>
      <c r="F608" s="146" t="str">
        <f t="shared" si="45"/>
        <v>2004-05</v>
      </c>
      <c r="G608" s="1"/>
      <c r="H608" s="161"/>
      <c r="I608" s="37"/>
      <c r="J608" s="135">
        <f t="shared" si="48"/>
        <v>0.76382508261777382</v>
      </c>
      <c r="K608" s="112"/>
      <c r="L608" s="37">
        <v>25.144945608800001</v>
      </c>
      <c r="M608" s="37" t="s">
        <v>288</v>
      </c>
      <c r="N608" s="37">
        <v>563.72605355064024</v>
      </c>
      <c r="O608" s="130">
        <f t="shared" si="46"/>
        <v>14174.860954794325</v>
      </c>
      <c r="P608" s="132">
        <f t="shared" si="47"/>
        <v>10480.651906678397</v>
      </c>
      <c r="Q608" s="261">
        <v>0.96800048264602367</v>
      </c>
      <c r="R608" s="92"/>
    </row>
    <row r="609" spans="1:18" x14ac:dyDescent="0.25">
      <c r="A609" s="353">
        <v>2005</v>
      </c>
      <c r="B609" s="353" t="s">
        <v>285</v>
      </c>
      <c r="C609" s="263" t="s">
        <v>662</v>
      </c>
      <c r="D609" s="157" t="s">
        <v>663</v>
      </c>
      <c r="E609" s="44">
        <v>38533</v>
      </c>
      <c r="F609" s="146" t="str">
        <f t="shared" si="45"/>
        <v>2004-05</v>
      </c>
      <c r="G609" s="1"/>
      <c r="H609" s="161"/>
      <c r="I609" s="37"/>
      <c r="J609" s="135">
        <f t="shared" si="48"/>
        <v>0.76382508261777382</v>
      </c>
      <c r="K609" s="112"/>
      <c r="L609" s="37">
        <v>27.9792638395</v>
      </c>
      <c r="M609" s="37" t="s">
        <v>288</v>
      </c>
      <c r="N609" s="37">
        <v>563.72605355064024</v>
      </c>
      <c r="O609" s="130">
        <f t="shared" si="46"/>
        <v>15772.63998549347</v>
      </c>
      <c r="P609" s="132">
        <f t="shared" si="47"/>
        <v>11662.022637435644</v>
      </c>
      <c r="Q609" s="261">
        <v>0.96800048264602367</v>
      </c>
      <c r="R609" s="92"/>
    </row>
    <row r="610" spans="1:18" x14ac:dyDescent="0.25">
      <c r="A610" s="353">
        <v>2005</v>
      </c>
      <c r="B610" s="353" t="s">
        <v>285</v>
      </c>
      <c r="C610" s="263" t="s">
        <v>662</v>
      </c>
      <c r="D610" s="157" t="s">
        <v>663</v>
      </c>
      <c r="E610" s="44">
        <v>38533</v>
      </c>
      <c r="F610" s="146" t="str">
        <f t="shared" si="45"/>
        <v>2004-05</v>
      </c>
      <c r="G610" s="1"/>
      <c r="H610" s="161"/>
      <c r="I610" s="37"/>
      <c r="J610" s="135">
        <f t="shared" si="48"/>
        <v>0.76382508261777382</v>
      </c>
      <c r="K610" s="112"/>
      <c r="L610" s="37">
        <v>32.441382661699997</v>
      </c>
      <c r="M610" s="37" t="s">
        <v>288</v>
      </c>
      <c r="N610" s="37">
        <v>563.72605355064024</v>
      </c>
      <c r="O610" s="130">
        <f t="shared" si="46"/>
        <v>18288.052619606304</v>
      </c>
      <c r="P610" s="132">
        <f t="shared" si="47"/>
        <v>13521.876099411287</v>
      </c>
      <c r="Q610" s="261">
        <v>0.96800048264602367</v>
      </c>
      <c r="R610" s="92"/>
    </row>
    <row r="611" spans="1:18" x14ac:dyDescent="0.25">
      <c r="A611" s="353">
        <v>2005</v>
      </c>
      <c r="B611" s="353" t="s">
        <v>285</v>
      </c>
      <c r="C611" s="263" t="s">
        <v>662</v>
      </c>
      <c r="D611" s="157" t="s">
        <v>664</v>
      </c>
      <c r="E611" s="44">
        <v>38533</v>
      </c>
      <c r="F611" s="146" t="str">
        <f t="shared" si="45"/>
        <v>2004-05</v>
      </c>
      <c r="G611" s="1"/>
      <c r="H611" s="161"/>
      <c r="I611" s="37"/>
      <c r="J611" s="135">
        <f t="shared" si="48"/>
        <v>0.76382508261777382</v>
      </c>
      <c r="K611" s="112"/>
      <c r="L611" s="37">
        <v>59.570729053800001</v>
      </c>
      <c r="M611" s="37" t="s">
        <v>288</v>
      </c>
      <c r="N611" s="37">
        <v>1472.130322700815</v>
      </c>
      <c r="O611" s="130">
        <f t="shared" si="46"/>
        <v>87695.876585493417</v>
      </c>
      <c r="P611" s="132">
        <f t="shared" si="47"/>
        <v>64840.844582162681</v>
      </c>
      <c r="Q611" s="261">
        <v>0.96800048264602367</v>
      </c>
      <c r="R611" s="92"/>
    </row>
    <row r="612" spans="1:18" x14ac:dyDescent="0.25">
      <c r="A612" s="353">
        <v>38667</v>
      </c>
      <c r="B612" s="353" t="s">
        <v>285</v>
      </c>
      <c r="C612" s="263" t="s">
        <v>662</v>
      </c>
      <c r="D612" s="157" t="s">
        <v>664</v>
      </c>
      <c r="E612" s="44">
        <v>38667</v>
      </c>
      <c r="F612" s="146" t="str">
        <f t="shared" si="45"/>
        <v>2005-06</v>
      </c>
      <c r="G612" s="1"/>
      <c r="H612" s="161"/>
      <c r="I612" s="37"/>
      <c r="J612" s="135">
        <f t="shared" si="48"/>
        <v>0.76382508261777382</v>
      </c>
      <c r="K612" s="112"/>
      <c r="L612" s="37">
        <v>68.252007862200003</v>
      </c>
      <c r="M612" s="37" t="s">
        <v>288</v>
      </c>
      <c r="N612" s="37">
        <v>4416.6341463414628</v>
      </c>
      <c r="O612" s="130">
        <f t="shared" si="46"/>
        <v>301444.14848055854</v>
      </c>
      <c r="P612" s="132">
        <f t="shared" si="47"/>
        <v>222882.69349557461</v>
      </c>
      <c r="Q612" s="261">
        <v>0.96800048264602367</v>
      </c>
      <c r="R612" s="92"/>
    </row>
    <row r="613" spans="1:18" x14ac:dyDescent="0.25">
      <c r="A613" s="353">
        <v>2005</v>
      </c>
      <c r="B613" s="353" t="s">
        <v>285</v>
      </c>
      <c r="C613" s="263" t="s">
        <v>662</v>
      </c>
      <c r="D613" s="157" t="s">
        <v>663</v>
      </c>
      <c r="E613" s="44">
        <v>38533</v>
      </c>
      <c r="F613" s="146" t="str">
        <f t="shared" si="45"/>
        <v>2004-05</v>
      </c>
      <c r="G613" s="1"/>
      <c r="H613" s="161"/>
      <c r="I613" s="37"/>
      <c r="J613" s="135">
        <f t="shared" si="48"/>
        <v>0.76382508261777382</v>
      </c>
      <c r="K613" s="112"/>
      <c r="L613" s="37">
        <v>12.154257361100001</v>
      </c>
      <c r="M613" s="37" t="s">
        <v>288</v>
      </c>
      <c r="N613" s="37">
        <v>563.72605355064024</v>
      </c>
      <c r="O613" s="130">
        <f t="shared" si="46"/>
        <v>6851.6715360117223</v>
      </c>
      <c r="P613" s="132">
        <f t="shared" si="47"/>
        <v>5066.0097885155801</v>
      </c>
      <c r="Q613" s="261">
        <v>0.96800048264602367</v>
      </c>
      <c r="R613" s="92"/>
    </row>
    <row r="614" spans="1:18" x14ac:dyDescent="0.25">
      <c r="A614" s="353">
        <v>2005</v>
      </c>
      <c r="B614" s="353" t="s">
        <v>285</v>
      </c>
      <c r="C614" s="263" t="s">
        <v>662</v>
      </c>
      <c r="D614" s="157" t="s">
        <v>664</v>
      </c>
      <c r="E614" s="44">
        <v>38533</v>
      </c>
      <c r="F614" s="146" t="str">
        <f t="shared" si="45"/>
        <v>2004-05</v>
      </c>
      <c r="G614" s="1"/>
      <c r="H614" s="161"/>
      <c r="I614" s="37"/>
      <c r="J614" s="135">
        <f t="shared" si="48"/>
        <v>0.76382508261777382</v>
      </c>
      <c r="K614" s="112"/>
      <c r="L614" s="37">
        <v>51.754626624099998</v>
      </c>
      <c r="M614" s="37" t="s">
        <v>288</v>
      </c>
      <c r="N614" s="37">
        <v>1472.130322700815</v>
      </c>
      <c r="O614" s="130">
        <f t="shared" si="46"/>
        <v>76189.555193396518</v>
      </c>
      <c r="P614" s="132">
        <f t="shared" si="47"/>
        <v>56333.265592744319</v>
      </c>
      <c r="Q614" s="261">
        <v>0.96800048264602367</v>
      </c>
      <c r="R614" s="92"/>
    </row>
    <row r="615" spans="1:18" x14ac:dyDescent="0.25">
      <c r="A615" s="353">
        <v>2005</v>
      </c>
      <c r="B615" s="353" t="s">
        <v>285</v>
      </c>
      <c r="C615" s="263" t="s">
        <v>662</v>
      </c>
      <c r="D615" s="157" t="s">
        <v>663</v>
      </c>
      <c r="E615" s="44">
        <v>38533</v>
      </c>
      <c r="F615" s="146" t="str">
        <f t="shared" si="45"/>
        <v>2004-05</v>
      </c>
      <c r="G615" s="1"/>
      <c r="H615" s="161"/>
      <c r="I615" s="37"/>
      <c r="J615" s="135">
        <f t="shared" si="48"/>
        <v>0.76382508261777382</v>
      </c>
      <c r="K615" s="112"/>
      <c r="L615" s="37">
        <v>34.888186039499999</v>
      </c>
      <c r="M615" s="37" t="s">
        <v>288</v>
      </c>
      <c r="N615" s="37">
        <v>563.72605355064024</v>
      </c>
      <c r="O615" s="130">
        <f t="shared" si="46"/>
        <v>19667.379431587877</v>
      </c>
      <c r="P615" s="132">
        <f t="shared" si="47"/>
        <v>14541.726962712899</v>
      </c>
      <c r="Q615" s="261">
        <v>0.96800048264602367</v>
      </c>
      <c r="R615" s="92"/>
    </row>
    <row r="616" spans="1:18" x14ac:dyDescent="0.25">
      <c r="A616" s="353">
        <v>2005</v>
      </c>
      <c r="B616" s="353" t="s">
        <v>285</v>
      </c>
      <c r="C616" s="263" t="s">
        <v>662</v>
      </c>
      <c r="D616" s="157" t="s">
        <v>663</v>
      </c>
      <c r="E616" s="44">
        <v>38533</v>
      </c>
      <c r="F616" s="146" t="str">
        <f t="shared" si="45"/>
        <v>2004-05</v>
      </c>
      <c r="G616" s="1"/>
      <c r="H616" s="161"/>
      <c r="I616" s="37"/>
      <c r="J616" s="135">
        <f t="shared" si="48"/>
        <v>0.76382508261777382</v>
      </c>
      <c r="K616" s="112"/>
      <c r="L616" s="37">
        <v>38.004037538699997</v>
      </c>
      <c r="M616" s="37" t="s">
        <v>288</v>
      </c>
      <c r="N616" s="37">
        <v>563.72605355064024</v>
      </c>
      <c r="O616" s="130">
        <f t="shared" si="46"/>
        <v>21423.866100681738</v>
      </c>
      <c r="P616" s="132">
        <f t="shared" si="47"/>
        <v>15840.443430987481</v>
      </c>
      <c r="Q616" s="261">
        <v>0.96800048264602367</v>
      </c>
      <c r="R616" s="92"/>
    </row>
    <row r="617" spans="1:18" x14ac:dyDescent="0.25">
      <c r="A617" s="353">
        <v>2005</v>
      </c>
      <c r="B617" s="353" t="s">
        <v>285</v>
      </c>
      <c r="C617" s="263" t="s">
        <v>662</v>
      </c>
      <c r="D617" s="157" t="s">
        <v>663</v>
      </c>
      <c r="E617" s="44">
        <v>38533</v>
      </c>
      <c r="F617" s="146" t="str">
        <f t="shared" si="45"/>
        <v>2004-05</v>
      </c>
      <c r="G617" s="1"/>
      <c r="H617" s="161"/>
      <c r="I617" s="37"/>
      <c r="J617" s="135">
        <f t="shared" si="48"/>
        <v>0.76382508261777382</v>
      </c>
      <c r="K617" s="112"/>
      <c r="L617" s="37">
        <v>33.006723522800002</v>
      </c>
      <c r="M617" s="37" t="s">
        <v>288</v>
      </c>
      <c r="N617" s="37">
        <v>563.72605355064024</v>
      </c>
      <c r="O617" s="130">
        <f t="shared" si="46"/>
        <v>18606.749992145131</v>
      </c>
      <c r="P617" s="132">
        <f t="shared" si="47"/>
        <v>13757.515534309781</v>
      </c>
      <c r="Q617" s="261">
        <v>0.96800048264602367</v>
      </c>
      <c r="R617" s="92"/>
    </row>
    <row r="618" spans="1:18" x14ac:dyDescent="0.25">
      <c r="A618" s="353">
        <v>38667</v>
      </c>
      <c r="B618" s="353" t="s">
        <v>285</v>
      </c>
      <c r="C618" s="263" t="s">
        <v>662</v>
      </c>
      <c r="D618" s="157" t="s">
        <v>663</v>
      </c>
      <c r="E618" s="44">
        <v>38667</v>
      </c>
      <c r="F618" s="146" t="str">
        <f t="shared" si="45"/>
        <v>2005-06</v>
      </c>
      <c r="G618" s="1"/>
      <c r="H618" s="161"/>
      <c r="I618" s="37"/>
      <c r="J618" s="135">
        <f t="shared" si="48"/>
        <v>0.76382508261777382</v>
      </c>
      <c r="K618" s="112"/>
      <c r="L618" s="37">
        <v>30.135687461100002</v>
      </c>
      <c r="M618" s="37" t="s">
        <v>288</v>
      </c>
      <c r="N618" s="37">
        <v>3592.3639024390236</v>
      </c>
      <c r="O618" s="130">
        <f t="shared" si="46"/>
        <v>108258.35581043996</v>
      </c>
      <c r="P618" s="132">
        <f t="shared" si="47"/>
        <v>80044.393158918218</v>
      </c>
      <c r="Q618" s="261">
        <v>0.96800048264602367</v>
      </c>
      <c r="R618" s="92"/>
    </row>
    <row r="619" spans="1:18" x14ac:dyDescent="0.25">
      <c r="A619" s="353">
        <v>2005</v>
      </c>
      <c r="B619" s="353" t="s">
        <v>285</v>
      </c>
      <c r="C619" s="263" t="s">
        <v>662</v>
      </c>
      <c r="D619" s="157" t="s">
        <v>663</v>
      </c>
      <c r="E619" s="44">
        <v>38533</v>
      </c>
      <c r="F619" s="146" t="str">
        <f t="shared" si="45"/>
        <v>2004-05</v>
      </c>
      <c r="G619" s="1"/>
      <c r="H619" s="161"/>
      <c r="I619" s="37"/>
      <c r="J619" s="135">
        <f t="shared" si="48"/>
        <v>0.76382508261777382</v>
      </c>
      <c r="K619" s="112"/>
      <c r="L619" s="37">
        <v>18.977511568400001</v>
      </c>
      <c r="M619" s="37" t="s">
        <v>288</v>
      </c>
      <c r="N619" s="37">
        <v>563.72605355064024</v>
      </c>
      <c r="O619" s="130">
        <f t="shared" si="46"/>
        <v>10698.117702665753</v>
      </c>
      <c r="P619" s="132">
        <f t="shared" si="47"/>
        <v>7910.0068816118155</v>
      </c>
      <c r="Q619" s="261">
        <v>0.96800048264602367</v>
      </c>
      <c r="R619" s="92"/>
    </row>
    <row r="620" spans="1:18" x14ac:dyDescent="0.25">
      <c r="A620" s="353">
        <v>2005</v>
      </c>
      <c r="B620" s="353" t="s">
        <v>285</v>
      </c>
      <c r="C620" s="263" t="s">
        <v>662</v>
      </c>
      <c r="D620" s="157" t="s">
        <v>663</v>
      </c>
      <c r="E620" s="44">
        <v>38533</v>
      </c>
      <c r="F620" s="146" t="str">
        <f t="shared" si="45"/>
        <v>2004-05</v>
      </c>
      <c r="G620" s="1"/>
      <c r="H620" s="161"/>
      <c r="I620" s="37"/>
      <c r="J620" s="135">
        <f t="shared" si="48"/>
        <v>0.76382508261777382</v>
      </c>
      <c r="K620" s="112"/>
      <c r="L620" s="37">
        <v>34.281832506400001</v>
      </c>
      <c r="M620" s="37" t="s">
        <v>288</v>
      </c>
      <c r="N620" s="37">
        <v>563.72605355064024</v>
      </c>
      <c r="O620" s="130">
        <f t="shared" si="46"/>
        <v>19325.562147316927</v>
      </c>
      <c r="P620" s="132">
        <f t="shared" si="47"/>
        <v>14288.993056993826</v>
      </c>
      <c r="Q620" s="261">
        <v>0.96800048264602367</v>
      </c>
      <c r="R620" s="92"/>
    </row>
    <row r="621" spans="1:18" x14ac:dyDescent="0.25">
      <c r="A621" s="353">
        <v>2005</v>
      </c>
      <c r="B621" s="353" t="s">
        <v>285</v>
      </c>
      <c r="C621" s="263" t="s">
        <v>662</v>
      </c>
      <c r="D621" s="157" t="s">
        <v>663</v>
      </c>
      <c r="E621" s="44">
        <v>38533</v>
      </c>
      <c r="F621" s="146" t="str">
        <f t="shared" si="45"/>
        <v>2004-05</v>
      </c>
      <c r="G621" s="1"/>
      <c r="H621" s="161"/>
      <c r="I621" s="37"/>
      <c r="J621" s="135">
        <f t="shared" si="48"/>
        <v>0.76382508261777382</v>
      </c>
      <c r="K621" s="112"/>
      <c r="L621" s="37">
        <v>21.7989611454</v>
      </c>
      <c r="M621" s="37" t="s">
        <v>288</v>
      </c>
      <c r="N621" s="37">
        <v>563.72605355064024</v>
      </c>
      <c r="O621" s="130">
        <f t="shared" si="46"/>
        <v>12288.642338000087</v>
      </c>
      <c r="P621" s="132">
        <f t="shared" si="47"/>
        <v>9086.0138354082537</v>
      </c>
      <c r="Q621" s="261">
        <v>0.96800048264602367</v>
      </c>
      <c r="R621" s="92"/>
    </row>
    <row r="622" spans="1:18" x14ac:dyDescent="0.25">
      <c r="A622" s="353">
        <v>2005</v>
      </c>
      <c r="B622" s="353" t="s">
        <v>285</v>
      </c>
      <c r="C622" s="263" t="s">
        <v>662</v>
      </c>
      <c r="D622" s="157" t="s">
        <v>663</v>
      </c>
      <c r="E622" s="44">
        <v>38533</v>
      </c>
      <c r="F622" s="146" t="str">
        <f t="shared" si="45"/>
        <v>2004-05</v>
      </c>
      <c r="G622" s="1"/>
      <c r="H622" s="161"/>
      <c r="I622" s="37"/>
      <c r="J622" s="135">
        <f t="shared" si="48"/>
        <v>0.76382508261777382</v>
      </c>
      <c r="K622" s="112"/>
      <c r="L622" s="37">
        <v>20.022380003399999</v>
      </c>
      <c r="M622" s="37" t="s">
        <v>288</v>
      </c>
      <c r="N622" s="37">
        <v>563.72605355064024</v>
      </c>
      <c r="O622" s="130">
        <f t="shared" si="46"/>
        <v>11287.137262007936</v>
      </c>
      <c r="P622" s="132">
        <f t="shared" si="47"/>
        <v>8345.5179591016113</v>
      </c>
      <c r="Q622" s="261">
        <v>0.96800048264602367</v>
      </c>
      <c r="R622" s="92"/>
    </row>
    <row r="623" spans="1:18" x14ac:dyDescent="0.25">
      <c r="A623" s="353">
        <v>2005</v>
      </c>
      <c r="B623" s="353" t="s">
        <v>285</v>
      </c>
      <c r="C623" s="263" t="s">
        <v>662</v>
      </c>
      <c r="D623" s="157" t="s">
        <v>663</v>
      </c>
      <c r="E623" s="44">
        <v>38533</v>
      </c>
      <c r="F623" s="146" t="str">
        <f t="shared" si="45"/>
        <v>2004-05</v>
      </c>
      <c r="G623" s="1"/>
      <c r="H623" s="161"/>
      <c r="I623" s="37"/>
      <c r="J623" s="135">
        <f t="shared" si="48"/>
        <v>0.76382508261777382</v>
      </c>
      <c r="K623" s="112"/>
      <c r="L623" s="37">
        <v>27.843902115199999</v>
      </c>
      <c r="M623" s="37" t="s">
        <v>288</v>
      </c>
      <c r="N623" s="37">
        <v>563.72605355064024</v>
      </c>
      <c r="O623" s="130">
        <f t="shared" si="46"/>
        <v>15696.333054852019</v>
      </c>
      <c r="P623" s="132">
        <f t="shared" si="47"/>
        <v>11605.602586426283</v>
      </c>
      <c r="Q623" s="261">
        <v>0.96800048264602367</v>
      </c>
      <c r="R623" s="92"/>
    </row>
    <row r="624" spans="1:18" x14ac:dyDescent="0.25">
      <c r="A624" s="353">
        <v>2005</v>
      </c>
      <c r="B624" s="353" t="s">
        <v>285</v>
      </c>
      <c r="C624" s="263" t="s">
        <v>662</v>
      </c>
      <c r="D624" s="157" t="s">
        <v>663</v>
      </c>
      <c r="E624" s="44">
        <v>38533</v>
      </c>
      <c r="F624" s="146" t="str">
        <f t="shared" si="45"/>
        <v>2004-05</v>
      </c>
      <c r="G624" s="1"/>
      <c r="H624" s="161"/>
      <c r="I624" s="37"/>
      <c r="J624" s="135">
        <f t="shared" si="48"/>
        <v>0.76382508261777382</v>
      </c>
      <c r="K624" s="112"/>
      <c r="L624" s="37">
        <v>16.714833771199999</v>
      </c>
      <c r="M624" s="37" t="s">
        <v>288</v>
      </c>
      <c r="N624" s="37">
        <v>563.72605355064024</v>
      </c>
      <c r="O624" s="130">
        <f t="shared" si="46"/>
        <v>9422.5872775935404</v>
      </c>
      <c r="P624" s="132">
        <f t="shared" si="47"/>
        <v>6966.9013073001433</v>
      </c>
      <c r="Q624" s="261">
        <v>0.96800048264602367</v>
      </c>
      <c r="R624" s="92"/>
    </row>
    <row r="625" spans="1:18" x14ac:dyDescent="0.25">
      <c r="A625" s="353">
        <v>2005</v>
      </c>
      <c r="B625" s="353" t="s">
        <v>285</v>
      </c>
      <c r="C625" s="263" t="s">
        <v>662</v>
      </c>
      <c r="D625" s="157" t="s">
        <v>663</v>
      </c>
      <c r="E625" s="44">
        <v>38533</v>
      </c>
      <c r="F625" s="146" t="str">
        <f t="shared" si="45"/>
        <v>2004-05</v>
      </c>
      <c r="G625" s="1"/>
      <c r="H625" s="161"/>
      <c r="I625" s="37"/>
      <c r="J625" s="135">
        <f t="shared" si="48"/>
        <v>0.76382508261777382</v>
      </c>
      <c r="K625" s="112"/>
      <c r="L625" s="37">
        <v>9.7101792465399992</v>
      </c>
      <c r="M625" s="37" t="s">
        <v>288</v>
      </c>
      <c r="N625" s="37">
        <v>563.72605355064024</v>
      </c>
      <c r="O625" s="130">
        <f t="shared" si="46"/>
        <v>5473.8810259213233</v>
      </c>
      <c r="P625" s="132">
        <f t="shared" si="47"/>
        <v>4047.2948407898825</v>
      </c>
      <c r="Q625" s="261">
        <v>0.96800048264602367</v>
      </c>
      <c r="R625" s="92"/>
    </row>
    <row r="626" spans="1:18" x14ac:dyDescent="0.25">
      <c r="A626" s="353">
        <v>38667</v>
      </c>
      <c r="B626" s="353" t="s">
        <v>285</v>
      </c>
      <c r="C626" s="263" t="s">
        <v>662</v>
      </c>
      <c r="D626" s="157" t="s">
        <v>663</v>
      </c>
      <c r="E626" s="44">
        <v>38667</v>
      </c>
      <c r="F626" s="146" t="str">
        <f t="shared" si="45"/>
        <v>2005-06</v>
      </c>
      <c r="G626" s="1"/>
      <c r="H626" s="161"/>
      <c r="I626" s="37"/>
      <c r="J626" s="135">
        <f t="shared" si="48"/>
        <v>0.76382508261777382</v>
      </c>
      <c r="K626" s="112"/>
      <c r="L626" s="37">
        <v>19.930325508399999</v>
      </c>
      <c r="M626" s="37" t="s">
        <v>288</v>
      </c>
      <c r="N626" s="37">
        <v>3336.4019512195118</v>
      </c>
      <c r="O626" s="130">
        <f t="shared" si="46"/>
        <v>66495.576914665769</v>
      </c>
      <c r="P626" s="132">
        <f t="shared" si="47"/>
        <v>49165.702379652292</v>
      </c>
      <c r="Q626" s="261">
        <v>0.96800048264602367</v>
      </c>
      <c r="R626" s="92"/>
    </row>
    <row r="627" spans="1:18" x14ac:dyDescent="0.25">
      <c r="A627" s="353">
        <v>2005</v>
      </c>
      <c r="B627" s="353" t="s">
        <v>285</v>
      </c>
      <c r="C627" s="263" t="s">
        <v>662</v>
      </c>
      <c r="D627" s="157" t="s">
        <v>663</v>
      </c>
      <c r="E627" s="44">
        <v>38533</v>
      </c>
      <c r="F627" s="146" t="str">
        <f t="shared" si="45"/>
        <v>2004-05</v>
      </c>
      <c r="G627" s="1"/>
      <c r="H627" s="161"/>
      <c r="I627" s="37"/>
      <c r="J627" s="135">
        <f t="shared" si="48"/>
        <v>0.76382508261777382</v>
      </c>
      <c r="K627" s="112"/>
      <c r="L627" s="37">
        <v>36.4547540453</v>
      </c>
      <c r="M627" s="37" t="s">
        <v>288</v>
      </c>
      <c r="N627" s="37">
        <v>563.72605355064024</v>
      </c>
      <c r="O627" s="130">
        <f t="shared" si="46"/>
        <v>20550.494631116206</v>
      </c>
      <c r="P627" s="132">
        <f t="shared" si="47"/>
        <v>15194.687371232656</v>
      </c>
      <c r="Q627" s="261">
        <v>0.96800048264602367</v>
      </c>
      <c r="R627" s="92"/>
    </row>
    <row r="628" spans="1:18" x14ac:dyDescent="0.25">
      <c r="A628" s="353">
        <v>2005</v>
      </c>
      <c r="B628" s="353" t="s">
        <v>285</v>
      </c>
      <c r="C628" s="263" t="s">
        <v>662</v>
      </c>
      <c r="D628" s="157" t="s">
        <v>663</v>
      </c>
      <c r="E628" s="44">
        <v>38533</v>
      </c>
      <c r="F628" s="146" t="str">
        <f t="shared" si="45"/>
        <v>2004-05</v>
      </c>
      <c r="G628" s="1"/>
      <c r="H628" s="161"/>
      <c r="I628" s="37"/>
      <c r="J628" s="135">
        <f t="shared" si="48"/>
        <v>0.76382508261777382</v>
      </c>
      <c r="K628" s="112"/>
      <c r="L628" s="37">
        <v>24.8494498409</v>
      </c>
      <c r="M628" s="37" t="s">
        <v>288</v>
      </c>
      <c r="N628" s="37">
        <v>563.72605355064024</v>
      </c>
      <c r="O628" s="130">
        <f t="shared" si="46"/>
        <v>14008.282291715142</v>
      </c>
      <c r="P628" s="132">
        <f t="shared" si="47"/>
        <v>10357.486466934011</v>
      </c>
      <c r="Q628" s="261">
        <v>0.96800048264602367</v>
      </c>
      <c r="R628" s="92"/>
    </row>
    <row r="629" spans="1:18" x14ac:dyDescent="0.25">
      <c r="A629" s="353">
        <v>38667</v>
      </c>
      <c r="B629" s="353" t="s">
        <v>285</v>
      </c>
      <c r="C629" s="263" t="s">
        <v>662</v>
      </c>
      <c r="D629" s="157" t="s">
        <v>663</v>
      </c>
      <c r="E629" s="44">
        <v>38667</v>
      </c>
      <c r="F629" s="146" t="str">
        <f t="shared" si="45"/>
        <v>2005-06</v>
      </c>
      <c r="G629" s="1"/>
      <c r="H629" s="161"/>
      <c r="I629" s="37"/>
      <c r="J629" s="135">
        <f t="shared" si="48"/>
        <v>0.76382508261777382</v>
      </c>
      <c r="K629" s="112"/>
      <c r="L629" s="37">
        <v>29.435366672200001</v>
      </c>
      <c r="M629" s="37" t="s">
        <v>288</v>
      </c>
      <c r="N629" s="37">
        <v>3336.4019512195118</v>
      </c>
      <c r="O629" s="130">
        <f t="shared" si="46"/>
        <v>98208.214799989873</v>
      </c>
      <c r="P629" s="132">
        <f t="shared" si="47"/>
        <v>72613.489259438749</v>
      </c>
      <c r="Q629" s="261">
        <v>0.96800048264602367</v>
      </c>
      <c r="R629" s="92"/>
    </row>
    <row r="630" spans="1:18" x14ac:dyDescent="0.25">
      <c r="A630" s="353">
        <v>2005</v>
      </c>
      <c r="B630" s="353" t="s">
        <v>285</v>
      </c>
      <c r="C630" s="263" t="s">
        <v>662</v>
      </c>
      <c r="D630" s="157" t="s">
        <v>663</v>
      </c>
      <c r="E630" s="44">
        <v>38533</v>
      </c>
      <c r="F630" s="146" t="str">
        <f t="shared" si="45"/>
        <v>2004-05</v>
      </c>
      <c r="G630" s="1"/>
      <c r="H630" s="161"/>
      <c r="I630" s="37"/>
      <c r="J630" s="135">
        <f t="shared" si="48"/>
        <v>0.76382508261777382</v>
      </c>
      <c r="K630" s="112"/>
      <c r="L630" s="37">
        <v>6.4477799280100001</v>
      </c>
      <c r="M630" s="37" t="s">
        <v>288</v>
      </c>
      <c r="N630" s="37">
        <v>563.72605355064024</v>
      </c>
      <c r="O630" s="130">
        <f t="shared" si="46"/>
        <v>3634.7815329801088</v>
      </c>
      <c r="P630" s="132">
        <f t="shared" si="47"/>
        <v>2687.495850963016</v>
      </c>
      <c r="Q630" s="261">
        <v>0.96800048264602367</v>
      </c>
      <c r="R630" s="92"/>
    </row>
    <row r="631" spans="1:18" x14ac:dyDescent="0.25">
      <c r="A631" s="353">
        <v>38667</v>
      </c>
      <c r="B631" s="353" t="s">
        <v>285</v>
      </c>
      <c r="C631" s="263" t="s">
        <v>662</v>
      </c>
      <c r="D631" s="157" t="s">
        <v>663</v>
      </c>
      <c r="E631" s="44">
        <v>38667</v>
      </c>
      <c r="F631" s="146" t="str">
        <f t="shared" si="45"/>
        <v>2005-06</v>
      </c>
      <c r="G631" s="1"/>
      <c r="H631" s="161"/>
      <c r="I631" s="37"/>
      <c r="J631" s="135">
        <f t="shared" si="48"/>
        <v>0.76382508261777382</v>
      </c>
      <c r="K631" s="112"/>
      <c r="L631" s="37">
        <v>47.752741563000001</v>
      </c>
      <c r="M631" s="37" t="s">
        <v>288</v>
      </c>
      <c r="N631" s="37">
        <v>3336.4019512195118</v>
      </c>
      <c r="O631" s="130">
        <f t="shared" si="46"/>
        <v>159322.34012687427</v>
      </c>
      <c r="P631" s="132">
        <f t="shared" si="47"/>
        <v>117800.23755805634</v>
      </c>
      <c r="Q631" s="261">
        <v>0.96800048264602367</v>
      </c>
      <c r="R631" s="92"/>
    </row>
    <row r="632" spans="1:18" x14ac:dyDescent="0.25">
      <c r="A632" s="353">
        <v>2005</v>
      </c>
      <c r="B632" s="353" t="s">
        <v>285</v>
      </c>
      <c r="C632" s="263" t="s">
        <v>662</v>
      </c>
      <c r="D632" s="157" t="s">
        <v>663</v>
      </c>
      <c r="E632" s="44">
        <v>38533</v>
      </c>
      <c r="F632" s="146" t="str">
        <f t="shared" si="45"/>
        <v>2004-05</v>
      </c>
      <c r="G632" s="1"/>
      <c r="H632" s="161"/>
      <c r="I632" s="37"/>
      <c r="J632" s="135">
        <f t="shared" si="48"/>
        <v>0.76382508261777382</v>
      </c>
      <c r="K632" s="112"/>
      <c r="L632" s="37">
        <v>90.096440985200005</v>
      </c>
      <c r="M632" s="37" t="s">
        <v>288</v>
      </c>
      <c r="N632" s="37">
        <v>563.72605355064024</v>
      </c>
      <c r="O632" s="130">
        <f t="shared" si="46"/>
        <v>50789.711115544953</v>
      </c>
      <c r="P632" s="132">
        <f t="shared" si="47"/>
        <v>37553.051443706725</v>
      </c>
      <c r="Q632" s="261">
        <v>0.96800048264602367</v>
      </c>
      <c r="R632" s="92"/>
    </row>
    <row r="633" spans="1:18" x14ac:dyDescent="0.25">
      <c r="A633" s="353">
        <v>2005</v>
      </c>
      <c r="B633" s="353" t="s">
        <v>285</v>
      </c>
      <c r="C633" s="263" t="s">
        <v>662</v>
      </c>
      <c r="D633" s="157" t="s">
        <v>663</v>
      </c>
      <c r="E633" s="44">
        <v>38533</v>
      </c>
      <c r="F633" s="146" t="str">
        <f t="shared" si="45"/>
        <v>2004-05</v>
      </c>
      <c r="G633" s="1"/>
      <c r="H633" s="161"/>
      <c r="I633" s="37"/>
      <c r="J633" s="135">
        <f t="shared" si="48"/>
        <v>0.76382508261777382</v>
      </c>
      <c r="K633" s="112"/>
      <c r="L633" s="37">
        <v>59.485566405699998</v>
      </c>
      <c r="M633" s="37" t="s">
        <v>288</v>
      </c>
      <c r="N633" s="37">
        <v>563.72605355064024</v>
      </c>
      <c r="O633" s="130">
        <f t="shared" si="46"/>
        <v>33533.5635931098</v>
      </c>
      <c r="P633" s="132">
        <f t="shared" si="47"/>
        <v>24794.148480939861</v>
      </c>
      <c r="Q633" s="261">
        <v>0.96800048264602367</v>
      </c>
      <c r="R633" s="92"/>
    </row>
    <row r="634" spans="1:18" x14ac:dyDescent="0.25">
      <c r="A634" s="353">
        <v>2005</v>
      </c>
      <c r="B634" s="353" t="s">
        <v>285</v>
      </c>
      <c r="C634" s="263" t="s">
        <v>662</v>
      </c>
      <c r="D634" s="157" t="s">
        <v>663</v>
      </c>
      <c r="E634" s="44">
        <v>38533</v>
      </c>
      <c r="F634" s="146" t="str">
        <f t="shared" si="45"/>
        <v>2004-05</v>
      </c>
      <c r="G634" s="1"/>
      <c r="H634" s="161"/>
      <c r="I634" s="37"/>
      <c r="J634" s="135">
        <f t="shared" si="48"/>
        <v>0.76382508261777382</v>
      </c>
      <c r="K634" s="112"/>
      <c r="L634" s="37">
        <v>46.779527436800002</v>
      </c>
      <c r="M634" s="37" t="s">
        <v>288</v>
      </c>
      <c r="N634" s="37">
        <v>563.72605355064024</v>
      </c>
      <c r="O634" s="130">
        <f t="shared" si="46"/>
        <v>26370.838388911161</v>
      </c>
      <c r="P634" s="132">
        <f t="shared" si="47"/>
        <v>19498.150882952337</v>
      </c>
      <c r="Q634" s="261">
        <v>0.96800048264602367</v>
      </c>
      <c r="R634" s="92"/>
    </row>
    <row r="635" spans="1:18" x14ac:dyDescent="0.25">
      <c r="A635" s="353">
        <v>38667</v>
      </c>
      <c r="B635" s="353" t="s">
        <v>285</v>
      </c>
      <c r="C635" s="263" t="s">
        <v>662</v>
      </c>
      <c r="D635" s="157" t="s">
        <v>663</v>
      </c>
      <c r="E635" s="44">
        <v>38667</v>
      </c>
      <c r="F635" s="146" t="str">
        <f t="shared" ref="F635:F698" si="49">IF(E635="","-",IF(OR(E635&lt;$E$15,E635&gt;$E$16),"ERROR - date outside of range",IF(MONTH(E635)&gt;=7,YEAR(E635)&amp;"-"&amp;IF(YEAR(E635)=1999,"00",IF(AND(YEAR(E635)&gt;=2000,YEAR(E635)&lt;2009),"0","")&amp;RIGHT(YEAR(E635),2)+1),RIGHT(YEAR(E635),4)-1&amp;"-"&amp;RIGHT(YEAR(E635),2))))</f>
        <v>2005-06</v>
      </c>
      <c r="G635" s="1"/>
      <c r="H635" s="161"/>
      <c r="I635" s="37"/>
      <c r="J635" s="135">
        <f t="shared" si="48"/>
        <v>0.76382508261777382</v>
      </c>
      <c r="K635" s="112"/>
      <c r="L635" s="37">
        <v>46.529021486799998</v>
      </c>
      <c r="M635" s="37" t="s">
        <v>288</v>
      </c>
      <c r="N635" s="37">
        <v>3336.4019512195118</v>
      </c>
      <c r="O635" s="130">
        <f t="shared" si="46"/>
        <v>155239.51807689411</v>
      </c>
      <c r="P635" s="132">
        <f t="shared" si="47"/>
        <v>114781.46814372356</v>
      </c>
      <c r="Q635" s="261">
        <v>0.96800048264602367</v>
      </c>
      <c r="R635" s="92"/>
    </row>
    <row r="636" spans="1:18" x14ac:dyDescent="0.25">
      <c r="A636" s="353">
        <v>38667</v>
      </c>
      <c r="B636" s="353" t="s">
        <v>285</v>
      </c>
      <c r="C636" s="263" t="s">
        <v>662</v>
      </c>
      <c r="D636" s="157" t="s">
        <v>663</v>
      </c>
      <c r="E636" s="44">
        <v>38667</v>
      </c>
      <c r="F636" s="146" t="str">
        <f t="shared" si="49"/>
        <v>2005-06</v>
      </c>
      <c r="G636" s="1"/>
      <c r="H636" s="161"/>
      <c r="I636" s="37"/>
      <c r="J636" s="135">
        <f t="shared" si="48"/>
        <v>0.76382508261777382</v>
      </c>
      <c r="K636" s="112"/>
      <c r="L636" s="37">
        <v>28.286649375</v>
      </c>
      <c r="M636" s="37" t="s">
        <v>288</v>
      </c>
      <c r="N636" s="37">
        <v>3336.4019512195118</v>
      </c>
      <c r="O636" s="130">
        <f t="shared" si="46"/>
        <v>94375.632168212178</v>
      </c>
      <c r="P636" s="132">
        <f t="shared" si="47"/>
        <v>69779.742629024171</v>
      </c>
      <c r="Q636" s="261">
        <v>0.96800048264602367</v>
      </c>
      <c r="R636" s="92"/>
    </row>
    <row r="637" spans="1:18" x14ac:dyDescent="0.25">
      <c r="A637" s="353">
        <v>2005</v>
      </c>
      <c r="B637" s="353" t="s">
        <v>285</v>
      </c>
      <c r="C637" s="263" t="s">
        <v>662</v>
      </c>
      <c r="D637" s="157" t="s">
        <v>663</v>
      </c>
      <c r="E637" s="44">
        <v>38533</v>
      </c>
      <c r="F637" s="146" t="str">
        <f t="shared" si="49"/>
        <v>2004-05</v>
      </c>
      <c r="G637" s="1"/>
      <c r="H637" s="161"/>
      <c r="I637" s="37"/>
      <c r="J637" s="135">
        <f t="shared" si="48"/>
        <v>0.76382508261777382</v>
      </c>
      <c r="K637" s="112"/>
      <c r="L637" s="37">
        <v>14.673525615899999</v>
      </c>
      <c r="M637" s="37" t="s">
        <v>288</v>
      </c>
      <c r="N637" s="37">
        <v>563.72605355064024</v>
      </c>
      <c r="O637" s="130">
        <f t="shared" si="46"/>
        <v>8271.8486871255336</v>
      </c>
      <c r="P637" s="132">
        <f t="shared" si="47"/>
        <v>6116.0647001024026</v>
      </c>
      <c r="Q637" s="261">
        <v>0.96800048264602367</v>
      </c>
      <c r="R637" s="92"/>
    </row>
    <row r="638" spans="1:18" x14ac:dyDescent="0.25">
      <c r="A638" s="353">
        <v>38667</v>
      </c>
      <c r="B638" s="353" t="s">
        <v>285</v>
      </c>
      <c r="C638" s="263" t="s">
        <v>662</v>
      </c>
      <c r="D638" s="157" t="s">
        <v>663</v>
      </c>
      <c r="E638" s="44">
        <v>38667</v>
      </c>
      <c r="F638" s="146" t="str">
        <f t="shared" si="49"/>
        <v>2005-06</v>
      </c>
      <c r="G638" s="1"/>
      <c r="H638" s="161"/>
      <c r="I638" s="37"/>
      <c r="J638" s="135">
        <f t="shared" si="48"/>
        <v>0.76382508261777382</v>
      </c>
      <c r="K638" s="112"/>
      <c r="L638" s="37">
        <v>29.731351962400002</v>
      </c>
      <c r="M638" s="37" t="s">
        <v>288</v>
      </c>
      <c r="N638" s="37">
        <v>3336.4019512195118</v>
      </c>
      <c r="O638" s="130">
        <f t="shared" ref="O638:O701" si="50">IF(N638="","-",L638*N638)</f>
        <v>99195.740699745424</v>
      </c>
      <c r="P638" s="132">
        <f t="shared" ref="P638:P701" si="51">IF(O638="-","-",IF(OR(E638&lt;$E$15,E638&gt;$E$16),0,O638*J638))*Q638</f>
        <v>73343.649169802229</v>
      </c>
      <c r="Q638" s="261">
        <v>0.96800048264602367</v>
      </c>
      <c r="R638" s="92"/>
    </row>
    <row r="639" spans="1:18" x14ac:dyDescent="0.25">
      <c r="A639" s="353">
        <v>38667</v>
      </c>
      <c r="B639" s="353" t="s">
        <v>285</v>
      </c>
      <c r="C639" s="263" t="s">
        <v>662</v>
      </c>
      <c r="D639" s="157" t="s">
        <v>663</v>
      </c>
      <c r="E639" s="44">
        <v>38667</v>
      </c>
      <c r="F639" s="146" t="str">
        <f t="shared" si="49"/>
        <v>2005-06</v>
      </c>
      <c r="G639" s="1"/>
      <c r="H639" s="161"/>
      <c r="I639" s="37"/>
      <c r="J639" s="135">
        <f t="shared" si="48"/>
        <v>0.76382508261777382</v>
      </c>
      <c r="K639" s="112"/>
      <c r="L639" s="37">
        <v>32.176584323500002</v>
      </c>
      <c r="M639" s="37" t="s">
        <v>288</v>
      </c>
      <c r="N639" s="37">
        <v>3336.4019512195118</v>
      </c>
      <c r="O639" s="130">
        <f t="shared" si="50"/>
        <v>107354.01872050457</v>
      </c>
      <c r="P639" s="132">
        <f t="shared" si="51"/>
        <v>79375.741644371563</v>
      </c>
      <c r="Q639" s="261">
        <v>0.96800048264602367</v>
      </c>
      <c r="R639" s="92"/>
    </row>
    <row r="640" spans="1:18" x14ac:dyDescent="0.25">
      <c r="A640" s="353">
        <v>2005</v>
      </c>
      <c r="B640" s="353" t="s">
        <v>285</v>
      </c>
      <c r="C640" s="263" t="s">
        <v>662</v>
      </c>
      <c r="D640" s="157" t="s">
        <v>663</v>
      </c>
      <c r="E640" s="44">
        <v>38533</v>
      </c>
      <c r="F640" s="146" t="str">
        <f t="shared" si="49"/>
        <v>2004-05</v>
      </c>
      <c r="G640" s="1"/>
      <c r="H640" s="161"/>
      <c r="I640" s="37"/>
      <c r="J640" s="135">
        <f t="shared" si="48"/>
        <v>0.76382508261777382</v>
      </c>
      <c r="K640" s="112"/>
      <c r="L640" s="37">
        <v>30.275837853500001</v>
      </c>
      <c r="M640" s="37" t="s">
        <v>288</v>
      </c>
      <c r="N640" s="37">
        <v>563.72605355064024</v>
      </c>
      <c r="O640" s="130">
        <f t="shared" si="50"/>
        <v>17067.278591092643</v>
      </c>
      <c r="P640" s="132">
        <f t="shared" si="51"/>
        <v>12619.256476519133</v>
      </c>
      <c r="Q640" s="261">
        <v>0.96800048264602367</v>
      </c>
      <c r="R640" s="92"/>
    </row>
    <row r="641" spans="1:18" x14ac:dyDescent="0.25">
      <c r="A641" s="353">
        <v>2005</v>
      </c>
      <c r="B641" s="353" t="s">
        <v>285</v>
      </c>
      <c r="C641" s="263" t="s">
        <v>662</v>
      </c>
      <c r="D641" s="157" t="s">
        <v>663</v>
      </c>
      <c r="E641" s="44">
        <v>38533</v>
      </c>
      <c r="F641" s="146" t="str">
        <f t="shared" si="49"/>
        <v>2004-05</v>
      </c>
      <c r="G641" s="1"/>
      <c r="H641" s="161"/>
      <c r="I641" s="37"/>
      <c r="J641" s="135">
        <f t="shared" si="48"/>
        <v>0.76382508261777382</v>
      </c>
      <c r="K641" s="112"/>
      <c r="L641" s="37">
        <v>31.832591304800001</v>
      </c>
      <c r="M641" s="37" t="s">
        <v>288</v>
      </c>
      <c r="N641" s="37">
        <v>563.72605355064024</v>
      </c>
      <c r="O641" s="130">
        <f t="shared" si="50"/>
        <v>17944.861070545332</v>
      </c>
      <c r="P641" s="132">
        <f t="shared" si="51"/>
        <v>13268.126085602142</v>
      </c>
      <c r="Q641" s="261">
        <v>0.96800048264602367</v>
      </c>
      <c r="R641" s="92"/>
    </row>
    <row r="642" spans="1:18" x14ac:dyDescent="0.25">
      <c r="A642" s="353">
        <v>38667</v>
      </c>
      <c r="B642" s="353" t="s">
        <v>285</v>
      </c>
      <c r="C642" s="263" t="s">
        <v>662</v>
      </c>
      <c r="D642" s="157" t="s">
        <v>663</v>
      </c>
      <c r="E642" s="44">
        <v>38667</v>
      </c>
      <c r="F642" s="146" t="str">
        <f t="shared" si="49"/>
        <v>2005-06</v>
      </c>
      <c r="G642" s="1"/>
      <c r="H642" s="161"/>
      <c r="I642" s="37"/>
      <c r="J642" s="135">
        <f t="shared" si="48"/>
        <v>0.76382508261777382</v>
      </c>
      <c r="K642" s="112"/>
      <c r="L642" s="37">
        <v>32.286307363799999</v>
      </c>
      <c r="M642" s="37" t="s">
        <v>288</v>
      </c>
      <c r="N642" s="37">
        <v>3336.4019512195118</v>
      </c>
      <c r="O642" s="130">
        <f t="shared" si="50"/>
        <v>107720.0988862552</v>
      </c>
      <c r="P642" s="132">
        <f t="shared" si="51"/>
        <v>79646.415113367664</v>
      </c>
      <c r="Q642" s="261">
        <v>0.96800048264602367</v>
      </c>
      <c r="R642" s="92"/>
    </row>
    <row r="643" spans="1:18" x14ac:dyDescent="0.25">
      <c r="A643" s="353">
        <v>2005</v>
      </c>
      <c r="B643" s="353" t="s">
        <v>285</v>
      </c>
      <c r="C643" s="263" t="s">
        <v>662</v>
      </c>
      <c r="D643" s="157" t="s">
        <v>663</v>
      </c>
      <c r="E643" s="44">
        <v>38533</v>
      </c>
      <c r="F643" s="146" t="str">
        <f t="shared" si="49"/>
        <v>2004-05</v>
      </c>
      <c r="G643" s="1"/>
      <c r="H643" s="161"/>
      <c r="I643" s="37"/>
      <c r="J643" s="135">
        <f t="shared" si="48"/>
        <v>0.76382508261777382</v>
      </c>
      <c r="K643" s="112"/>
      <c r="L643" s="37">
        <v>48.810893898400003</v>
      </c>
      <c r="M643" s="37" t="s">
        <v>288</v>
      </c>
      <c r="N643" s="37">
        <v>563.72605355064024</v>
      </c>
      <c r="O643" s="130">
        <f t="shared" si="50"/>
        <v>27515.972587624059</v>
      </c>
      <c r="P643" s="132">
        <f t="shared" si="51"/>
        <v>20344.843697888464</v>
      </c>
      <c r="Q643" s="261">
        <v>0.96800048264602367</v>
      </c>
      <c r="R643" s="92"/>
    </row>
    <row r="644" spans="1:18" x14ac:dyDescent="0.25">
      <c r="A644" s="353">
        <v>40744</v>
      </c>
      <c r="B644" s="353" t="s">
        <v>285</v>
      </c>
      <c r="C644" s="263"/>
      <c r="D644" s="157" t="s">
        <v>665</v>
      </c>
      <c r="E644" s="44">
        <v>40744</v>
      </c>
      <c r="F644" s="146" t="str">
        <f t="shared" si="49"/>
        <v>2011-12</v>
      </c>
      <c r="G644" s="1"/>
      <c r="H644" s="161"/>
      <c r="I644" s="37"/>
      <c r="J644" s="135">
        <f t="shared" si="48"/>
        <v>0.76382508261777382</v>
      </c>
      <c r="K644" s="112"/>
      <c r="L644" s="37">
        <v>5.2625694294700001</v>
      </c>
      <c r="M644" s="37" t="s">
        <v>288</v>
      </c>
      <c r="N644" s="37">
        <v>1361.4565853658535</v>
      </c>
      <c r="O644" s="130">
        <f t="shared" si="50"/>
        <v>7164.7598056969537</v>
      </c>
      <c r="P644" s="132">
        <f t="shared" si="51"/>
        <v>5472.6232505229809</v>
      </c>
      <c r="Q644" s="261">
        <v>1</v>
      </c>
      <c r="R644" s="92"/>
    </row>
    <row r="645" spans="1:18" x14ac:dyDescent="0.25">
      <c r="A645" s="353">
        <v>41142</v>
      </c>
      <c r="B645" s="353" t="s">
        <v>285</v>
      </c>
      <c r="C645" s="263"/>
      <c r="D645" s="157" t="s">
        <v>665</v>
      </c>
      <c r="E645" s="44">
        <v>41142</v>
      </c>
      <c r="F645" s="146" t="str">
        <f t="shared" si="49"/>
        <v>2012-13</v>
      </c>
      <c r="G645" s="1"/>
      <c r="H645" s="161"/>
      <c r="I645" s="37"/>
      <c r="J645" s="135">
        <f t="shared" si="48"/>
        <v>0.76382508261777382</v>
      </c>
      <c r="K645" s="112"/>
      <c r="L645" s="37">
        <v>8.2064840827199994</v>
      </c>
      <c r="M645" s="37" t="s">
        <v>288</v>
      </c>
      <c r="N645" s="37">
        <v>1361.4565853658535</v>
      </c>
      <c r="O645" s="130">
        <f t="shared" si="50"/>
        <v>11172.771797119198</v>
      </c>
      <c r="P645" s="132">
        <f t="shared" si="51"/>
        <v>8534.0433410041041</v>
      </c>
      <c r="Q645" s="261">
        <v>1</v>
      </c>
      <c r="R645" s="92"/>
    </row>
    <row r="646" spans="1:18" x14ac:dyDescent="0.25">
      <c r="A646" s="353">
        <v>41142</v>
      </c>
      <c r="B646" s="353" t="s">
        <v>285</v>
      </c>
      <c r="C646" s="263"/>
      <c r="D646" s="157" t="s">
        <v>665</v>
      </c>
      <c r="E646" s="44">
        <v>41142</v>
      </c>
      <c r="F646" s="146" t="str">
        <f t="shared" si="49"/>
        <v>2012-13</v>
      </c>
      <c r="G646" s="1"/>
      <c r="H646" s="161"/>
      <c r="I646" s="37"/>
      <c r="J646" s="135">
        <f t="shared" si="48"/>
        <v>0.76382508261777382</v>
      </c>
      <c r="K646" s="112"/>
      <c r="L646" s="37">
        <v>22.4934313264</v>
      </c>
      <c r="M646" s="37" t="s">
        <v>288</v>
      </c>
      <c r="N646" s="37">
        <v>1361.4565853658535</v>
      </c>
      <c r="O646" s="130">
        <f t="shared" si="50"/>
        <v>30623.830206801864</v>
      </c>
      <c r="P646" s="132">
        <f t="shared" si="51"/>
        <v>23391.249637783112</v>
      </c>
      <c r="Q646" s="261">
        <v>1</v>
      </c>
      <c r="R646" s="92"/>
    </row>
    <row r="647" spans="1:18" x14ac:dyDescent="0.25">
      <c r="A647" s="353">
        <v>39766</v>
      </c>
      <c r="B647" s="353" t="s">
        <v>285</v>
      </c>
      <c r="C647" s="263"/>
      <c r="D647" s="157" t="s">
        <v>665</v>
      </c>
      <c r="E647" s="44">
        <v>39766</v>
      </c>
      <c r="F647" s="146" t="str">
        <f t="shared" si="49"/>
        <v>2008-09</v>
      </c>
      <c r="G647" s="1"/>
      <c r="H647" s="161"/>
      <c r="I647" s="37"/>
      <c r="J647" s="135">
        <f t="shared" si="48"/>
        <v>0.76382508261777382</v>
      </c>
      <c r="K647" s="112"/>
      <c r="L647" s="37">
        <v>6.4950219961400002</v>
      </c>
      <c r="M647" s="37" t="s">
        <v>288</v>
      </c>
      <c r="N647" s="37">
        <v>1361.4565853658535</v>
      </c>
      <c r="O647" s="130">
        <f t="shared" si="50"/>
        <v>8842.6904687408751</v>
      </c>
      <c r="P647" s="132">
        <f t="shared" si="51"/>
        <v>6754.2687778494001</v>
      </c>
      <c r="Q647" s="261">
        <v>1</v>
      </c>
      <c r="R647" s="92"/>
    </row>
    <row r="648" spans="1:18" x14ac:dyDescent="0.25">
      <c r="A648" s="353">
        <v>39766</v>
      </c>
      <c r="B648" s="353" t="s">
        <v>285</v>
      </c>
      <c r="C648" s="263"/>
      <c r="D648" s="157" t="s">
        <v>665</v>
      </c>
      <c r="E648" s="44">
        <v>39766</v>
      </c>
      <c r="F648" s="146" t="str">
        <f t="shared" si="49"/>
        <v>2008-09</v>
      </c>
      <c r="G648" s="1"/>
      <c r="H648" s="161"/>
      <c r="I648" s="37"/>
      <c r="J648" s="135">
        <f t="shared" si="48"/>
        <v>0.76382508261777382</v>
      </c>
      <c r="K648" s="112"/>
      <c r="L648" s="37">
        <v>6.5092683893999999</v>
      </c>
      <c r="M648" s="37" t="s">
        <v>288</v>
      </c>
      <c r="N648" s="37">
        <v>1361.4565853658535</v>
      </c>
      <c r="O648" s="130">
        <f t="shared" si="50"/>
        <v>8862.0863146624124</v>
      </c>
      <c r="P648" s="132">
        <f t="shared" si="51"/>
        <v>6769.0838114628596</v>
      </c>
      <c r="Q648" s="261">
        <v>1</v>
      </c>
      <c r="R648" s="92"/>
    </row>
    <row r="649" spans="1:18" x14ac:dyDescent="0.25">
      <c r="A649" s="353">
        <v>39766</v>
      </c>
      <c r="B649" s="353" t="s">
        <v>285</v>
      </c>
      <c r="C649" s="263"/>
      <c r="D649" s="157" t="s">
        <v>665</v>
      </c>
      <c r="E649" s="44">
        <v>39766</v>
      </c>
      <c r="F649" s="146" t="str">
        <f t="shared" si="49"/>
        <v>2008-09</v>
      </c>
      <c r="G649" s="1"/>
      <c r="H649" s="161"/>
      <c r="I649" s="37"/>
      <c r="J649" s="135">
        <f t="shared" si="48"/>
        <v>0.76382508261777382</v>
      </c>
      <c r="K649" s="112"/>
      <c r="L649" s="37">
        <v>3.9677340920700002</v>
      </c>
      <c r="M649" s="37" t="s">
        <v>288</v>
      </c>
      <c r="N649" s="37">
        <v>1361.4565853658535</v>
      </c>
      <c r="O649" s="130">
        <f t="shared" si="50"/>
        <v>5401.8977086293071</v>
      </c>
      <c r="P649" s="132">
        <f t="shared" si="51"/>
        <v>4126.1049635865438</v>
      </c>
      <c r="Q649" s="261">
        <v>1</v>
      </c>
      <c r="R649" s="92"/>
    </row>
    <row r="650" spans="1:18" x14ac:dyDescent="0.25">
      <c r="A650" s="353">
        <v>41757</v>
      </c>
      <c r="B650" s="353" t="s">
        <v>285</v>
      </c>
      <c r="C650" s="263" t="s">
        <v>666</v>
      </c>
      <c r="D650" s="157" t="s">
        <v>667</v>
      </c>
      <c r="E650" s="44">
        <v>41757</v>
      </c>
      <c r="F650" s="146" t="str">
        <f t="shared" si="49"/>
        <v>2013-14</v>
      </c>
      <c r="G650" s="1"/>
      <c r="H650" s="161"/>
      <c r="I650" s="37"/>
      <c r="J650" s="135">
        <f t="shared" si="48"/>
        <v>0.76382508261777382</v>
      </c>
      <c r="K650" s="112"/>
      <c r="L650" s="37">
        <v>52.127996083799999</v>
      </c>
      <c r="M650" s="37" t="s">
        <v>288</v>
      </c>
      <c r="N650" s="37">
        <v>812.22926829268283</v>
      </c>
      <c r="O650" s="130">
        <f t="shared" si="50"/>
        <v>42339.884116708708</v>
      </c>
      <c r="P650" s="132">
        <f t="shared" si="51"/>
        <v>702.97662714778471</v>
      </c>
      <c r="Q650" s="261">
        <v>2.1736884859744024E-2</v>
      </c>
      <c r="R650" s="92"/>
    </row>
    <row r="651" spans="1:18" x14ac:dyDescent="0.25">
      <c r="A651" s="353">
        <v>41757</v>
      </c>
      <c r="B651" s="353" t="s">
        <v>285</v>
      </c>
      <c r="C651" s="263" t="s">
        <v>666</v>
      </c>
      <c r="D651" s="157" t="s">
        <v>667</v>
      </c>
      <c r="E651" s="44">
        <v>41757</v>
      </c>
      <c r="F651" s="146" t="str">
        <f t="shared" si="49"/>
        <v>2013-14</v>
      </c>
      <c r="G651" s="1"/>
      <c r="H651" s="161"/>
      <c r="I651" s="37"/>
      <c r="J651" s="135">
        <f t="shared" si="48"/>
        <v>0.76382508261777382</v>
      </c>
      <c r="K651" s="112"/>
      <c r="L651" s="37">
        <v>47.177704925199997</v>
      </c>
      <c r="M651" s="37" t="s">
        <v>288</v>
      </c>
      <c r="N651" s="37">
        <v>950.87219512195099</v>
      </c>
      <c r="O651" s="130">
        <f t="shared" si="50"/>
        <v>44859.967843040598</v>
      </c>
      <c r="P651" s="132">
        <f t="shared" si="51"/>
        <v>744.81802551306032</v>
      </c>
      <c r="Q651" s="261">
        <v>2.1736884859744024E-2</v>
      </c>
      <c r="R651" s="92"/>
    </row>
    <row r="652" spans="1:18" x14ac:dyDescent="0.25">
      <c r="A652" s="353">
        <v>41757</v>
      </c>
      <c r="B652" s="353" t="s">
        <v>285</v>
      </c>
      <c r="C652" s="263" t="s">
        <v>666</v>
      </c>
      <c r="D652" s="157" t="s">
        <v>667</v>
      </c>
      <c r="E652" s="44">
        <v>41757</v>
      </c>
      <c r="F652" s="146" t="str">
        <f t="shared" si="49"/>
        <v>2013-14</v>
      </c>
      <c r="G652" s="1"/>
      <c r="H652" s="161"/>
      <c r="I652" s="37"/>
      <c r="J652" s="135">
        <f t="shared" si="48"/>
        <v>0.76382508261777382</v>
      </c>
      <c r="K652" s="112"/>
      <c r="L652" s="37">
        <v>10.3660630353</v>
      </c>
      <c r="M652" s="37" t="s">
        <v>288</v>
      </c>
      <c r="N652" s="37">
        <v>812.22926829268283</v>
      </c>
      <c r="O652" s="130">
        <f t="shared" si="50"/>
        <v>8419.6197942375456</v>
      </c>
      <c r="P652" s="132">
        <f t="shared" si="51"/>
        <v>139.79244507388918</v>
      </c>
      <c r="Q652" s="261">
        <v>2.1736884859744024E-2</v>
      </c>
      <c r="R652" s="92"/>
    </row>
    <row r="653" spans="1:18" x14ac:dyDescent="0.25">
      <c r="A653" s="353">
        <v>41757</v>
      </c>
      <c r="B653" s="353" t="s">
        <v>285</v>
      </c>
      <c r="C653" s="263" t="s">
        <v>666</v>
      </c>
      <c r="D653" s="157" t="s">
        <v>667</v>
      </c>
      <c r="E653" s="44">
        <v>41757</v>
      </c>
      <c r="F653" s="146" t="str">
        <f t="shared" si="49"/>
        <v>2013-14</v>
      </c>
      <c r="G653" s="1"/>
      <c r="H653" s="161"/>
      <c r="I653" s="37"/>
      <c r="J653" s="135">
        <f t="shared" si="48"/>
        <v>0.76382508261777382</v>
      </c>
      <c r="K653" s="112"/>
      <c r="L653" s="37">
        <v>31.326122481700001</v>
      </c>
      <c r="M653" s="37" t="s">
        <v>288</v>
      </c>
      <c r="N653" s="37">
        <v>3592.3639024390236</v>
      </c>
      <c r="O653" s="130">
        <f t="shared" si="50"/>
        <v>112534.83160664265</v>
      </c>
      <c r="P653" s="132">
        <f t="shared" si="51"/>
        <v>1868.4358261685088</v>
      </c>
      <c r="Q653" s="261">
        <v>2.1736884859744024E-2</v>
      </c>
      <c r="R653" s="92"/>
    </row>
    <row r="654" spans="1:18" x14ac:dyDescent="0.25">
      <c r="A654" s="353">
        <v>41757</v>
      </c>
      <c r="B654" s="353" t="s">
        <v>285</v>
      </c>
      <c r="C654" s="263" t="s">
        <v>666</v>
      </c>
      <c r="D654" s="157" t="s">
        <v>667</v>
      </c>
      <c r="E654" s="44">
        <v>41757</v>
      </c>
      <c r="F654" s="146" t="str">
        <f t="shared" si="49"/>
        <v>2013-14</v>
      </c>
      <c r="G654" s="1"/>
      <c r="H654" s="161"/>
      <c r="I654" s="37"/>
      <c r="J654" s="135">
        <f t="shared" si="48"/>
        <v>0.76382508261777382</v>
      </c>
      <c r="K654" s="112"/>
      <c r="L654" s="37">
        <v>7.2281484489499999</v>
      </c>
      <c r="M654" s="37" t="s">
        <v>288</v>
      </c>
      <c r="N654" s="37">
        <v>950.87219512195099</v>
      </c>
      <c r="O654" s="130">
        <f t="shared" si="50"/>
        <v>6873.0453823204116</v>
      </c>
      <c r="P654" s="132">
        <f t="shared" si="51"/>
        <v>114.11439501768865</v>
      </c>
      <c r="Q654" s="261">
        <v>2.1736884859744024E-2</v>
      </c>
      <c r="R654" s="92"/>
    </row>
    <row r="655" spans="1:18" x14ac:dyDescent="0.25">
      <c r="A655" s="353">
        <v>41757</v>
      </c>
      <c r="B655" s="353" t="s">
        <v>285</v>
      </c>
      <c r="C655" s="263" t="s">
        <v>666</v>
      </c>
      <c r="D655" s="157" t="s">
        <v>667</v>
      </c>
      <c r="E655" s="44">
        <v>41757</v>
      </c>
      <c r="F655" s="146" t="str">
        <f t="shared" si="49"/>
        <v>2013-14</v>
      </c>
      <c r="G655" s="1"/>
      <c r="H655" s="161"/>
      <c r="I655" s="37"/>
      <c r="J655" s="135">
        <f t="shared" si="48"/>
        <v>0.76382508261777382</v>
      </c>
      <c r="K655" s="112"/>
      <c r="L655" s="37">
        <v>15.1337708983</v>
      </c>
      <c r="M655" s="37" t="s">
        <v>288</v>
      </c>
      <c r="N655" s="37">
        <v>950.87219512195099</v>
      </c>
      <c r="O655" s="130">
        <f t="shared" si="50"/>
        <v>14390.281954539221</v>
      </c>
      <c r="P655" s="132">
        <f t="shared" si="51"/>
        <v>238.92441094602557</v>
      </c>
      <c r="Q655" s="261">
        <v>2.1736884859744024E-2</v>
      </c>
      <c r="R655" s="92"/>
    </row>
    <row r="656" spans="1:18" x14ac:dyDescent="0.25">
      <c r="A656" s="353">
        <v>41757</v>
      </c>
      <c r="B656" s="353" t="s">
        <v>285</v>
      </c>
      <c r="C656" s="263" t="s">
        <v>666</v>
      </c>
      <c r="D656" s="157" t="s">
        <v>667</v>
      </c>
      <c r="E656" s="44">
        <v>41757</v>
      </c>
      <c r="F656" s="146" t="str">
        <f t="shared" si="49"/>
        <v>2013-14</v>
      </c>
      <c r="G656" s="1"/>
      <c r="H656" s="161"/>
      <c r="I656" s="37"/>
      <c r="J656" s="135">
        <f t="shared" si="48"/>
        <v>0.76382508261777382</v>
      </c>
      <c r="K656" s="112"/>
      <c r="L656" s="37">
        <v>9.8636850130900005</v>
      </c>
      <c r="M656" s="37" t="s">
        <v>288</v>
      </c>
      <c r="N656" s="37">
        <v>950.87219512195099</v>
      </c>
      <c r="O656" s="130">
        <f t="shared" si="50"/>
        <v>9379.1038203883782</v>
      </c>
      <c r="P656" s="132">
        <f t="shared" si="51"/>
        <v>155.72292902718635</v>
      </c>
      <c r="Q656" s="261">
        <v>2.1736884859744024E-2</v>
      </c>
      <c r="R656" s="92"/>
    </row>
    <row r="657" spans="1:18" x14ac:dyDescent="0.25">
      <c r="A657" s="353">
        <v>41757</v>
      </c>
      <c r="B657" s="353" t="s">
        <v>285</v>
      </c>
      <c r="C657" s="263" t="s">
        <v>666</v>
      </c>
      <c r="D657" s="157" t="s">
        <v>667</v>
      </c>
      <c r="E657" s="44">
        <v>41757</v>
      </c>
      <c r="F657" s="146" t="str">
        <f t="shared" si="49"/>
        <v>2013-14</v>
      </c>
      <c r="G657" s="1"/>
      <c r="H657" s="161"/>
      <c r="I657" s="37"/>
      <c r="J657" s="135">
        <f t="shared" si="48"/>
        <v>0.76382508261777382</v>
      </c>
      <c r="K657" s="112"/>
      <c r="L657" s="37">
        <v>20.762943633999999</v>
      </c>
      <c r="M657" s="37" t="s">
        <v>288</v>
      </c>
      <c r="N657" s="37">
        <v>3336.4019512195118</v>
      </c>
      <c r="O657" s="130">
        <f t="shared" si="50"/>
        <v>69273.525653538338</v>
      </c>
      <c r="P657" s="132">
        <f t="shared" si="51"/>
        <v>1150.1606683742014</v>
      </c>
      <c r="Q657" s="261">
        <v>2.1736884859744024E-2</v>
      </c>
      <c r="R657" s="92"/>
    </row>
    <row r="658" spans="1:18" x14ac:dyDescent="0.25">
      <c r="A658" s="353">
        <v>41757</v>
      </c>
      <c r="B658" s="353" t="s">
        <v>285</v>
      </c>
      <c r="C658" s="263" t="s">
        <v>666</v>
      </c>
      <c r="D658" s="157" t="s">
        <v>667</v>
      </c>
      <c r="E658" s="44">
        <v>41757</v>
      </c>
      <c r="F658" s="146" t="str">
        <f t="shared" si="49"/>
        <v>2013-14</v>
      </c>
      <c r="G658" s="1"/>
      <c r="H658" s="161"/>
      <c r="I658" s="37"/>
      <c r="J658" s="135">
        <f t="shared" si="48"/>
        <v>0.76382508261777382</v>
      </c>
      <c r="K658" s="112"/>
      <c r="L658" s="37">
        <v>16.754133972000002</v>
      </c>
      <c r="M658" s="37" t="s">
        <v>288</v>
      </c>
      <c r="N658" s="37">
        <v>950.87219512195099</v>
      </c>
      <c r="O658" s="130">
        <f t="shared" si="50"/>
        <v>15931.040147322894</v>
      </c>
      <c r="P658" s="132">
        <f t="shared" si="51"/>
        <v>264.50589328139995</v>
      </c>
      <c r="Q658" s="261">
        <v>2.1736884859744024E-2</v>
      </c>
      <c r="R658" s="92"/>
    </row>
    <row r="659" spans="1:18" x14ac:dyDescent="0.25">
      <c r="A659" s="353">
        <v>41757</v>
      </c>
      <c r="B659" s="353" t="s">
        <v>285</v>
      </c>
      <c r="C659" s="263" t="s">
        <v>666</v>
      </c>
      <c r="D659" s="157" t="s">
        <v>667</v>
      </c>
      <c r="E659" s="44">
        <v>41757</v>
      </c>
      <c r="F659" s="146" t="str">
        <f t="shared" si="49"/>
        <v>2013-14</v>
      </c>
      <c r="G659" s="1"/>
      <c r="H659" s="161"/>
      <c r="I659" s="37"/>
      <c r="J659" s="135">
        <f t="shared" si="48"/>
        <v>0.76382508261777382</v>
      </c>
      <c r="K659" s="112"/>
      <c r="L659" s="37">
        <v>16.153077277000001</v>
      </c>
      <c r="M659" s="37" t="s">
        <v>288</v>
      </c>
      <c r="N659" s="37">
        <v>950.87219512195099</v>
      </c>
      <c r="O659" s="130">
        <f t="shared" si="50"/>
        <v>15359.512048355498</v>
      </c>
      <c r="P659" s="132">
        <f t="shared" si="51"/>
        <v>255.01671059434267</v>
      </c>
      <c r="Q659" s="261">
        <v>2.1736884859744024E-2</v>
      </c>
      <c r="R659" s="92"/>
    </row>
    <row r="660" spans="1:18" x14ac:dyDescent="0.25">
      <c r="A660" s="353">
        <v>41757</v>
      </c>
      <c r="B660" s="353" t="s">
        <v>285</v>
      </c>
      <c r="C660" s="263" t="s">
        <v>666</v>
      </c>
      <c r="D660" s="157" t="s">
        <v>667</v>
      </c>
      <c r="E660" s="44">
        <v>41757</v>
      </c>
      <c r="F660" s="146" t="str">
        <f t="shared" si="49"/>
        <v>2013-14</v>
      </c>
      <c r="G660" s="1"/>
      <c r="H660" s="161"/>
      <c r="I660" s="37"/>
      <c r="J660" s="135">
        <f t="shared" si="48"/>
        <v>0.76382508261777382</v>
      </c>
      <c r="K660" s="112"/>
      <c r="L660" s="37">
        <v>57.049492297999997</v>
      </c>
      <c r="M660" s="37" t="s">
        <v>288</v>
      </c>
      <c r="N660" s="37">
        <v>812.22926829268283</v>
      </c>
      <c r="O660" s="130">
        <f t="shared" si="50"/>
        <v>46337.267385673586</v>
      </c>
      <c r="P660" s="132">
        <f t="shared" si="51"/>
        <v>769.3458925923486</v>
      </c>
      <c r="Q660" s="261">
        <v>2.1736884859744024E-2</v>
      </c>
      <c r="R660" s="92"/>
    </row>
    <row r="661" spans="1:18" x14ac:dyDescent="0.25">
      <c r="A661" s="353">
        <v>41757</v>
      </c>
      <c r="B661" s="353" t="s">
        <v>285</v>
      </c>
      <c r="C661" s="263" t="s">
        <v>666</v>
      </c>
      <c r="D661" s="157" t="s">
        <v>667</v>
      </c>
      <c r="E661" s="44">
        <v>41757</v>
      </c>
      <c r="F661" s="146" t="str">
        <f t="shared" si="49"/>
        <v>2013-14</v>
      </c>
      <c r="G661" s="1"/>
      <c r="H661" s="161"/>
      <c r="I661" s="37"/>
      <c r="J661" s="135">
        <f t="shared" si="48"/>
        <v>0.76382508261777382</v>
      </c>
      <c r="K661" s="112"/>
      <c r="L661" s="37">
        <v>33.032717665699998</v>
      </c>
      <c r="M661" s="37" t="s">
        <v>288</v>
      </c>
      <c r="N661" s="37">
        <v>812.22926829268283</v>
      </c>
      <c r="O661" s="130">
        <f t="shared" si="50"/>
        <v>26830.140099330289</v>
      </c>
      <c r="P661" s="132">
        <f t="shared" si="51"/>
        <v>445.4655884494162</v>
      </c>
      <c r="Q661" s="261">
        <v>2.1736884859744024E-2</v>
      </c>
      <c r="R661" s="92"/>
    </row>
    <row r="662" spans="1:18" x14ac:dyDescent="0.25">
      <c r="A662" s="353">
        <v>41757</v>
      </c>
      <c r="B662" s="353" t="s">
        <v>285</v>
      </c>
      <c r="C662" s="263" t="s">
        <v>666</v>
      </c>
      <c r="D662" s="157" t="s">
        <v>667</v>
      </c>
      <c r="E662" s="44">
        <v>41757</v>
      </c>
      <c r="F662" s="146" t="str">
        <f t="shared" si="49"/>
        <v>2013-14</v>
      </c>
      <c r="G662" s="1"/>
      <c r="H662" s="161"/>
      <c r="I662" s="37"/>
      <c r="J662" s="135">
        <f t="shared" si="48"/>
        <v>0.76382508261777382</v>
      </c>
      <c r="K662" s="112"/>
      <c r="L662" s="37">
        <v>37.750343408200003</v>
      </c>
      <c r="M662" s="37" t="s">
        <v>288</v>
      </c>
      <c r="N662" s="37">
        <v>812.22926829268283</v>
      </c>
      <c r="O662" s="130">
        <f t="shared" si="50"/>
        <v>30661.93380423979</v>
      </c>
      <c r="P662" s="132">
        <f t="shared" si="51"/>
        <v>509.08554090791597</v>
      </c>
      <c r="Q662" s="261">
        <v>2.1736884859744024E-2</v>
      </c>
      <c r="R662" s="92"/>
    </row>
    <row r="663" spans="1:18" x14ac:dyDescent="0.25">
      <c r="A663" s="353">
        <v>41757</v>
      </c>
      <c r="B663" s="353" t="s">
        <v>285</v>
      </c>
      <c r="C663" s="263" t="s">
        <v>666</v>
      </c>
      <c r="D663" s="157" t="s">
        <v>667</v>
      </c>
      <c r="E663" s="44">
        <v>41757</v>
      </c>
      <c r="F663" s="146" t="str">
        <f t="shared" si="49"/>
        <v>2013-14</v>
      </c>
      <c r="G663" s="1"/>
      <c r="H663" s="161"/>
      <c r="I663" s="37"/>
      <c r="J663" s="135">
        <f t="shared" si="48"/>
        <v>0.76382508261777382</v>
      </c>
      <c r="K663" s="112"/>
      <c r="L663" s="37">
        <v>72.418692029599995</v>
      </c>
      <c r="M663" s="37" t="s">
        <v>288</v>
      </c>
      <c r="N663" s="37">
        <v>812.22926829268283</v>
      </c>
      <c r="O663" s="130">
        <f t="shared" si="50"/>
        <v>58820.581237915147</v>
      </c>
      <c r="P663" s="132">
        <f t="shared" si="51"/>
        <v>976.60857293617369</v>
      </c>
      <c r="Q663" s="261">
        <v>2.1736884859744024E-2</v>
      </c>
      <c r="R663" s="92"/>
    </row>
    <row r="664" spans="1:18" x14ac:dyDescent="0.25">
      <c r="A664" s="353">
        <v>41757</v>
      </c>
      <c r="B664" s="353" t="s">
        <v>285</v>
      </c>
      <c r="C664" s="263" t="s">
        <v>666</v>
      </c>
      <c r="D664" s="157" t="s">
        <v>667</v>
      </c>
      <c r="E664" s="44">
        <v>41757</v>
      </c>
      <c r="F664" s="146" t="str">
        <f t="shared" si="49"/>
        <v>2013-14</v>
      </c>
      <c r="G664" s="1"/>
      <c r="H664" s="161"/>
      <c r="I664" s="37"/>
      <c r="J664" s="135">
        <f t="shared" si="48"/>
        <v>0.76382508261777382</v>
      </c>
      <c r="K664" s="112"/>
      <c r="L664" s="37">
        <v>63.393391342299999</v>
      </c>
      <c r="M664" s="37" t="s">
        <v>288</v>
      </c>
      <c r="N664" s="37">
        <v>812.22926829268283</v>
      </c>
      <c r="O664" s="130">
        <f t="shared" si="50"/>
        <v>51489.967864548023</v>
      </c>
      <c r="P664" s="132">
        <f t="shared" si="51"/>
        <v>854.89709517375763</v>
      </c>
      <c r="Q664" s="261">
        <v>2.1736884859744024E-2</v>
      </c>
      <c r="R664" s="92"/>
    </row>
    <row r="665" spans="1:18" x14ac:dyDescent="0.25">
      <c r="A665" s="353">
        <v>41757</v>
      </c>
      <c r="B665" s="353" t="s">
        <v>285</v>
      </c>
      <c r="C665" s="263" t="s">
        <v>666</v>
      </c>
      <c r="D665" s="157" t="s">
        <v>667</v>
      </c>
      <c r="E665" s="44">
        <v>41757</v>
      </c>
      <c r="F665" s="146" t="str">
        <f t="shared" si="49"/>
        <v>2013-14</v>
      </c>
      <c r="G665" s="1"/>
      <c r="H665" s="161"/>
      <c r="I665" s="37"/>
      <c r="J665" s="135">
        <f t="shared" ref="J665:J728" si="52">J664</f>
        <v>0.76382508261777382</v>
      </c>
      <c r="K665" s="112"/>
      <c r="L665" s="37">
        <v>48.497648934099999</v>
      </c>
      <c r="M665" s="37" t="s">
        <v>288</v>
      </c>
      <c r="N665" s="37">
        <v>812.22926829268283</v>
      </c>
      <c r="O665" s="130">
        <f t="shared" si="50"/>
        <v>39391.209907659453</v>
      </c>
      <c r="P665" s="132">
        <f t="shared" si="51"/>
        <v>654.01926476291487</v>
      </c>
      <c r="Q665" s="261">
        <v>2.1736884859744024E-2</v>
      </c>
      <c r="R665" s="92"/>
    </row>
    <row r="666" spans="1:18" x14ac:dyDescent="0.25">
      <c r="A666" s="353">
        <v>41757</v>
      </c>
      <c r="B666" s="353" t="s">
        <v>285</v>
      </c>
      <c r="C666" s="263" t="s">
        <v>666</v>
      </c>
      <c r="D666" s="157" t="s">
        <v>667</v>
      </c>
      <c r="E666" s="44">
        <v>41757</v>
      </c>
      <c r="F666" s="146" t="str">
        <f t="shared" si="49"/>
        <v>2013-14</v>
      </c>
      <c r="G666" s="1"/>
      <c r="H666" s="161"/>
      <c r="I666" s="37"/>
      <c r="J666" s="135">
        <f t="shared" si="52"/>
        <v>0.76382508261777382</v>
      </c>
      <c r="K666" s="112"/>
      <c r="L666" s="37">
        <v>26.0430494696</v>
      </c>
      <c r="M666" s="37" t="s">
        <v>288</v>
      </c>
      <c r="N666" s="37">
        <v>812.22926829268283</v>
      </c>
      <c r="O666" s="130">
        <f t="shared" si="50"/>
        <v>21152.92701480335</v>
      </c>
      <c r="P666" s="132">
        <f t="shared" si="51"/>
        <v>351.20580977928375</v>
      </c>
      <c r="Q666" s="261">
        <v>2.1736884859744024E-2</v>
      </c>
      <c r="R666" s="92"/>
    </row>
    <row r="667" spans="1:18" x14ac:dyDescent="0.25">
      <c r="A667" s="353">
        <v>41757</v>
      </c>
      <c r="B667" s="353" t="s">
        <v>285</v>
      </c>
      <c r="C667" s="263" t="s">
        <v>666</v>
      </c>
      <c r="D667" s="157" t="s">
        <v>667</v>
      </c>
      <c r="E667" s="44">
        <v>41757</v>
      </c>
      <c r="F667" s="146" t="str">
        <f t="shared" si="49"/>
        <v>2013-14</v>
      </c>
      <c r="G667" s="1"/>
      <c r="H667" s="161"/>
      <c r="I667" s="37"/>
      <c r="J667" s="135">
        <f t="shared" si="52"/>
        <v>0.76382508261777382</v>
      </c>
      <c r="K667" s="112"/>
      <c r="L667" s="37">
        <v>28.205093831599999</v>
      </c>
      <c r="M667" s="37" t="s">
        <v>288</v>
      </c>
      <c r="N667" s="37">
        <v>950.87219512195099</v>
      </c>
      <c r="O667" s="130">
        <f t="shared" si="50"/>
        <v>26819.439485274092</v>
      </c>
      <c r="P667" s="132">
        <f t="shared" si="51"/>
        <v>445.28792425088176</v>
      </c>
      <c r="Q667" s="261">
        <v>2.1736884859744024E-2</v>
      </c>
      <c r="R667" s="92"/>
    </row>
    <row r="668" spans="1:18" x14ac:dyDescent="0.25">
      <c r="A668" s="353">
        <v>41757</v>
      </c>
      <c r="B668" s="353" t="s">
        <v>285</v>
      </c>
      <c r="C668" s="263" t="s">
        <v>666</v>
      </c>
      <c r="D668" s="157" t="s">
        <v>667</v>
      </c>
      <c r="E668" s="44">
        <v>41757</v>
      </c>
      <c r="F668" s="146" t="str">
        <f t="shared" si="49"/>
        <v>2013-14</v>
      </c>
      <c r="G668" s="1"/>
      <c r="H668" s="161"/>
      <c r="I668" s="37"/>
      <c r="J668" s="135">
        <f t="shared" si="52"/>
        <v>0.76382508261777382</v>
      </c>
      <c r="K668" s="112"/>
      <c r="L668" s="37">
        <v>55.727438481500002</v>
      </c>
      <c r="M668" s="37" t="s">
        <v>288</v>
      </c>
      <c r="N668" s="37">
        <v>950.87219512195099</v>
      </c>
      <c r="O668" s="130">
        <f t="shared" si="50"/>
        <v>52989.671757427393</v>
      </c>
      <c r="P668" s="132">
        <f t="shared" si="51"/>
        <v>879.79694566533465</v>
      </c>
      <c r="Q668" s="261">
        <v>2.1736884859744024E-2</v>
      </c>
      <c r="R668" s="92"/>
    </row>
    <row r="669" spans="1:18" x14ac:dyDescent="0.25">
      <c r="A669" s="353">
        <v>41757</v>
      </c>
      <c r="B669" s="353" t="s">
        <v>285</v>
      </c>
      <c r="C669" s="263" t="s">
        <v>666</v>
      </c>
      <c r="D669" s="157" t="s">
        <v>667</v>
      </c>
      <c r="E669" s="44">
        <v>41757</v>
      </c>
      <c r="F669" s="146" t="str">
        <f t="shared" si="49"/>
        <v>2013-14</v>
      </c>
      <c r="G669" s="1"/>
      <c r="H669" s="161"/>
      <c r="I669" s="37"/>
      <c r="J669" s="135">
        <f t="shared" si="52"/>
        <v>0.76382508261777382</v>
      </c>
      <c r="K669" s="112"/>
      <c r="L669" s="37">
        <v>48.423747817799999</v>
      </c>
      <c r="M669" s="37" t="s">
        <v>288</v>
      </c>
      <c r="N669" s="37">
        <v>3336.4019512195118</v>
      </c>
      <c r="O669" s="130">
        <f t="shared" si="50"/>
        <v>161561.08670466949</v>
      </c>
      <c r="P669" s="132">
        <f t="shared" si="51"/>
        <v>2682.4274600496478</v>
      </c>
      <c r="Q669" s="261">
        <v>2.1736884859744024E-2</v>
      </c>
      <c r="R669" s="92"/>
    </row>
    <row r="670" spans="1:18" x14ac:dyDescent="0.25">
      <c r="A670" s="353">
        <v>41757</v>
      </c>
      <c r="B670" s="353" t="s">
        <v>285</v>
      </c>
      <c r="C670" s="263" t="s">
        <v>666</v>
      </c>
      <c r="D670" s="157" t="s">
        <v>667</v>
      </c>
      <c r="E670" s="44">
        <v>41757</v>
      </c>
      <c r="F670" s="146" t="str">
        <f t="shared" si="49"/>
        <v>2013-14</v>
      </c>
      <c r="G670" s="1"/>
      <c r="H670" s="161"/>
      <c r="I670" s="37"/>
      <c r="J670" s="135">
        <f t="shared" si="52"/>
        <v>0.76382508261777382</v>
      </c>
      <c r="K670" s="112"/>
      <c r="L670" s="37">
        <v>67.480065279800002</v>
      </c>
      <c r="M670" s="37" t="s">
        <v>288</v>
      </c>
      <c r="N670" s="37">
        <v>3336.4019512195118</v>
      </c>
      <c r="O670" s="130">
        <f t="shared" si="50"/>
        <v>225140.62146794476</v>
      </c>
      <c r="P670" s="132">
        <f t="shared" si="51"/>
        <v>3738.049784860747</v>
      </c>
      <c r="Q670" s="261">
        <v>2.1736884859744024E-2</v>
      </c>
      <c r="R670" s="92"/>
    </row>
    <row r="671" spans="1:18" x14ac:dyDescent="0.25">
      <c r="A671" s="353">
        <v>41757</v>
      </c>
      <c r="B671" s="353" t="s">
        <v>285</v>
      </c>
      <c r="C671" s="263" t="s">
        <v>666</v>
      </c>
      <c r="D671" s="157" t="s">
        <v>667</v>
      </c>
      <c r="E671" s="44">
        <v>41757</v>
      </c>
      <c r="F671" s="146" t="str">
        <f t="shared" si="49"/>
        <v>2013-14</v>
      </c>
      <c r="G671" s="1"/>
      <c r="H671" s="161"/>
      <c r="I671" s="37"/>
      <c r="J671" s="135">
        <f t="shared" si="52"/>
        <v>0.76382508261777382</v>
      </c>
      <c r="K671" s="112"/>
      <c r="L671" s="37">
        <v>17.443438310499999</v>
      </c>
      <c r="M671" s="37" t="s">
        <v>288</v>
      </c>
      <c r="N671" s="37">
        <v>812.22926829268283</v>
      </c>
      <c r="O671" s="130">
        <f t="shared" si="50"/>
        <v>14168.071135445965</v>
      </c>
      <c r="P671" s="132">
        <f t="shared" si="51"/>
        <v>235.23500519112702</v>
      </c>
      <c r="Q671" s="261">
        <v>2.1736884859744024E-2</v>
      </c>
      <c r="R671" s="92"/>
    </row>
    <row r="672" spans="1:18" x14ac:dyDescent="0.25">
      <c r="A672" s="353">
        <v>41757</v>
      </c>
      <c r="B672" s="353" t="s">
        <v>285</v>
      </c>
      <c r="C672" s="263" t="s">
        <v>666</v>
      </c>
      <c r="D672" s="157" t="s">
        <v>667</v>
      </c>
      <c r="E672" s="44">
        <v>41757</v>
      </c>
      <c r="F672" s="146" t="str">
        <f t="shared" si="49"/>
        <v>2013-14</v>
      </c>
      <c r="G672" s="1"/>
      <c r="H672" s="161"/>
      <c r="I672" s="37"/>
      <c r="J672" s="135">
        <f t="shared" si="52"/>
        <v>0.76382508261777382</v>
      </c>
      <c r="K672" s="112"/>
      <c r="L672" s="37">
        <v>16.348556217799999</v>
      </c>
      <c r="M672" s="37" t="s">
        <v>288</v>
      </c>
      <c r="N672" s="37">
        <v>812.22926829268283</v>
      </c>
      <c r="O672" s="130">
        <f t="shared" si="50"/>
        <v>13278.775854425483</v>
      </c>
      <c r="P672" s="132">
        <f t="shared" si="51"/>
        <v>220.46987745797119</v>
      </c>
      <c r="Q672" s="261">
        <v>2.1736884859744024E-2</v>
      </c>
      <c r="R672" s="92"/>
    </row>
    <row r="673" spans="1:18" x14ac:dyDescent="0.25">
      <c r="A673" s="353">
        <v>41757</v>
      </c>
      <c r="B673" s="353" t="s">
        <v>285</v>
      </c>
      <c r="C673" s="263" t="s">
        <v>666</v>
      </c>
      <c r="D673" s="157" t="s">
        <v>667</v>
      </c>
      <c r="E673" s="44">
        <v>41757</v>
      </c>
      <c r="F673" s="146" t="str">
        <f t="shared" si="49"/>
        <v>2013-14</v>
      </c>
      <c r="G673" s="1"/>
      <c r="H673" s="161"/>
      <c r="I673" s="37"/>
      <c r="J673" s="135">
        <f t="shared" si="52"/>
        <v>0.76382508261777382</v>
      </c>
      <c r="K673" s="112"/>
      <c r="L673" s="37">
        <v>7.9238881870000002</v>
      </c>
      <c r="M673" s="37" t="s">
        <v>288</v>
      </c>
      <c r="N673" s="37">
        <v>812.22926829268283</v>
      </c>
      <c r="O673" s="130">
        <f t="shared" si="50"/>
        <v>6436.0139041600432</v>
      </c>
      <c r="P673" s="132">
        <f t="shared" si="51"/>
        <v>106.85828364932178</v>
      </c>
      <c r="Q673" s="261">
        <v>2.1736884859744024E-2</v>
      </c>
      <c r="R673" s="92"/>
    </row>
    <row r="674" spans="1:18" x14ac:dyDescent="0.25">
      <c r="A674" s="353">
        <v>41757</v>
      </c>
      <c r="B674" s="353" t="s">
        <v>285</v>
      </c>
      <c r="C674" s="263" t="s">
        <v>666</v>
      </c>
      <c r="D674" s="157" t="s">
        <v>667</v>
      </c>
      <c r="E674" s="44">
        <v>41757</v>
      </c>
      <c r="F674" s="146" t="str">
        <f t="shared" si="49"/>
        <v>2013-14</v>
      </c>
      <c r="G674" s="1"/>
      <c r="H674" s="161"/>
      <c r="I674" s="37"/>
      <c r="J674" s="135">
        <f t="shared" si="52"/>
        <v>0.76382508261777382</v>
      </c>
      <c r="K674" s="112"/>
      <c r="L674" s="37">
        <v>66.758348868599995</v>
      </c>
      <c r="M674" s="37" t="s">
        <v>288</v>
      </c>
      <c r="N674" s="37">
        <v>812.22926829268283</v>
      </c>
      <c r="O674" s="130">
        <f t="shared" si="50"/>
        <v>54223.084853970628</v>
      </c>
      <c r="P674" s="132">
        <f t="shared" si="51"/>
        <v>900.27552269917442</v>
      </c>
      <c r="Q674" s="261">
        <v>2.1736884859744024E-2</v>
      </c>
      <c r="R674" s="92"/>
    </row>
    <row r="675" spans="1:18" x14ac:dyDescent="0.25">
      <c r="A675" s="353">
        <v>41757</v>
      </c>
      <c r="B675" s="353" t="s">
        <v>285</v>
      </c>
      <c r="C675" s="263" t="s">
        <v>666</v>
      </c>
      <c r="D675" s="157" t="s">
        <v>667</v>
      </c>
      <c r="E675" s="44">
        <v>41757</v>
      </c>
      <c r="F675" s="146" t="str">
        <f t="shared" si="49"/>
        <v>2013-14</v>
      </c>
      <c r="G675" s="1"/>
      <c r="H675" s="161"/>
      <c r="I675" s="37"/>
      <c r="J675" s="135">
        <f t="shared" si="52"/>
        <v>0.76382508261777382</v>
      </c>
      <c r="K675" s="112"/>
      <c r="L675" s="37">
        <v>15.2147791966</v>
      </c>
      <c r="M675" s="37" t="s">
        <v>288</v>
      </c>
      <c r="N675" s="37">
        <v>812.22926829268283</v>
      </c>
      <c r="O675" s="130">
        <f t="shared" si="50"/>
        <v>12357.888974089152</v>
      </c>
      <c r="P675" s="132">
        <f t="shared" si="51"/>
        <v>205.180228782055</v>
      </c>
      <c r="Q675" s="261">
        <v>2.1736884859744024E-2</v>
      </c>
      <c r="R675" s="92"/>
    </row>
    <row r="676" spans="1:18" x14ac:dyDescent="0.25">
      <c r="A676" s="353">
        <v>41757</v>
      </c>
      <c r="B676" s="353" t="s">
        <v>285</v>
      </c>
      <c r="C676" s="263" t="s">
        <v>666</v>
      </c>
      <c r="D676" s="157" t="s">
        <v>667</v>
      </c>
      <c r="E676" s="44">
        <v>41757</v>
      </c>
      <c r="F676" s="146" t="str">
        <f t="shared" si="49"/>
        <v>2013-14</v>
      </c>
      <c r="G676" s="1"/>
      <c r="H676" s="161"/>
      <c r="I676" s="37"/>
      <c r="J676" s="135">
        <f t="shared" si="52"/>
        <v>0.76382508261777382</v>
      </c>
      <c r="K676" s="112"/>
      <c r="L676" s="37">
        <v>18.385299515900002</v>
      </c>
      <c r="M676" s="37" t="s">
        <v>288</v>
      </c>
      <c r="N676" s="37">
        <v>3336.4019512195118</v>
      </c>
      <c r="O676" s="130">
        <f t="shared" si="50"/>
        <v>61340.74917860391</v>
      </c>
      <c r="P676" s="132">
        <f t="shared" si="51"/>
        <v>1018.4513695273959</v>
      </c>
      <c r="Q676" s="261">
        <v>2.1736884859744024E-2</v>
      </c>
      <c r="R676" s="92"/>
    </row>
    <row r="677" spans="1:18" x14ac:dyDescent="0.25">
      <c r="A677" s="353">
        <v>41757</v>
      </c>
      <c r="B677" s="353" t="s">
        <v>285</v>
      </c>
      <c r="C677" s="263" t="s">
        <v>666</v>
      </c>
      <c r="D677" s="157" t="s">
        <v>667</v>
      </c>
      <c r="E677" s="44">
        <v>41757</v>
      </c>
      <c r="F677" s="146" t="str">
        <f t="shared" si="49"/>
        <v>2013-14</v>
      </c>
      <c r="G677" s="1"/>
      <c r="H677" s="161"/>
      <c r="I677" s="37"/>
      <c r="J677" s="135">
        <f t="shared" si="52"/>
        <v>0.76382508261777382</v>
      </c>
      <c r="K677" s="112"/>
      <c r="L677" s="37">
        <v>27.493534403599998</v>
      </c>
      <c r="M677" s="37" t="s">
        <v>288</v>
      </c>
      <c r="N677" s="37">
        <v>812.22926829268283</v>
      </c>
      <c r="O677" s="130">
        <f t="shared" si="50"/>
        <v>22331.053331415729</v>
      </c>
      <c r="P677" s="132">
        <f t="shared" si="51"/>
        <v>370.76645057185937</v>
      </c>
      <c r="Q677" s="261">
        <v>2.1736884859744024E-2</v>
      </c>
      <c r="R677" s="92"/>
    </row>
    <row r="678" spans="1:18" x14ac:dyDescent="0.25">
      <c r="A678" s="353">
        <v>41757</v>
      </c>
      <c r="B678" s="353" t="s">
        <v>285</v>
      </c>
      <c r="C678" s="263" t="s">
        <v>666</v>
      </c>
      <c r="D678" s="157" t="s">
        <v>667</v>
      </c>
      <c r="E678" s="44">
        <v>41757</v>
      </c>
      <c r="F678" s="146" t="str">
        <f t="shared" si="49"/>
        <v>2013-14</v>
      </c>
      <c r="G678" s="1"/>
      <c r="H678" s="161"/>
      <c r="I678" s="37"/>
      <c r="J678" s="135">
        <f t="shared" si="52"/>
        <v>0.76382508261777382</v>
      </c>
      <c r="K678" s="112"/>
      <c r="L678" s="37">
        <v>4.4948158403200003</v>
      </c>
      <c r="M678" s="37" t="s">
        <v>288</v>
      </c>
      <c r="N678" s="37">
        <v>812.22926829268283</v>
      </c>
      <c r="O678" s="130">
        <f t="shared" si="50"/>
        <v>3650.8209810934741</v>
      </c>
      <c r="P678" s="132">
        <f t="shared" si="51"/>
        <v>60.615230134667627</v>
      </c>
      <c r="Q678" s="261">
        <v>2.1736884859744024E-2</v>
      </c>
      <c r="R678" s="92"/>
    </row>
    <row r="679" spans="1:18" x14ac:dyDescent="0.25">
      <c r="A679" s="353">
        <v>41757</v>
      </c>
      <c r="B679" s="353" t="s">
        <v>285</v>
      </c>
      <c r="C679" s="263" t="s">
        <v>666</v>
      </c>
      <c r="D679" s="157" t="s">
        <v>667</v>
      </c>
      <c r="E679" s="44">
        <v>41757</v>
      </c>
      <c r="F679" s="146" t="str">
        <f t="shared" si="49"/>
        <v>2013-14</v>
      </c>
      <c r="G679" s="1"/>
      <c r="H679" s="161"/>
      <c r="I679" s="37"/>
      <c r="J679" s="135">
        <f t="shared" si="52"/>
        <v>0.76382508261777382</v>
      </c>
      <c r="K679" s="112"/>
      <c r="L679" s="37">
        <v>12.1092431815</v>
      </c>
      <c r="M679" s="37" t="s">
        <v>288</v>
      </c>
      <c r="N679" s="37">
        <v>3336.4019512195118</v>
      </c>
      <c r="O679" s="130">
        <f t="shared" si="50"/>
        <v>40401.302578548173</v>
      </c>
      <c r="P679" s="132">
        <f t="shared" si="51"/>
        <v>670.79001304674944</v>
      </c>
      <c r="Q679" s="261">
        <v>2.1736884859744024E-2</v>
      </c>
      <c r="R679" s="92"/>
    </row>
    <row r="680" spans="1:18" x14ac:dyDescent="0.25">
      <c r="A680" s="353">
        <v>41757</v>
      </c>
      <c r="B680" s="353" t="s">
        <v>285</v>
      </c>
      <c r="C680" s="263" t="s">
        <v>666</v>
      </c>
      <c r="D680" s="157" t="s">
        <v>667</v>
      </c>
      <c r="E680" s="44">
        <v>41757</v>
      </c>
      <c r="F680" s="146" t="str">
        <f t="shared" si="49"/>
        <v>2013-14</v>
      </c>
      <c r="G680" s="1"/>
      <c r="H680" s="161"/>
      <c r="I680" s="37"/>
      <c r="J680" s="135">
        <f t="shared" si="52"/>
        <v>0.76382508261777382</v>
      </c>
      <c r="K680" s="112"/>
      <c r="L680" s="37">
        <v>51.188339096100002</v>
      </c>
      <c r="M680" s="37" t="s">
        <v>288</v>
      </c>
      <c r="N680" s="37">
        <v>812.22926829268283</v>
      </c>
      <c r="O680" s="130">
        <f t="shared" si="50"/>
        <v>41576.667209143037</v>
      </c>
      <c r="P680" s="132">
        <f t="shared" si="51"/>
        <v>690.30480107514438</v>
      </c>
      <c r="Q680" s="261">
        <v>2.1736884859744024E-2</v>
      </c>
      <c r="R680" s="92"/>
    </row>
    <row r="681" spans="1:18" x14ac:dyDescent="0.25">
      <c r="A681" s="353">
        <v>41757</v>
      </c>
      <c r="B681" s="353" t="s">
        <v>285</v>
      </c>
      <c r="C681" s="263" t="s">
        <v>666</v>
      </c>
      <c r="D681" s="157" t="s">
        <v>667</v>
      </c>
      <c r="E681" s="44">
        <v>41757</v>
      </c>
      <c r="F681" s="146" t="str">
        <f t="shared" si="49"/>
        <v>2013-14</v>
      </c>
      <c r="G681" s="1"/>
      <c r="H681" s="161"/>
      <c r="I681" s="37"/>
      <c r="J681" s="135">
        <f t="shared" si="52"/>
        <v>0.76382508261777382</v>
      </c>
      <c r="K681" s="112"/>
      <c r="L681" s="37">
        <v>24.074566078</v>
      </c>
      <c r="M681" s="37" t="s">
        <v>288</v>
      </c>
      <c r="N681" s="37">
        <v>812.22926829268283</v>
      </c>
      <c r="O681" s="130">
        <f t="shared" si="50"/>
        <v>19554.067189997782</v>
      </c>
      <c r="P681" s="132">
        <f t="shared" si="51"/>
        <v>324.65965571268907</v>
      </c>
      <c r="Q681" s="261">
        <v>2.1736884859744024E-2</v>
      </c>
      <c r="R681" s="92"/>
    </row>
    <row r="682" spans="1:18" x14ac:dyDescent="0.25">
      <c r="A682" s="353">
        <v>41757</v>
      </c>
      <c r="B682" s="353" t="s">
        <v>285</v>
      </c>
      <c r="C682" s="263" t="s">
        <v>666</v>
      </c>
      <c r="D682" s="157" t="s">
        <v>667</v>
      </c>
      <c r="E682" s="44">
        <v>41757</v>
      </c>
      <c r="F682" s="146" t="str">
        <f t="shared" si="49"/>
        <v>2013-14</v>
      </c>
      <c r="G682" s="1"/>
      <c r="H682" s="161"/>
      <c r="I682" s="37"/>
      <c r="J682" s="135">
        <f t="shared" si="52"/>
        <v>0.76382508261777382</v>
      </c>
      <c r="K682" s="112"/>
      <c r="L682" s="37">
        <v>49.798433214399999</v>
      </c>
      <c r="M682" s="37" t="s">
        <v>288</v>
      </c>
      <c r="N682" s="37">
        <v>812.22926829268283</v>
      </c>
      <c r="O682" s="130">
        <f t="shared" si="50"/>
        <v>40447.744971854147</v>
      </c>
      <c r="P682" s="132">
        <f t="shared" si="51"/>
        <v>671.56110436369568</v>
      </c>
      <c r="Q682" s="261">
        <v>2.1736884859744024E-2</v>
      </c>
      <c r="R682" s="92"/>
    </row>
    <row r="683" spans="1:18" x14ac:dyDescent="0.25">
      <c r="A683" s="353">
        <v>41757</v>
      </c>
      <c r="B683" s="353" t="s">
        <v>285</v>
      </c>
      <c r="C683" s="263" t="s">
        <v>666</v>
      </c>
      <c r="D683" s="157" t="s">
        <v>667</v>
      </c>
      <c r="E683" s="44">
        <v>41757</v>
      </c>
      <c r="F683" s="146" t="str">
        <f t="shared" si="49"/>
        <v>2013-14</v>
      </c>
      <c r="G683" s="1"/>
      <c r="H683" s="161"/>
      <c r="I683" s="37"/>
      <c r="J683" s="135">
        <f t="shared" si="52"/>
        <v>0.76382508261777382</v>
      </c>
      <c r="K683" s="112"/>
      <c r="L683" s="37">
        <v>15.118974614400001</v>
      </c>
      <c r="M683" s="37" t="s">
        <v>288</v>
      </c>
      <c r="N683" s="37">
        <v>812.22926829268283</v>
      </c>
      <c r="O683" s="130">
        <f t="shared" si="50"/>
        <v>12280.073688389759</v>
      </c>
      <c r="P683" s="132">
        <f t="shared" si="51"/>
        <v>203.88824775228375</v>
      </c>
      <c r="Q683" s="261">
        <v>2.1736884859744024E-2</v>
      </c>
      <c r="R683" s="92"/>
    </row>
    <row r="684" spans="1:18" x14ac:dyDescent="0.25">
      <c r="A684" s="353">
        <v>41757</v>
      </c>
      <c r="B684" s="353" t="s">
        <v>285</v>
      </c>
      <c r="C684" s="263" t="s">
        <v>666</v>
      </c>
      <c r="D684" s="157" t="s">
        <v>667</v>
      </c>
      <c r="E684" s="44">
        <v>41757</v>
      </c>
      <c r="F684" s="146" t="str">
        <f t="shared" si="49"/>
        <v>2013-14</v>
      </c>
      <c r="G684" s="1"/>
      <c r="H684" s="161"/>
      <c r="I684" s="37"/>
      <c r="J684" s="135">
        <f t="shared" si="52"/>
        <v>0.76382508261777382</v>
      </c>
      <c r="K684" s="112"/>
      <c r="L684" s="37">
        <v>29.8174534463</v>
      </c>
      <c r="M684" s="37" t="s">
        <v>288</v>
      </c>
      <c r="N684" s="37">
        <v>812.22926829268283</v>
      </c>
      <c r="O684" s="130">
        <f t="shared" si="50"/>
        <v>24218.608395039384</v>
      </c>
      <c r="P684" s="132">
        <f t="shared" si="51"/>
        <v>402.1058630398835</v>
      </c>
      <c r="Q684" s="261">
        <v>2.1736884859744024E-2</v>
      </c>
      <c r="R684" s="92"/>
    </row>
    <row r="685" spans="1:18" x14ac:dyDescent="0.25">
      <c r="A685" s="353">
        <v>41757</v>
      </c>
      <c r="B685" s="353" t="s">
        <v>285</v>
      </c>
      <c r="C685" s="263" t="s">
        <v>666</v>
      </c>
      <c r="D685" s="157" t="s">
        <v>667</v>
      </c>
      <c r="E685" s="44">
        <v>41757</v>
      </c>
      <c r="F685" s="146" t="str">
        <f t="shared" si="49"/>
        <v>2013-14</v>
      </c>
      <c r="G685" s="1"/>
      <c r="H685" s="161"/>
      <c r="I685" s="37"/>
      <c r="J685" s="135">
        <f t="shared" si="52"/>
        <v>0.76382508261777382</v>
      </c>
      <c r="K685" s="112"/>
      <c r="L685" s="37">
        <v>6.3061882306200001</v>
      </c>
      <c r="M685" s="37" t="s">
        <v>288</v>
      </c>
      <c r="N685" s="37">
        <v>812.22926829268283</v>
      </c>
      <c r="O685" s="130">
        <f t="shared" si="50"/>
        <v>5122.0706522724113</v>
      </c>
      <c r="P685" s="132">
        <f t="shared" si="51"/>
        <v>85.04265012209045</v>
      </c>
      <c r="Q685" s="261">
        <v>2.1736884859744024E-2</v>
      </c>
      <c r="R685" s="92"/>
    </row>
    <row r="686" spans="1:18" x14ac:dyDescent="0.25">
      <c r="A686" s="353">
        <v>41757</v>
      </c>
      <c r="B686" s="353" t="s">
        <v>285</v>
      </c>
      <c r="C686" s="263" t="s">
        <v>666</v>
      </c>
      <c r="D686" s="157" t="s">
        <v>667</v>
      </c>
      <c r="E686" s="44">
        <v>41757</v>
      </c>
      <c r="F686" s="146" t="str">
        <f t="shared" si="49"/>
        <v>2013-14</v>
      </c>
      <c r="G686" s="1"/>
      <c r="H686" s="161"/>
      <c r="I686" s="37"/>
      <c r="J686" s="135">
        <f t="shared" si="52"/>
        <v>0.76382508261777382</v>
      </c>
      <c r="K686" s="112"/>
      <c r="L686" s="37">
        <v>77.738056496300004</v>
      </c>
      <c r="M686" s="37" t="s">
        <v>288</v>
      </c>
      <c r="N686" s="37">
        <v>812.22926829268283</v>
      </c>
      <c r="O686" s="130">
        <f t="shared" si="50"/>
        <v>63141.124746484995</v>
      </c>
      <c r="P686" s="132">
        <f t="shared" si="51"/>
        <v>1048.3433253206538</v>
      </c>
      <c r="Q686" s="261">
        <v>2.1736884859744024E-2</v>
      </c>
      <c r="R686" s="92"/>
    </row>
    <row r="687" spans="1:18" x14ac:dyDescent="0.25">
      <c r="A687" s="353">
        <v>41757</v>
      </c>
      <c r="B687" s="353" t="s">
        <v>285</v>
      </c>
      <c r="C687" s="263" t="s">
        <v>666</v>
      </c>
      <c r="D687" s="157" t="s">
        <v>667</v>
      </c>
      <c r="E687" s="44">
        <v>41757</v>
      </c>
      <c r="F687" s="146" t="str">
        <f t="shared" si="49"/>
        <v>2013-14</v>
      </c>
      <c r="G687" s="1"/>
      <c r="H687" s="161"/>
      <c r="I687" s="37"/>
      <c r="J687" s="135">
        <f t="shared" si="52"/>
        <v>0.76382508261777382</v>
      </c>
      <c r="K687" s="112"/>
      <c r="L687" s="37">
        <v>44.797769641599999</v>
      </c>
      <c r="M687" s="37" t="s">
        <v>288</v>
      </c>
      <c r="N687" s="37">
        <v>812.22926829268283</v>
      </c>
      <c r="O687" s="130">
        <f t="shared" si="50"/>
        <v>36386.059657140926</v>
      </c>
      <c r="P687" s="132">
        <f t="shared" si="51"/>
        <v>604.12422061591974</v>
      </c>
      <c r="Q687" s="261">
        <v>2.1736884859744024E-2</v>
      </c>
      <c r="R687" s="92"/>
    </row>
    <row r="688" spans="1:18" x14ac:dyDescent="0.25">
      <c r="A688" s="353">
        <v>41757</v>
      </c>
      <c r="B688" s="353" t="s">
        <v>285</v>
      </c>
      <c r="C688" s="263" t="s">
        <v>666</v>
      </c>
      <c r="D688" s="157" t="s">
        <v>667</v>
      </c>
      <c r="E688" s="44">
        <v>41757</v>
      </c>
      <c r="F688" s="146" t="str">
        <f t="shared" si="49"/>
        <v>2013-14</v>
      </c>
      <c r="G688" s="1"/>
      <c r="H688" s="161"/>
      <c r="I688" s="37"/>
      <c r="J688" s="135">
        <f t="shared" si="52"/>
        <v>0.76382508261777382</v>
      </c>
      <c r="K688" s="112"/>
      <c r="L688" s="37">
        <v>21.3840887215</v>
      </c>
      <c r="M688" s="37" t="s">
        <v>288</v>
      </c>
      <c r="N688" s="37">
        <v>3336.4019512195118</v>
      </c>
      <c r="O688" s="130">
        <f t="shared" si="50"/>
        <v>71345.915335463753</v>
      </c>
      <c r="P688" s="132">
        <f t="shared" si="51"/>
        <v>1184.5689228871342</v>
      </c>
      <c r="Q688" s="261">
        <v>2.1736884859744024E-2</v>
      </c>
      <c r="R688" s="92"/>
    </row>
    <row r="689" spans="1:18" x14ac:dyDescent="0.25">
      <c r="A689" s="353">
        <v>41757</v>
      </c>
      <c r="B689" s="353" t="s">
        <v>285</v>
      </c>
      <c r="C689" s="263" t="s">
        <v>666</v>
      </c>
      <c r="D689" s="157" t="s">
        <v>667</v>
      </c>
      <c r="E689" s="44">
        <v>41757</v>
      </c>
      <c r="F689" s="146" t="str">
        <f t="shared" si="49"/>
        <v>2013-14</v>
      </c>
      <c r="G689" s="1"/>
      <c r="H689" s="161"/>
      <c r="I689" s="37"/>
      <c r="J689" s="135">
        <f t="shared" si="52"/>
        <v>0.76382508261777382</v>
      </c>
      <c r="K689" s="112"/>
      <c r="L689" s="37">
        <v>24.241376200099999</v>
      </c>
      <c r="M689" s="37" t="s">
        <v>288</v>
      </c>
      <c r="N689" s="37">
        <v>812.22926829268283</v>
      </c>
      <c r="O689" s="130">
        <f t="shared" si="50"/>
        <v>19689.555253414877</v>
      </c>
      <c r="P689" s="132">
        <f t="shared" si="51"/>
        <v>326.90918812938617</v>
      </c>
      <c r="Q689" s="261">
        <v>2.1736884859744024E-2</v>
      </c>
      <c r="R689" s="92"/>
    </row>
    <row r="690" spans="1:18" x14ac:dyDescent="0.25">
      <c r="A690" s="353">
        <v>41757</v>
      </c>
      <c r="B690" s="353" t="s">
        <v>285</v>
      </c>
      <c r="C690" s="263" t="s">
        <v>666</v>
      </c>
      <c r="D690" s="157" t="s">
        <v>667</v>
      </c>
      <c r="E690" s="44">
        <v>41757</v>
      </c>
      <c r="F690" s="146" t="str">
        <f t="shared" si="49"/>
        <v>2013-14</v>
      </c>
      <c r="G690" s="1"/>
      <c r="H690" s="161"/>
      <c r="I690" s="37"/>
      <c r="J690" s="135">
        <f t="shared" si="52"/>
        <v>0.76382508261777382</v>
      </c>
      <c r="K690" s="112"/>
      <c r="L690" s="37">
        <v>37.106529140200003</v>
      </c>
      <c r="M690" s="37" t="s">
        <v>288</v>
      </c>
      <c r="N690" s="37">
        <v>812.22926829268283</v>
      </c>
      <c r="O690" s="130">
        <f t="shared" si="50"/>
        <v>30139.009012425762</v>
      </c>
      <c r="P690" s="132">
        <f t="shared" si="51"/>
        <v>500.40332757478319</v>
      </c>
      <c r="Q690" s="261">
        <v>2.1736884859744024E-2</v>
      </c>
      <c r="R690" s="92"/>
    </row>
    <row r="691" spans="1:18" x14ac:dyDescent="0.25">
      <c r="A691" s="353">
        <v>41757</v>
      </c>
      <c r="B691" s="353" t="s">
        <v>285</v>
      </c>
      <c r="C691" s="263" t="s">
        <v>666</v>
      </c>
      <c r="D691" s="157" t="s">
        <v>667</v>
      </c>
      <c r="E691" s="44">
        <v>41757</v>
      </c>
      <c r="F691" s="146" t="str">
        <f t="shared" si="49"/>
        <v>2013-14</v>
      </c>
      <c r="G691" s="1"/>
      <c r="H691" s="161"/>
      <c r="I691" s="37"/>
      <c r="J691" s="135">
        <f t="shared" si="52"/>
        <v>0.76382508261777382</v>
      </c>
      <c r="K691" s="112"/>
      <c r="L691" s="37">
        <v>26.455387615700001</v>
      </c>
      <c r="M691" s="37" t="s">
        <v>288</v>
      </c>
      <c r="N691" s="37">
        <v>3336.4019512195118</v>
      </c>
      <c r="O691" s="130">
        <f t="shared" si="50"/>
        <v>88265.806861289995</v>
      </c>
      <c r="P691" s="132">
        <f t="shared" si="51"/>
        <v>1465.492891496624</v>
      </c>
      <c r="Q691" s="261">
        <v>2.1736884859744024E-2</v>
      </c>
      <c r="R691" s="92"/>
    </row>
    <row r="692" spans="1:18" x14ac:dyDescent="0.25">
      <c r="A692" s="353">
        <v>41757</v>
      </c>
      <c r="B692" s="353" t="s">
        <v>285</v>
      </c>
      <c r="C692" s="263" t="s">
        <v>666</v>
      </c>
      <c r="D692" s="157" t="s">
        <v>667</v>
      </c>
      <c r="E692" s="44">
        <v>41757</v>
      </c>
      <c r="F692" s="146" t="str">
        <f t="shared" si="49"/>
        <v>2013-14</v>
      </c>
      <c r="G692" s="1"/>
      <c r="H692" s="161"/>
      <c r="I692" s="37"/>
      <c r="J692" s="135">
        <f t="shared" si="52"/>
        <v>0.76382508261777382</v>
      </c>
      <c r="K692" s="112"/>
      <c r="L692" s="37">
        <v>36.498757824999998</v>
      </c>
      <c r="M692" s="37" t="s">
        <v>288</v>
      </c>
      <c r="N692" s="37">
        <v>812.22926829268283</v>
      </c>
      <c r="O692" s="130">
        <f t="shared" si="50"/>
        <v>29645.359361791579</v>
      </c>
      <c r="P692" s="132">
        <f t="shared" si="51"/>
        <v>492.20717461794146</v>
      </c>
      <c r="Q692" s="261">
        <v>2.1736884859744024E-2</v>
      </c>
      <c r="R692" s="92"/>
    </row>
    <row r="693" spans="1:18" x14ac:dyDescent="0.25">
      <c r="A693" s="353">
        <v>41757</v>
      </c>
      <c r="B693" s="353" t="s">
        <v>285</v>
      </c>
      <c r="C693" s="263" t="s">
        <v>666</v>
      </c>
      <c r="D693" s="157" t="s">
        <v>667</v>
      </c>
      <c r="E693" s="44">
        <v>41757</v>
      </c>
      <c r="F693" s="146" t="str">
        <f t="shared" si="49"/>
        <v>2013-14</v>
      </c>
      <c r="G693" s="1"/>
      <c r="H693" s="161"/>
      <c r="I693" s="37"/>
      <c r="J693" s="135">
        <f t="shared" si="52"/>
        <v>0.76382508261777382</v>
      </c>
      <c r="K693" s="112"/>
      <c r="L693" s="37">
        <v>5.3331113819700002</v>
      </c>
      <c r="M693" s="37" t="s">
        <v>288</v>
      </c>
      <c r="N693" s="37">
        <v>812.22926829268283</v>
      </c>
      <c r="O693" s="130">
        <f t="shared" si="50"/>
        <v>4331.7091555008719</v>
      </c>
      <c r="P693" s="132">
        <f t="shared" si="51"/>
        <v>71.920137606552629</v>
      </c>
      <c r="Q693" s="261">
        <v>2.1736884859744024E-2</v>
      </c>
      <c r="R693" s="92"/>
    </row>
    <row r="694" spans="1:18" x14ac:dyDescent="0.25">
      <c r="A694" s="353">
        <v>41757</v>
      </c>
      <c r="B694" s="353" t="s">
        <v>285</v>
      </c>
      <c r="C694" s="263" t="s">
        <v>666</v>
      </c>
      <c r="D694" s="157" t="s">
        <v>667</v>
      </c>
      <c r="E694" s="44">
        <v>41757</v>
      </c>
      <c r="F694" s="146" t="str">
        <f t="shared" si="49"/>
        <v>2013-14</v>
      </c>
      <c r="G694" s="1"/>
      <c r="H694" s="161"/>
      <c r="I694" s="37"/>
      <c r="J694" s="135">
        <f t="shared" si="52"/>
        <v>0.76382508261777382</v>
      </c>
      <c r="K694" s="112"/>
      <c r="L694" s="37">
        <v>33.640207763799999</v>
      </c>
      <c r="M694" s="37" t="s">
        <v>288</v>
      </c>
      <c r="N694" s="37">
        <v>812.22926829268283</v>
      </c>
      <c r="O694" s="130">
        <f t="shared" si="50"/>
        <v>27323.561337205101</v>
      </c>
      <c r="P694" s="132">
        <f t="shared" si="51"/>
        <v>453.65794902858551</v>
      </c>
      <c r="Q694" s="261">
        <v>2.1736884859744024E-2</v>
      </c>
      <c r="R694" s="92"/>
    </row>
    <row r="695" spans="1:18" x14ac:dyDescent="0.25">
      <c r="A695" s="353">
        <v>41613</v>
      </c>
      <c r="B695" s="353" t="s">
        <v>285</v>
      </c>
      <c r="C695" s="263" t="s">
        <v>668</v>
      </c>
      <c r="D695" s="157" t="s">
        <v>669</v>
      </c>
      <c r="E695" s="44">
        <v>41613</v>
      </c>
      <c r="F695" s="146" t="str">
        <f t="shared" si="49"/>
        <v>2013-14</v>
      </c>
      <c r="G695" s="1"/>
      <c r="H695" s="161"/>
      <c r="I695" s="37"/>
      <c r="J695" s="135">
        <f t="shared" si="52"/>
        <v>0.76382508261777382</v>
      </c>
      <c r="K695" s="112"/>
      <c r="L695" s="37">
        <v>91.548538952399994</v>
      </c>
      <c r="M695" s="37" t="s">
        <v>288</v>
      </c>
      <c r="N695" s="37">
        <v>3336.4019512195118</v>
      </c>
      <c r="O695" s="130">
        <f t="shared" si="50"/>
        <v>305442.72399208281</v>
      </c>
      <c r="P695" s="132">
        <f t="shared" si="51"/>
        <v>109680.26375507713</v>
      </c>
      <c r="Q695" s="261">
        <v>0.47011573369254317</v>
      </c>
      <c r="R695" s="92"/>
    </row>
    <row r="696" spans="1:18" x14ac:dyDescent="0.25">
      <c r="A696" s="353">
        <v>41613</v>
      </c>
      <c r="B696" s="353" t="s">
        <v>285</v>
      </c>
      <c r="C696" s="263" t="s">
        <v>668</v>
      </c>
      <c r="D696" s="157" t="s">
        <v>669</v>
      </c>
      <c r="E696" s="44">
        <v>41613</v>
      </c>
      <c r="F696" s="146" t="str">
        <f t="shared" si="49"/>
        <v>2013-14</v>
      </c>
      <c r="G696" s="1"/>
      <c r="H696" s="161"/>
      <c r="I696" s="37"/>
      <c r="J696" s="135">
        <f t="shared" si="52"/>
        <v>0.76382508261777382</v>
      </c>
      <c r="K696" s="112"/>
      <c r="L696" s="37">
        <v>36.237694167100003</v>
      </c>
      <c r="M696" s="37" t="s">
        <v>288</v>
      </c>
      <c r="N696" s="37">
        <v>3336.4019512195118</v>
      </c>
      <c r="O696" s="130">
        <f t="shared" si="50"/>
        <v>120903.51352680837</v>
      </c>
      <c r="P696" s="132">
        <f t="shared" si="51"/>
        <v>43414.781924481533</v>
      </c>
      <c r="Q696" s="261">
        <v>0.47011573369254317</v>
      </c>
      <c r="R696" s="92"/>
    </row>
    <row r="697" spans="1:18" x14ac:dyDescent="0.25">
      <c r="A697" s="353">
        <v>41613</v>
      </c>
      <c r="B697" s="353" t="s">
        <v>285</v>
      </c>
      <c r="C697" s="263" t="s">
        <v>668</v>
      </c>
      <c r="D697" s="157" t="s">
        <v>669</v>
      </c>
      <c r="E697" s="44">
        <v>41613</v>
      </c>
      <c r="F697" s="146" t="str">
        <f t="shared" si="49"/>
        <v>2013-14</v>
      </c>
      <c r="G697" s="1"/>
      <c r="H697" s="161"/>
      <c r="I697" s="37"/>
      <c r="J697" s="135">
        <f t="shared" si="52"/>
        <v>0.76382508261777382</v>
      </c>
      <c r="K697" s="112"/>
      <c r="L697" s="37">
        <v>30.779938027899998</v>
      </c>
      <c r="M697" s="37" t="s">
        <v>288</v>
      </c>
      <c r="N697" s="37">
        <v>812.22926829268283</v>
      </c>
      <c r="O697" s="130">
        <f t="shared" si="50"/>
        <v>25000.36654249534</v>
      </c>
      <c r="P697" s="132">
        <f t="shared" si="51"/>
        <v>8977.2863485383568</v>
      </c>
      <c r="Q697" s="261">
        <v>0.47011573369254317</v>
      </c>
      <c r="R697" s="92"/>
    </row>
    <row r="698" spans="1:18" x14ac:dyDescent="0.25">
      <c r="A698" s="353">
        <v>41613</v>
      </c>
      <c r="B698" s="353" t="s">
        <v>285</v>
      </c>
      <c r="C698" s="263" t="s">
        <v>668</v>
      </c>
      <c r="D698" s="157" t="s">
        <v>669</v>
      </c>
      <c r="E698" s="44">
        <v>41613</v>
      </c>
      <c r="F698" s="146" t="str">
        <f t="shared" si="49"/>
        <v>2013-14</v>
      </c>
      <c r="G698" s="1"/>
      <c r="H698" s="161"/>
      <c r="I698" s="37"/>
      <c r="J698" s="135">
        <f t="shared" si="52"/>
        <v>0.76382508261777382</v>
      </c>
      <c r="K698" s="112"/>
      <c r="L698" s="37">
        <v>88.035457946799994</v>
      </c>
      <c r="M698" s="37" t="s">
        <v>288</v>
      </c>
      <c r="N698" s="37">
        <v>812.22926829268283</v>
      </c>
      <c r="O698" s="130">
        <f t="shared" si="50"/>
        <v>71504.975591940616</v>
      </c>
      <c r="P698" s="132">
        <f t="shared" si="51"/>
        <v>25676.449188973595</v>
      </c>
      <c r="Q698" s="261">
        <v>0.47011573369254317</v>
      </c>
      <c r="R698" s="92"/>
    </row>
    <row r="699" spans="1:18" x14ac:dyDescent="0.25">
      <c r="A699" s="353">
        <v>41613</v>
      </c>
      <c r="B699" s="353" t="s">
        <v>285</v>
      </c>
      <c r="C699" s="263" t="s">
        <v>668</v>
      </c>
      <c r="D699" s="157" t="s">
        <v>669</v>
      </c>
      <c r="E699" s="44">
        <v>41613</v>
      </c>
      <c r="F699" s="146" t="str">
        <f t="shared" ref="F699:F762" si="53">IF(E699="","-",IF(OR(E699&lt;$E$15,E699&gt;$E$16),"ERROR - date outside of range",IF(MONTH(E699)&gt;=7,YEAR(E699)&amp;"-"&amp;IF(YEAR(E699)=1999,"00",IF(AND(YEAR(E699)&gt;=2000,YEAR(E699)&lt;2009),"0","")&amp;RIGHT(YEAR(E699),2)+1),RIGHT(YEAR(E699),4)-1&amp;"-"&amp;RIGHT(YEAR(E699),2))))</f>
        <v>2013-14</v>
      </c>
      <c r="G699" s="1"/>
      <c r="H699" s="161"/>
      <c r="I699" s="37"/>
      <c r="J699" s="135">
        <f t="shared" si="52"/>
        <v>0.76382508261777382</v>
      </c>
      <c r="K699" s="112"/>
      <c r="L699" s="37">
        <v>76.171902088099998</v>
      </c>
      <c r="M699" s="37" t="s">
        <v>288</v>
      </c>
      <c r="N699" s="37">
        <v>812.22926829268283</v>
      </c>
      <c r="O699" s="130">
        <f t="shared" si="50"/>
        <v>61869.048297479341</v>
      </c>
      <c r="P699" s="132">
        <f t="shared" si="51"/>
        <v>22216.320778094654</v>
      </c>
      <c r="Q699" s="261">
        <v>0.47011573369254317</v>
      </c>
      <c r="R699" s="92"/>
    </row>
    <row r="700" spans="1:18" x14ac:dyDescent="0.25">
      <c r="A700" s="353">
        <v>41613</v>
      </c>
      <c r="B700" s="353" t="s">
        <v>285</v>
      </c>
      <c r="C700" s="263" t="s">
        <v>668</v>
      </c>
      <c r="D700" s="157" t="s">
        <v>669</v>
      </c>
      <c r="E700" s="44">
        <v>41613</v>
      </c>
      <c r="F700" s="146" t="str">
        <f t="shared" si="53"/>
        <v>2013-14</v>
      </c>
      <c r="G700" s="1"/>
      <c r="H700" s="161"/>
      <c r="I700" s="37"/>
      <c r="J700" s="135">
        <f t="shared" si="52"/>
        <v>0.76382508261777382</v>
      </c>
      <c r="K700" s="112"/>
      <c r="L700" s="37">
        <v>62.380608737099998</v>
      </c>
      <c r="M700" s="37" t="s">
        <v>288</v>
      </c>
      <c r="N700" s="37">
        <v>812.22926829268283</v>
      </c>
      <c r="O700" s="130">
        <f t="shared" si="50"/>
        <v>50667.356190186867</v>
      </c>
      <c r="P700" s="132">
        <f t="shared" si="51"/>
        <v>18193.947847506035</v>
      </c>
      <c r="Q700" s="261">
        <v>0.47011573369254317</v>
      </c>
      <c r="R700" s="92"/>
    </row>
    <row r="701" spans="1:18" x14ac:dyDescent="0.25">
      <c r="A701" s="353">
        <v>41613</v>
      </c>
      <c r="B701" s="353" t="s">
        <v>285</v>
      </c>
      <c r="C701" s="263" t="s">
        <v>668</v>
      </c>
      <c r="D701" s="157" t="s">
        <v>669</v>
      </c>
      <c r="E701" s="44">
        <v>41613</v>
      </c>
      <c r="F701" s="146" t="str">
        <f t="shared" si="53"/>
        <v>2013-14</v>
      </c>
      <c r="G701" s="1"/>
      <c r="H701" s="161"/>
      <c r="I701" s="37"/>
      <c r="J701" s="135">
        <f t="shared" si="52"/>
        <v>0.76382508261777382</v>
      </c>
      <c r="K701" s="112"/>
      <c r="L701" s="37">
        <v>25.495273518000001</v>
      </c>
      <c r="M701" s="37" t="s">
        <v>288</v>
      </c>
      <c r="N701" s="37">
        <v>812.22926829268283</v>
      </c>
      <c r="O701" s="130">
        <f t="shared" si="50"/>
        <v>20708.007354446956</v>
      </c>
      <c r="P701" s="132">
        <f t="shared" si="51"/>
        <v>7435.9594453351301</v>
      </c>
      <c r="Q701" s="261">
        <v>0.47011573369254317</v>
      </c>
      <c r="R701" s="92"/>
    </row>
    <row r="702" spans="1:18" x14ac:dyDescent="0.25">
      <c r="A702" s="353">
        <v>41613</v>
      </c>
      <c r="B702" s="353" t="s">
        <v>285</v>
      </c>
      <c r="C702" s="263" t="s">
        <v>668</v>
      </c>
      <c r="D702" s="157" t="s">
        <v>669</v>
      </c>
      <c r="E702" s="44">
        <v>41613</v>
      </c>
      <c r="F702" s="146" t="str">
        <f t="shared" si="53"/>
        <v>2013-14</v>
      </c>
      <c r="G702" s="1"/>
      <c r="H702" s="161"/>
      <c r="I702" s="37"/>
      <c r="J702" s="135">
        <f t="shared" si="52"/>
        <v>0.76382508261777382</v>
      </c>
      <c r="K702" s="112"/>
      <c r="L702" s="37">
        <v>30.3980089163</v>
      </c>
      <c r="M702" s="37" t="s">
        <v>288</v>
      </c>
      <c r="N702" s="37">
        <v>3336.4019512195118</v>
      </c>
      <c r="O702" s="130">
        <f t="shared" ref="O702:O765" si="54">IF(N702="","-",L702*N702)</f>
        <v>101419.97626153144</v>
      </c>
      <c r="P702" s="132">
        <f t="shared" ref="P702:P765" si="55">IF(O702="-","-",IF(OR(E702&lt;$E$15,E702&gt;$E$16),0,O702*J702))*Q702</f>
        <v>36418.512777167227</v>
      </c>
      <c r="Q702" s="261">
        <v>0.47011573369254317</v>
      </c>
      <c r="R702" s="92"/>
    </row>
    <row r="703" spans="1:18" x14ac:dyDescent="0.25">
      <c r="A703" s="353">
        <v>41613</v>
      </c>
      <c r="B703" s="353" t="s">
        <v>285</v>
      </c>
      <c r="C703" s="263" t="s">
        <v>668</v>
      </c>
      <c r="D703" s="157" t="s">
        <v>669</v>
      </c>
      <c r="E703" s="44">
        <v>41613</v>
      </c>
      <c r="F703" s="146" t="str">
        <f t="shared" si="53"/>
        <v>2013-14</v>
      </c>
      <c r="G703" s="1"/>
      <c r="H703" s="161"/>
      <c r="I703" s="37"/>
      <c r="J703" s="135">
        <f t="shared" si="52"/>
        <v>0.76382508261777382</v>
      </c>
      <c r="K703" s="112"/>
      <c r="L703" s="37">
        <v>5.89575179803</v>
      </c>
      <c r="M703" s="37" t="s">
        <v>288</v>
      </c>
      <c r="N703" s="37">
        <v>812.22926829268283</v>
      </c>
      <c r="O703" s="130">
        <f t="shared" si="54"/>
        <v>4788.7021689491758</v>
      </c>
      <c r="P703" s="132">
        <f t="shared" si="55"/>
        <v>1719.5568127151382</v>
      </c>
      <c r="Q703" s="261">
        <v>0.47011573369254317</v>
      </c>
      <c r="R703" s="92"/>
    </row>
    <row r="704" spans="1:18" x14ac:dyDescent="0.25">
      <c r="A704" s="353">
        <v>41613</v>
      </c>
      <c r="B704" s="353" t="s">
        <v>285</v>
      </c>
      <c r="C704" s="263" t="s">
        <v>668</v>
      </c>
      <c r="D704" s="157" t="s">
        <v>669</v>
      </c>
      <c r="E704" s="44">
        <v>41613</v>
      </c>
      <c r="F704" s="146" t="str">
        <f t="shared" si="53"/>
        <v>2013-14</v>
      </c>
      <c r="G704" s="1"/>
      <c r="H704" s="161"/>
      <c r="I704" s="37"/>
      <c r="J704" s="135">
        <f t="shared" si="52"/>
        <v>0.76382508261777382</v>
      </c>
      <c r="K704" s="112"/>
      <c r="L704" s="37">
        <v>45.077466279500001</v>
      </c>
      <c r="M704" s="37" t="s">
        <v>288</v>
      </c>
      <c r="N704" s="37">
        <v>3336.4019512195118</v>
      </c>
      <c r="O704" s="130">
        <f t="shared" si="54"/>
        <v>150396.54645095556</v>
      </c>
      <c r="P704" s="132">
        <f t="shared" si="55"/>
        <v>54005.322723029036</v>
      </c>
      <c r="Q704" s="261">
        <v>0.47011573369254317</v>
      </c>
      <c r="R704" s="92"/>
    </row>
    <row r="705" spans="1:18" x14ac:dyDescent="0.25">
      <c r="A705" s="353">
        <v>41613</v>
      </c>
      <c r="B705" s="353" t="s">
        <v>285</v>
      </c>
      <c r="C705" s="263" t="s">
        <v>668</v>
      </c>
      <c r="D705" s="157" t="s">
        <v>669</v>
      </c>
      <c r="E705" s="44">
        <v>41613</v>
      </c>
      <c r="F705" s="146" t="str">
        <f t="shared" si="53"/>
        <v>2013-14</v>
      </c>
      <c r="G705" s="1"/>
      <c r="H705" s="161"/>
      <c r="I705" s="37"/>
      <c r="J705" s="135">
        <f t="shared" si="52"/>
        <v>0.76382508261777382</v>
      </c>
      <c r="K705" s="112"/>
      <c r="L705" s="37">
        <v>20.927096430399999</v>
      </c>
      <c r="M705" s="37" t="s">
        <v>288</v>
      </c>
      <c r="N705" s="37">
        <v>812.22926829268283</v>
      </c>
      <c r="O705" s="130">
        <f t="shared" si="54"/>
        <v>16997.600221154207</v>
      </c>
      <c r="P705" s="132">
        <f t="shared" si="55"/>
        <v>6103.6034877290913</v>
      </c>
      <c r="Q705" s="261">
        <v>0.47011573369254317</v>
      </c>
      <c r="R705" s="92"/>
    </row>
    <row r="706" spans="1:18" x14ac:dyDescent="0.25">
      <c r="A706" s="353">
        <v>41613</v>
      </c>
      <c r="B706" s="353" t="s">
        <v>285</v>
      </c>
      <c r="C706" s="263" t="s">
        <v>668</v>
      </c>
      <c r="D706" s="157" t="s">
        <v>669</v>
      </c>
      <c r="E706" s="44">
        <v>41613</v>
      </c>
      <c r="F706" s="146" t="str">
        <f t="shared" si="53"/>
        <v>2013-14</v>
      </c>
      <c r="G706" s="1"/>
      <c r="H706" s="161"/>
      <c r="I706" s="37"/>
      <c r="J706" s="135">
        <f t="shared" si="52"/>
        <v>0.76382508261777382</v>
      </c>
      <c r="K706" s="112"/>
      <c r="L706" s="37">
        <v>10.4440253255</v>
      </c>
      <c r="M706" s="37" t="s">
        <v>288</v>
      </c>
      <c r="N706" s="37">
        <v>812.22926829268283</v>
      </c>
      <c r="O706" s="130">
        <f t="shared" si="54"/>
        <v>8482.9430481611143</v>
      </c>
      <c r="P706" s="132">
        <f t="shared" si="55"/>
        <v>3046.1076917508294</v>
      </c>
      <c r="Q706" s="261">
        <v>0.47011573369254317</v>
      </c>
      <c r="R706" s="92"/>
    </row>
    <row r="707" spans="1:18" x14ac:dyDescent="0.25">
      <c r="A707" s="353">
        <v>41613</v>
      </c>
      <c r="B707" s="353" t="s">
        <v>285</v>
      </c>
      <c r="C707" s="263" t="s">
        <v>668</v>
      </c>
      <c r="D707" s="157" t="s">
        <v>669</v>
      </c>
      <c r="E707" s="44">
        <v>41613</v>
      </c>
      <c r="F707" s="146" t="str">
        <f t="shared" si="53"/>
        <v>2013-14</v>
      </c>
      <c r="G707" s="1"/>
      <c r="H707" s="161"/>
      <c r="I707" s="37"/>
      <c r="J707" s="135">
        <f t="shared" si="52"/>
        <v>0.76382508261777382</v>
      </c>
      <c r="K707" s="112"/>
      <c r="L707" s="37">
        <v>22.531122718100001</v>
      </c>
      <c r="M707" s="37" t="s">
        <v>288</v>
      </c>
      <c r="N707" s="37">
        <v>3336.4019512195118</v>
      </c>
      <c r="O707" s="130">
        <f t="shared" si="54"/>
        <v>75172.881799835115</v>
      </c>
      <c r="P707" s="132">
        <f t="shared" si="55"/>
        <v>26993.543651243977</v>
      </c>
      <c r="Q707" s="261">
        <v>0.47011573369254317</v>
      </c>
      <c r="R707" s="92"/>
    </row>
    <row r="708" spans="1:18" x14ac:dyDescent="0.25">
      <c r="A708" s="353">
        <v>41613</v>
      </c>
      <c r="B708" s="353" t="s">
        <v>285</v>
      </c>
      <c r="C708" s="263" t="s">
        <v>668</v>
      </c>
      <c r="D708" s="157" t="s">
        <v>669</v>
      </c>
      <c r="E708" s="44">
        <v>41613</v>
      </c>
      <c r="F708" s="146" t="str">
        <f t="shared" si="53"/>
        <v>2013-14</v>
      </c>
      <c r="G708" s="1"/>
      <c r="H708" s="161"/>
      <c r="I708" s="37"/>
      <c r="J708" s="135">
        <f t="shared" si="52"/>
        <v>0.76382508261777382</v>
      </c>
      <c r="K708" s="112"/>
      <c r="L708" s="37">
        <v>41.4117799566</v>
      </c>
      <c r="M708" s="37" t="s">
        <v>288</v>
      </c>
      <c r="N708" s="37">
        <v>812.22926829268283</v>
      </c>
      <c r="O708" s="130">
        <f t="shared" si="54"/>
        <v>33635.859732846809</v>
      </c>
      <c r="P708" s="132">
        <f t="shared" si="55"/>
        <v>12078.172689499199</v>
      </c>
      <c r="Q708" s="261">
        <v>0.47011573369254317</v>
      </c>
      <c r="R708" s="92"/>
    </row>
    <row r="709" spans="1:18" x14ac:dyDescent="0.25">
      <c r="A709" s="353">
        <v>41613</v>
      </c>
      <c r="B709" s="353" t="s">
        <v>285</v>
      </c>
      <c r="C709" s="263" t="s">
        <v>668</v>
      </c>
      <c r="D709" s="157" t="s">
        <v>669</v>
      </c>
      <c r="E709" s="44">
        <v>41613</v>
      </c>
      <c r="F709" s="146" t="str">
        <f t="shared" si="53"/>
        <v>2013-14</v>
      </c>
      <c r="G709" s="1"/>
      <c r="H709" s="161"/>
      <c r="I709" s="37"/>
      <c r="J709" s="135">
        <f t="shared" si="52"/>
        <v>0.76382508261777382</v>
      </c>
      <c r="K709" s="112"/>
      <c r="L709" s="37">
        <v>10.8858389679</v>
      </c>
      <c r="M709" s="37" t="s">
        <v>288</v>
      </c>
      <c r="N709" s="37">
        <v>812.22926829268283</v>
      </c>
      <c r="O709" s="130">
        <f t="shared" si="54"/>
        <v>8841.7970196493898</v>
      </c>
      <c r="P709" s="132">
        <f t="shared" si="55"/>
        <v>3174.9671968258667</v>
      </c>
      <c r="Q709" s="261">
        <v>0.47011573369254317</v>
      </c>
      <c r="R709" s="92"/>
    </row>
    <row r="710" spans="1:18" x14ac:dyDescent="0.25">
      <c r="A710" s="353">
        <v>41551</v>
      </c>
      <c r="B710" s="353" t="s">
        <v>285</v>
      </c>
      <c r="C710" s="263" t="s">
        <v>670</v>
      </c>
      <c r="D710" s="157" t="s">
        <v>671</v>
      </c>
      <c r="E710" s="44">
        <v>41551</v>
      </c>
      <c r="F710" s="146" t="str">
        <f t="shared" si="53"/>
        <v>2013-14</v>
      </c>
      <c r="G710" s="1"/>
      <c r="H710" s="161"/>
      <c r="I710" s="37"/>
      <c r="J710" s="135">
        <f t="shared" si="52"/>
        <v>0.76382508261777382</v>
      </c>
      <c r="K710" s="112"/>
      <c r="L710" s="37">
        <v>84.943948746700002</v>
      </c>
      <c r="M710" s="37" t="s">
        <v>288</v>
      </c>
      <c r="N710" s="37">
        <v>3336.4019512195118</v>
      </c>
      <c r="O710" s="130">
        <f t="shared" si="54"/>
        <v>283407.1563427801</v>
      </c>
      <c r="P710" s="132">
        <f t="shared" si="55"/>
        <v>7831.3896147536479</v>
      </c>
      <c r="Q710" s="261">
        <v>3.6177129347569129E-2</v>
      </c>
      <c r="R710" s="92"/>
    </row>
    <row r="711" spans="1:18" x14ac:dyDescent="0.25">
      <c r="A711" s="353">
        <v>41551</v>
      </c>
      <c r="B711" s="353" t="s">
        <v>285</v>
      </c>
      <c r="C711" s="263" t="s">
        <v>670</v>
      </c>
      <c r="D711" s="157" t="s">
        <v>671</v>
      </c>
      <c r="E711" s="44">
        <v>41551</v>
      </c>
      <c r="F711" s="146" t="str">
        <f t="shared" si="53"/>
        <v>2013-14</v>
      </c>
      <c r="G711" s="1"/>
      <c r="H711" s="161"/>
      <c r="I711" s="37"/>
      <c r="J711" s="135">
        <f t="shared" si="52"/>
        <v>0.76382508261777382</v>
      </c>
      <c r="K711" s="112"/>
      <c r="L711" s="37">
        <v>92.783030166800003</v>
      </c>
      <c r="M711" s="37" t="s">
        <v>288</v>
      </c>
      <c r="N711" s="37">
        <v>3336.4019512195118</v>
      </c>
      <c r="O711" s="130">
        <f t="shared" si="54"/>
        <v>309561.48288857035</v>
      </c>
      <c r="P711" s="132">
        <f t="shared" si="55"/>
        <v>8554.1120891425526</v>
      </c>
      <c r="Q711" s="261">
        <v>3.6177129347569129E-2</v>
      </c>
      <c r="R711" s="92"/>
    </row>
    <row r="712" spans="1:18" x14ac:dyDescent="0.25">
      <c r="A712" s="353">
        <v>41551</v>
      </c>
      <c r="B712" s="353" t="s">
        <v>285</v>
      </c>
      <c r="C712" s="263" t="s">
        <v>670</v>
      </c>
      <c r="D712" s="157" t="s">
        <v>671</v>
      </c>
      <c r="E712" s="44">
        <v>41551</v>
      </c>
      <c r="F712" s="146" t="str">
        <f t="shared" si="53"/>
        <v>2013-14</v>
      </c>
      <c r="G712" s="1"/>
      <c r="H712" s="161"/>
      <c r="I712" s="37"/>
      <c r="J712" s="135">
        <f t="shared" si="52"/>
        <v>0.76382508261777382</v>
      </c>
      <c r="K712" s="112"/>
      <c r="L712" s="37">
        <v>83.206307565399996</v>
      </c>
      <c r="M712" s="37" t="s">
        <v>288</v>
      </c>
      <c r="N712" s="37">
        <v>3336.4019512195118</v>
      </c>
      <c r="O712" s="130">
        <f t="shared" si="54"/>
        <v>277609.68691497139</v>
      </c>
      <c r="P712" s="132">
        <f t="shared" si="55"/>
        <v>7671.1881489378766</v>
      </c>
      <c r="Q712" s="261">
        <v>3.6177129347569129E-2</v>
      </c>
      <c r="R712" s="92"/>
    </row>
    <row r="713" spans="1:18" x14ac:dyDescent="0.25">
      <c r="A713" s="353">
        <v>41551</v>
      </c>
      <c r="B713" s="353" t="s">
        <v>285</v>
      </c>
      <c r="C713" s="263" t="s">
        <v>670</v>
      </c>
      <c r="D713" s="157" t="s">
        <v>671</v>
      </c>
      <c r="E713" s="44">
        <v>41551</v>
      </c>
      <c r="F713" s="146" t="str">
        <f t="shared" si="53"/>
        <v>2013-14</v>
      </c>
      <c r="G713" s="1"/>
      <c r="H713" s="161"/>
      <c r="I713" s="37"/>
      <c r="J713" s="135">
        <f t="shared" si="52"/>
        <v>0.76382508261777382</v>
      </c>
      <c r="K713" s="112"/>
      <c r="L713" s="37">
        <v>76.403898527799996</v>
      </c>
      <c r="M713" s="37" t="s">
        <v>288</v>
      </c>
      <c r="N713" s="37">
        <v>812.22926829268283</v>
      </c>
      <c r="O713" s="130">
        <f t="shared" si="54"/>
        <v>62057.48259594338</v>
      </c>
      <c r="P713" s="132">
        <f t="shared" si="55"/>
        <v>1714.8343428978735</v>
      </c>
      <c r="Q713" s="261">
        <v>3.6177129347569129E-2</v>
      </c>
      <c r="R713" s="92"/>
    </row>
    <row r="714" spans="1:18" x14ac:dyDescent="0.25">
      <c r="A714" s="353">
        <v>41551</v>
      </c>
      <c r="B714" s="353" t="s">
        <v>285</v>
      </c>
      <c r="C714" s="263" t="s">
        <v>670</v>
      </c>
      <c r="D714" s="157" t="s">
        <v>671</v>
      </c>
      <c r="E714" s="44">
        <v>41551</v>
      </c>
      <c r="F714" s="146" t="str">
        <f t="shared" si="53"/>
        <v>2013-14</v>
      </c>
      <c r="G714" s="1"/>
      <c r="H714" s="161"/>
      <c r="I714" s="37"/>
      <c r="J714" s="135">
        <f t="shared" si="52"/>
        <v>0.76382508261777382</v>
      </c>
      <c r="K714" s="112"/>
      <c r="L714" s="37">
        <v>6.2547660228000002</v>
      </c>
      <c r="M714" s="37" t="s">
        <v>288</v>
      </c>
      <c r="N714" s="37">
        <v>812.22926829268283</v>
      </c>
      <c r="O714" s="130">
        <f t="shared" si="54"/>
        <v>5080.3040300407783</v>
      </c>
      <c r="P714" s="132">
        <f t="shared" si="55"/>
        <v>140.38403523068274</v>
      </c>
      <c r="Q714" s="261">
        <v>3.6177129347569129E-2</v>
      </c>
      <c r="R714" s="92"/>
    </row>
    <row r="715" spans="1:18" x14ac:dyDescent="0.25">
      <c r="A715" s="353">
        <v>41551</v>
      </c>
      <c r="B715" s="353" t="s">
        <v>285</v>
      </c>
      <c r="C715" s="263" t="s">
        <v>670</v>
      </c>
      <c r="D715" s="157" t="s">
        <v>671</v>
      </c>
      <c r="E715" s="44">
        <v>41551</v>
      </c>
      <c r="F715" s="146" t="str">
        <f t="shared" si="53"/>
        <v>2013-14</v>
      </c>
      <c r="G715" s="1"/>
      <c r="H715" s="161"/>
      <c r="I715" s="37"/>
      <c r="J715" s="135">
        <f t="shared" si="52"/>
        <v>0.76382508261777382</v>
      </c>
      <c r="K715" s="112"/>
      <c r="L715" s="37">
        <v>81.957057626400001</v>
      </c>
      <c r="M715" s="37" t="s">
        <v>288</v>
      </c>
      <c r="N715" s="37">
        <v>812.22926829268283</v>
      </c>
      <c r="O715" s="130">
        <f t="shared" si="54"/>
        <v>66567.920947312115</v>
      </c>
      <c r="P715" s="132">
        <f t="shared" si="55"/>
        <v>1839.4712805063671</v>
      </c>
      <c r="Q715" s="261">
        <v>3.6177129347569129E-2</v>
      </c>
      <c r="R715" s="92"/>
    </row>
    <row r="716" spans="1:18" x14ac:dyDescent="0.25">
      <c r="A716" s="353">
        <v>41551</v>
      </c>
      <c r="B716" s="353" t="s">
        <v>285</v>
      </c>
      <c r="C716" s="263" t="s">
        <v>670</v>
      </c>
      <c r="D716" s="157" t="s">
        <v>671</v>
      </c>
      <c r="E716" s="44">
        <v>41551</v>
      </c>
      <c r="F716" s="146" t="str">
        <f t="shared" si="53"/>
        <v>2013-14</v>
      </c>
      <c r="G716" s="1"/>
      <c r="H716" s="161"/>
      <c r="I716" s="37"/>
      <c r="J716" s="135">
        <f t="shared" si="52"/>
        <v>0.76382508261777382</v>
      </c>
      <c r="K716" s="112"/>
      <c r="L716" s="37">
        <v>39.747492786499997</v>
      </c>
      <c r="M716" s="37" t="s">
        <v>288</v>
      </c>
      <c r="N716" s="37">
        <v>812.22926829268283</v>
      </c>
      <c r="O716" s="130">
        <f t="shared" si="54"/>
        <v>32284.076982447583</v>
      </c>
      <c r="P716" s="132">
        <f t="shared" si="55"/>
        <v>892.10586092770063</v>
      </c>
      <c r="Q716" s="261">
        <v>3.6177129347569129E-2</v>
      </c>
      <c r="R716" s="92"/>
    </row>
    <row r="717" spans="1:18" x14ac:dyDescent="0.25">
      <c r="A717" s="353">
        <v>41551</v>
      </c>
      <c r="B717" s="353" t="s">
        <v>285</v>
      </c>
      <c r="C717" s="263" t="s">
        <v>670</v>
      </c>
      <c r="D717" s="157" t="s">
        <v>671</v>
      </c>
      <c r="E717" s="44">
        <v>41551</v>
      </c>
      <c r="F717" s="146" t="str">
        <f t="shared" si="53"/>
        <v>2013-14</v>
      </c>
      <c r="G717" s="1"/>
      <c r="H717" s="161"/>
      <c r="I717" s="37"/>
      <c r="J717" s="135">
        <f t="shared" si="52"/>
        <v>0.76382508261777382</v>
      </c>
      <c r="K717" s="112"/>
      <c r="L717" s="37">
        <v>26.8347883637</v>
      </c>
      <c r="M717" s="37" t="s">
        <v>288</v>
      </c>
      <c r="N717" s="37">
        <v>812.22926829268283</v>
      </c>
      <c r="O717" s="130">
        <f t="shared" si="54"/>
        <v>21796.000517437049</v>
      </c>
      <c r="P717" s="132">
        <f t="shared" si="55"/>
        <v>602.28885642170951</v>
      </c>
      <c r="Q717" s="261">
        <v>3.6177129347569129E-2</v>
      </c>
      <c r="R717" s="92"/>
    </row>
    <row r="718" spans="1:18" x14ac:dyDescent="0.25">
      <c r="A718" s="353">
        <v>41551</v>
      </c>
      <c r="B718" s="353" t="s">
        <v>285</v>
      </c>
      <c r="C718" s="263" t="s">
        <v>670</v>
      </c>
      <c r="D718" s="157" t="s">
        <v>671</v>
      </c>
      <c r="E718" s="44">
        <v>41551</v>
      </c>
      <c r="F718" s="146" t="str">
        <f t="shared" si="53"/>
        <v>2013-14</v>
      </c>
      <c r="G718" s="1"/>
      <c r="H718" s="161"/>
      <c r="I718" s="37"/>
      <c r="J718" s="135">
        <f t="shared" si="52"/>
        <v>0.76382508261777382</v>
      </c>
      <c r="K718" s="112"/>
      <c r="L718" s="37">
        <v>21.692872422800001</v>
      </c>
      <c r="M718" s="37" t="s">
        <v>288</v>
      </c>
      <c r="N718" s="37">
        <v>3336.4019512195118</v>
      </c>
      <c r="O718" s="130">
        <f t="shared" si="54"/>
        <v>72376.141878985858</v>
      </c>
      <c r="P718" s="132">
        <f t="shared" si="55"/>
        <v>1999.9698426156767</v>
      </c>
      <c r="Q718" s="261">
        <v>3.6177129347569129E-2</v>
      </c>
      <c r="R718" s="92"/>
    </row>
    <row r="719" spans="1:18" x14ac:dyDescent="0.25">
      <c r="A719" s="353">
        <v>41551</v>
      </c>
      <c r="B719" s="353" t="s">
        <v>285</v>
      </c>
      <c r="C719" s="263" t="s">
        <v>670</v>
      </c>
      <c r="D719" s="157" t="s">
        <v>671</v>
      </c>
      <c r="E719" s="44">
        <v>41551</v>
      </c>
      <c r="F719" s="146" t="str">
        <f t="shared" si="53"/>
        <v>2013-14</v>
      </c>
      <c r="G719" s="1"/>
      <c r="H719" s="161"/>
      <c r="I719" s="37"/>
      <c r="J719" s="135">
        <f t="shared" si="52"/>
        <v>0.76382508261777382</v>
      </c>
      <c r="K719" s="112"/>
      <c r="L719" s="37">
        <v>5.8725287568500004</v>
      </c>
      <c r="M719" s="37" t="s">
        <v>288</v>
      </c>
      <c r="N719" s="37">
        <v>812.22926829268283</v>
      </c>
      <c r="O719" s="130">
        <f t="shared" si="54"/>
        <v>4769.8397352040138</v>
      </c>
      <c r="P719" s="132">
        <f t="shared" si="55"/>
        <v>131.80497574004758</v>
      </c>
      <c r="Q719" s="261">
        <v>3.6177129347569129E-2</v>
      </c>
      <c r="R719" s="92"/>
    </row>
    <row r="720" spans="1:18" x14ac:dyDescent="0.25">
      <c r="A720" s="353">
        <v>41551</v>
      </c>
      <c r="B720" s="353" t="s">
        <v>285</v>
      </c>
      <c r="C720" s="263" t="s">
        <v>670</v>
      </c>
      <c r="D720" s="157" t="s">
        <v>671</v>
      </c>
      <c r="E720" s="44">
        <v>41551</v>
      </c>
      <c r="F720" s="146" t="str">
        <f t="shared" si="53"/>
        <v>2013-14</v>
      </c>
      <c r="G720" s="1"/>
      <c r="H720" s="161"/>
      <c r="I720" s="37"/>
      <c r="J720" s="135">
        <f t="shared" si="52"/>
        <v>0.76382508261777382</v>
      </c>
      <c r="K720" s="112"/>
      <c r="L720" s="37">
        <v>7.2037434712800001</v>
      </c>
      <c r="M720" s="37" t="s">
        <v>288</v>
      </c>
      <c r="N720" s="37">
        <v>812.22926829268283</v>
      </c>
      <c r="O720" s="130">
        <f t="shared" si="54"/>
        <v>5851.0912886459455</v>
      </c>
      <c r="P720" s="132">
        <f t="shared" si="55"/>
        <v>161.68319863262596</v>
      </c>
      <c r="Q720" s="261">
        <v>3.6177129347569129E-2</v>
      </c>
      <c r="R720" s="92"/>
    </row>
    <row r="721" spans="1:18" x14ac:dyDescent="0.25">
      <c r="A721" s="353">
        <v>41551</v>
      </c>
      <c r="B721" s="353" t="s">
        <v>285</v>
      </c>
      <c r="C721" s="263" t="s">
        <v>670</v>
      </c>
      <c r="D721" s="157" t="s">
        <v>671</v>
      </c>
      <c r="E721" s="44">
        <v>41551</v>
      </c>
      <c r="F721" s="146" t="str">
        <f t="shared" si="53"/>
        <v>2013-14</v>
      </c>
      <c r="G721" s="1"/>
      <c r="H721" s="161"/>
      <c r="I721" s="37"/>
      <c r="J721" s="135">
        <f t="shared" si="52"/>
        <v>0.76382508261777382</v>
      </c>
      <c r="K721" s="112"/>
      <c r="L721" s="37">
        <v>22.613578173200001</v>
      </c>
      <c r="M721" s="37" t="s">
        <v>288</v>
      </c>
      <c r="N721" s="37">
        <v>812.22926829268283</v>
      </c>
      <c r="O721" s="130">
        <f t="shared" si="54"/>
        <v>18367.410053097621</v>
      </c>
      <c r="P721" s="132">
        <f t="shared" si="55"/>
        <v>507.54662019110611</v>
      </c>
      <c r="Q721" s="261">
        <v>3.6177129347569129E-2</v>
      </c>
      <c r="R721" s="92"/>
    </row>
    <row r="722" spans="1:18" x14ac:dyDescent="0.25">
      <c r="A722" s="353">
        <v>41551</v>
      </c>
      <c r="B722" s="353" t="s">
        <v>285</v>
      </c>
      <c r="C722" s="263" t="s">
        <v>670</v>
      </c>
      <c r="D722" s="157" t="s">
        <v>671</v>
      </c>
      <c r="E722" s="44">
        <v>41551</v>
      </c>
      <c r="F722" s="146" t="str">
        <f t="shared" si="53"/>
        <v>2013-14</v>
      </c>
      <c r="G722" s="1"/>
      <c r="H722" s="161"/>
      <c r="I722" s="37"/>
      <c r="J722" s="135">
        <f t="shared" si="52"/>
        <v>0.76382508261777382</v>
      </c>
      <c r="K722" s="112"/>
      <c r="L722" s="37">
        <v>27.795789586200002</v>
      </c>
      <c r="M722" s="37" t="s">
        <v>288</v>
      </c>
      <c r="N722" s="37">
        <v>812.22926829268283</v>
      </c>
      <c r="O722" s="130">
        <f t="shared" si="54"/>
        <v>22576.553837216601</v>
      </c>
      <c r="P722" s="132">
        <f t="shared" si="55"/>
        <v>623.85788538048996</v>
      </c>
      <c r="Q722" s="261">
        <v>3.6177129347569129E-2</v>
      </c>
      <c r="R722" s="92"/>
    </row>
    <row r="723" spans="1:18" x14ac:dyDescent="0.25">
      <c r="A723" s="353">
        <v>41551</v>
      </c>
      <c r="B723" s="353" t="s">
        <v>285</v>
      </c>
      <c r="C723" s="263" t="s">
        <v>670</v>
      </c>
      <c r="D723" s="157" t="s">
        <v>671</v>
      </c>
      <c r="E723" s="44">
        <v>41551</v>
      </c>
      <c r="F723" s="146" t="str">
        <f t="shared" si="53"/>
        <v>2013-14</v>
      </c>
      <c r="G723" s="1"/>
      <c r="H723" s="161"/>
      <c r="I723" s="37"/>
      <c r="J723" s="135">
        <f t="shared" si="52"/>
        <v>0.76382508261777382</v>
      </c>
      <c r="K723" s="112"/>
      <c r="L723" s="37">
        <v>5.2820909939899998</v>
      </c>
      <c r="M723" s="37" t="s">
        <v>288</v>
      </c>
      <c r="N723" s="37">
        <v>812.22926829268283</v>
      </c>
      <c r="O723" s="130">
        <f t="shared" si="54"/>
        <v>4290.2689031038672</v>
      </c>
      <c r="P723" s="132">
        <f t="shared" si="55"/>
        <v>118.55299550597989</v>
      </c>
      <c r="Q723" s="261">
        <v>3.6177129347569129E-2</v>
      </c>
      <c r="R723" s="92"/>
    </row>
    <row r="724" spans="1:18" x14ac:dyDescent="0.25">
      <c r="A724" s="353">
        <v>41551</v>
      </c>
      <c r="B724" s="353" t="s">
        <v>285</v>
      </c>
      <c r="C724" s="263" t="s">
        <v>670</v>
      </c>
      <c r="D724" s="157" t="s">
        <v>671</v>
      </c>
      <c r="E724" s="44">
        <v>41551</v>
      </c>
      <c r="F724" s="146" t="str">
        <f t="shared" si="53"/>
        <v>2013-14</v>
      </c>
      <c r="G724" s="1"/>
      <c r="H724" s="161"/>
      <c r="I724" s="37"/>
      <c r="J724" s="135">
        <f t="shared" si="52"/>
        <v>0.76382508261777382</v>
      </c>
      <c r="K724" s="112"/>
      <c r="L724" s="37">
        <v>59.432340420199999</v>
      </c>
      <c r="M724" s="37" t="s">
        <v>288</v>
      </c>
      <c r="N724" s="37">
        <v>3336.4019512195118</v>
      </c>
      <c r="O724" s="130">
        <f t="shared" si="54"/>
        <v>198290.17654349754</v>
      </c>
      <c r="P724" s="132">
        <f t="shared" si="55"/>
        <v>5479.3522130125775</v>
      </c>
      <c r="Q724" s="261">
        <v>3.6177129347569129E-2</v>
      </c>
      <c r="R724" s="92"/>
    </row>
    <row r="725" spans="1:18" x14ac:dyDescent="0.25">
      <c r="A725" s="353">
        <v>41551</v>
      </c>
      <c r="B725" s="353" t="s">
        <v>285</v>
      </c>
      <c r="C725" s="263" t="s">
        <v>670</v>
      </c>
      <c r="D725" s="157" t="s">
        <v>671</v>
      </c>
      <c r="E725" s="44">
        <v>41551</v>
      </c>
      <c r="F725" s="146" t="str">
        <f t="shared" si="53"/>
        <v>2013-14</v>
      </c>
      <c r="G725" s="1"/>
      <c r="H725" s="161"/>
      <c r="I725" s="37"/>
      <c r="J725" s="135">
        <f t="shared" si="52"/>
        <v>0.76382508261777382</v>
      </c>
      <c r="K725" s="112"/>
      <c r="L725" s="37">
        <v>70.0065743989</v>
      </c>
      <c r="M725" s="37" t="s">
        <v>288</v>
      </c>
      <c r="N725" s="37">
        <v>3336.4019512195118</v>
      </c>
      <c r="O725" s="130">
        <f t="shared" si="54"/>
        <v>233570.07142268389</v>
      </c>
      <c r="P725" s="132">
        <f t="shared" si="55"/>
        <v>6454.2415063241697</v>
      </c>
      <c r="Q725" s="261">
        <v>3.6177129347569129E-2</v>
      </c>
      <c r="R725" s="92"/>
    </row>
    <row r="726" spans="1:18" x14ac:dyDescent="0.25">
      <c r="A726" s="353">
        <v>41325</v>
      </c>
      <c r="B726" s="353" t="s">
        <v>285</v>
      </c>
      <c r="C726" s="263" t="s">
        <v>672</v>
      </c>
      <c r="D726" s="157" t="s">
        <v>671</v>
      </c>
      <c r="E726" s="44">
        <v>41325</v>
      </c>
      <c r="F726" s="146" t="str">
        <f t="shared" si="53"/>
        <v>2012-13</v>
      </c>
      <c r="G726" s="1"/>
      <c r="H726" s="161"/>
      <c r="I726" s="37"/>
      <c r="J726" s="135">
        <f t="shared" si="52"/>
        <v>0.76382508261777382</v>
      </c>
      <c r="K726" s="112"/>
      <c r="L726" s="37">
        <v>38.578025153600002</v>
      </c>
      <c r="M726" s="37" t="s">
        <v>288</v>
      </c>
      <c r="N726" s="37">
        <v>950.87219512195099</v>
      </c>
      <c r="O726" s="130">
        <f t="shared" si="54"/>
        <v>36682.771461273478</v>
      </c>
      <c r="P726" s="132">
        <f t="shared" si="55"/>
        <v>5229.364871579065</v>
      </c>
      <c r="Q726" s="261">
        <v>0.18663491331159471</v>
      </c>
      <c r="R726" s="92"/>
    </row>
    <row r="727" spans="1:18" x14ac:dyDescent="0.25">
      <c r="A727" s="353">
        <v>41551</v>
      </c>
      <c r="B727" s="353" t="s">
        <v>285</v>
      </c>
      <c r="C727" s="263" t="s">
        <v>670</v>
      </c>
      <c r="D727" s="157" t="s">
        <v>671</v>
      </c>
      <c r="E727" s="44">
        <v>41551</v>
      </c>
      <c r="F727" s="146" t="str">
        <f t="shared" si="53"/>
        <v>2013-14</v>
      </c>
      <c r="G727" s="1"/>
      <c r="H727" s="161"/>
      <c r="I727" s="37"/>
      <c r="J727" s="135">
        <f t="shared" si="52"/>
        <v>0.76382508261777382</v>
      </c>
      <c r="K727" s="112"/>
      <c r="L727" s="37">
        <v>21.720052562100001</v>
      </c>
      <c r="M727" s="37" t="s">
        <v>288</v>
      </c>
      <c r="N727" s="37">
        <v>3336.4019512195118</v>
      </c>
      <c r="O727" s="130">
        <f t="shared" si="54"/>
        <v>72466.8257487808</v>
      </c>
      <c r="P727" s="132">
        <f t="shared" si="55"/>
        <v>2002.4757098820587</v>
      </c>
      <c r="Q727" s="261">
        <v>3.6177129347569129E-2</v>
      </c>
      <c r="R727" s="92"/>
    </row>
    <row r="728" spans="1:18" x14ac:dyDescent="0.25">
      <c r="A728" s="353">
        <v>41551</v>
      </c>
      <c r="B728" s="353" t="s">
        <v>285</v>
      </c>
      <c r="C728" s="263" t="s">
        <v>670</v>
      </c>
      <c r="D728" s="157" t="s">
        <v>671</v>
      </c>
      <c r="E728" s="44">
        <v>41551</v>
      </c>
      <c r="F728" s="146" t="str">
        <f t="shared" si="53"/>
        <v>2013-14</v>
      </c>
      <c r="G728" s="1"/>
      <c r="H728" s="161"/>
      <c r="I728" s="37"/>
      <c r="J728" s="135">
        <f t="shared" si="52"/>
        <v>0.76382508261777382</v>
      </c>
      <c r="K728" s="112"/>
      <c r="L728" s="37">
        <v>85.953718617000007</v>
      </c>
      <c r="M728" s="37" t="s">
        <v>288</v>
      </c>
      <c r="N728" s="37">
        <v>3336.4019512195118</v>
      </c>
      <c r="O728" s="130">
        <f t="shared" si="54"/>
        <v>286776.15450833167</v>
      </c>
      <c r="P728" s="132">
        <f t="shared" si="55"/>
        <v>7924.4851370625947</v>
      </c>
      <c r="Q728" s="261">
        <v>3.6177129347569129E-2</v>
      </c>
      <c r="R728" s="92"/>
    </row>
    <row r="729" spans="1:18" x14ac:dyDescent="0.25">
      <c r="A729" s="353">
        <v>41551</v>
      </c>
      <c r="B729" s="353" t="s">
        <v>285</v>
      </c>
      <c r="C729" s="263" t="s">
        <v>670</v>
      </c>
      <c r="D729" s="157" t="s">
        <v>671</v>
      </c>
      <c r="E729" s="44">
        <v>41551</v>
      </c>
      <c r="F729" s="146" t="str">
        <f t="shared" si="53"/>
        <v>2013-14</v>
      </c>
      <c r="G729" s="1"/>
      <c r="H729" s="161"/>
      <c r="I729" s="37"/>
      <c r="J729" s="135">
        <f t="shared" ref="J729:J792" si="56">J728</f>
        <v>0.76382508261777382</v>
      </c>
      <c r="K729" s="112"/>
      <c r="L729" s="37">
        <v>36.477579107799997</v>
      </c>
      <c r="M729" s="37" t="s">
        <v>288</v>
      </c>
      <c r="N729" s="37">
        <v>3336.4019512195118</v>
      </c>
      <c r="O729" s="130">
        <f t="shared" si="54"/>
        <v>121703.86611102801</v>
      </c>
      <c r="P729" s="132">
        <f t="shared" si="55"/>
        <v>3363.04278775688</v>
      </c>
      <c r="Q729" s="261">
        <v>3.6177129347569129E-2</v>
      </c>
      <c r="R729" s="92"/>
    </row>
    <row r="730" spans="1:18" x14ac:dyDescent="0.25">
      <c r="A730" s="353">
        <v>41551</v>
      </c>
      <c r="B730" s="353" t="s">
        <v>285</v>
      </c>
      <c r="C730" s="263" t="s">
        <v>670</v>
      </c>
      <c r="D730" s="157" t="s">
        <v>671</v>
      </c>
      <c r="E730" s="44">
        <v>41551</v>
      </c>
      <c r="F730" s="146" t="str">
        <f t="shared" si="53"/>
        <v>2013-14</v>
      </c>
      <c r="G730" s="1"/>
      <c r="H730" s="161"/>
      <c r="I730" s="37"/>
      <c r="J730" s="135">
        <f t="shared" si="56"/>
        <v>0.76382508261777382</v>
      </c>
      <c r="K730" s="112"/>
      <c r="L730" s="37">
        <v>97.089467709499999</v>
      </c>
      <c r="M730" s="37" t="s">
        <v>288</v>
      </c>
      <c r="N730" s="37">
        <v>812.22926829268283</v>
      </c>
      <c r="O730" s="130">
        <f t="shared" si="54"/>
        <v>78858.907316613244</v>
      </c>
      <c r="P730" s="132">
        <f t="shared" si="55"/>
        <v>2179.1080922571709</v>
      </c>
      <c r="Q730" s="261">
        <v>3.6177129347569129E-2</v>
      </c>
      <c r="R730" s="92"/>
    </row>
    <row r="731" spans="1:18" x14ac:dyDescent="0.25">
      <c r="A731" s="353">
        <v>41551</v>
      </c>
      <c r="B731" s="353" t="s">
        <v>285</v>
      </c>
      <c r="C731" s="263" t="s">
        <v>670</v>
      </c>
      <c r="D731" s="157" t="s">
        <v>671</v>
      </c>
      <c r="E731" s="44">
        <v>41551</v>
      </c>
      <c r="F731" s="146" t="str">
        <f t="shared" si="53"/>
        <v>2013-14</v>
      </c>
      <c r="G731" s="1"/>
      <c r="H731" s="161"/>
      <c r="I731" s="37"/>
      <c r="J731" s="135">
        <f t="shared" si="56"/>
        <v>0.76382508261777382</v>
      </c>
      <c r="K731" s="112"/>
      <c r="L731" s="37">
        <v>69.328617212400005</v>
      </c>
      <c r="M731" s="37" t="s">
        <v>288</v>
      </c>
      <c r="N731" s="37">
        <v>3336.4019512195118</v>
      </c>
      <c r="O731" s="130">
        <f t="shared" si="54"/>
        <v>231308.13374280202</v>
      </c>
      <c r="P731" s="132">
        <f t="shared" si="55"/>
        <v>6391.7373851014099</v>
      </c>
      <c r="Q731" s="261">
        <v>3.6177129347569129E-2</v>
      </c>
      <c r="R731" s="92"/>
    </row>
    <row r="732" spans="1:18" x14ac:dyDescent="0.25">
      <c r="A732" s="353">
        <v>41551</v>
      </c>
      <c r="B732" s="353" t="s">
        <v>285</v>
      </c>
      <c r="C732" s="263" t="s">
        <v>670</v>
      </c>
      <c r="D732" s="157" t="s">
        <v>671</v>
      </c>
      <c r="E732" s="44">
        <v>41551</v>
      </c>
      <c r="F732" s="146" t="str">
        <f t="shared" si="53"/>
        <v>2013-14</v>
      </c>
      <c r="G732" s="1"/>
      <c r="H732" s="161"/>
      <c r="I732" s="37"/>
      <c r="J732" s="135">
        <f t="shared" si="56"/>
        <v>0.76382508261777382</v>
      </c>
      <c r="K732" s="112"/>
      <c r="L732" s="37">
        <v>47.4202810902</v>
      </c>
      <c r="M732" s="37" t="s">
        <v>288</v>
      </c>
      <c r="N732" s="37">
        <v>3336.4019512195118</v>
      </c>
      <c r="O732" s="130">
        <f t="shared" si="54"/>
        <v>158213.11835672101</v>
      </c>
      <c r="P732" s="132">
        <f t="shared" si="55"/>
        <v>4371.9029117176324</v>
      </c>
      <c r="Q732" s="261">
        <v>3.6177129347569129E-2</v>
      </c>
      <c r="R732" s="92"/>
    </row>
    <row r="733" spans="1:18" x14ac:dyDescent="0.25">
      <c r="A733" s="353">
        <v>41551</v>
      </c>
      <c r="B733" s="353" t="s">
        <v>285</v>
      </c>
      <c r="C733" s="263" t="s">
        <v>670</v>
      </c>
      <c r="D733" s="157" t="s">
        <v>671</v>
      </c>
      <c r="E733" s="44">
        <v>41551</v>
      </c>
      <c r="F733" s="146" t="str">
        <f t="shared" si="53"/>
        <v>2013-14</v>
      </c>
      <c r="G733" s="1"/>
      <c r="H733" s="161"/>
      <c r="I733" s="37"/>
      <c r="J733" s="135">
        <f t="shared" si="56"/>
        <v>0.76382508261777382</v>
      </c>
      <c r="K733" s="112"/>
      <c r="L733" s="37">
        <v>20.2722246732</v>
      </c>
      <c r="M733" s="37" t="s">
        <v>288</v>
      </c>
      <c r="N733" s="37">
        <v>812.22926829268283</v>
      </c>
      <c r="O733" s="130">
        <f t="shared" si="54"/>
        <v>16465.694212978109</v>
      </c>
      <c r="P733" s="132">
        <f t="shared" si="55"/>
        <v>454.9965086388371</v>
      </c>
      <c r="Q733" s="261">
        <v>3.6177129347569129E-2</v>
      </c>
      <c r="R733" s="92"/>
    </row>
    <row r="734" spans="1:18" x14ac:dyDescent="0.25">
      <c r="A734" s="353">
        <v>41551</v>
      </c>
      <c r="B734" s="353" t="s">
        <v>285</v>
      </c>
      <c r="C734" s="263" t="s">
        <v>670</v>
      </c>
      <c r="D734" s="157" t="s">
        <v>671</v>
      </c>
      <c r="E734" s="44">
        <v>41551</v>
      </c>
      <c r="F734" s="146" t="str">
        <f t="shared" si="53"/>
        <v>2013-14</v>
      </c>
      <c r="G734" s="1"/>
      <c r="H734" s="161"/>
      <c r="I734" s="37"/>
      <c r="J734" s="135">
        <f t="shared" si="56"/>
        <v>0.76382508261777382</v>
      </c>
      <c r="K734" s="112"/>
      <c r="L734" s="37">
        <v>8.9530174243099996</v>
      </c>
      <c r="M734" s="37" t="s">
        <v>288</v>
      </c>
      <c r="N734" s="37">
        <v>812.22926829268283</v>
      </c>
      <c r="O734" s="130">
        <f t="shared" si="54"/>
        <v>7271.9027915589504</v>
      </c>
      <c r="P734" s="132">
        <f t="shared" si="55"/>
        <v>200.94448120580643</v>
      </c>
      <c r="Q734" s="261">
        <v>3.6177129347569129E-2</v>
      </c>
      <c r="R734" s="92"/>
    </row>
    <row r="735" spans="1:18" x14ac:dyDescent="0.25">
      <c r="A735" s="353">
        <v>41551</v>
      </c>
      <c r="B735" s="353" t="s">
        <v>285</v>
      </c>
      <c r="C735" s="263" t="s">
        <v>670</v>
      </c>
      <c r="D735" s="157" t="s">
        <v>671</v>
      </c>
      <c r="E735" s="44">
        <v>41551</v>
      </c>
      <c r="F735" s="146" t="str">
        <f t="shared" si="53"/>
        <v>2013-14</v>
      </c>
      <c r="G735" s="1"/>
      <c r="H735" s="161"/>
      <c r="I735" s="37"/>
      <c r="J735" s="135">
        <f t="shared" si="56"/>
        <v>0.76382508261777382</v>
      </c>
      <c r="K735" s="112"/>
      <c r="L735" s="37">
        <v>54.392853174499997</v>
      </c>
      <c r="M735" s="37" t="s">
        <v>288</v>
      </c>
      <c r="N735" s="37">
        <v>812.22926829268283</v>
      </c>
      <c r="O735" s="130">
        <f t="shared" si="54"/>
        <v>44179.467334275461</v>
      </c>
      <c r="P735" s="132">
        <f t="shared" si="55"/>
        <v>1220.8111683973254</v>
      </c>
      <c r="Q735" s="261">
        <v>3.6177129347569129E-2</v>
      </c>
      <c r="R735" s="92"/>
    </row>
    <row r="736" spans="1:18" x14ac:dyDescent="0.25">
      <c r="A736" s="353">
        <v>41551</v>
      </c>
      <c r="B736" s="353" t="s">
        <v>285</v>
      </c>
      <c r="C736" s="263" t="s">
        <v>670</v>
      </c>
      <c r="D736" s="157" t="s">
        <v>671</v>
      </c>
      <c r="E736" s="44">
        <v>41551</v>
      </c>
      <c r="F736" s="146" t="str">
        <f t="shared" si="53"/>
        <v>2013-14</v>
      </c>
      <c r="G736" s="1"/>
      <c r="H736" s="161"/>
      <c r="I736" s="37"/>
      <c r="J736" s="135">
        <f t="shared" si="56"/>
        <v>0.76382508261777382</v>
      </c>
      <c r="K736" s="112"/>
      <c r="L736" s="37">
        <v>6.0639987631899999</v>
      </c>
      <c r="M736" s="37" t="s">
        <v>288</v>
      </c>
      <c r="N736" s="37">
        <v>812.22926829268283</v>
      </c>
      <c r="O736" s="130">
        <f t="shared" si="54"/>
        <v>4925.3572783535474</v>
      </c>
      <c r="P736" s="132">
        <f t="shared" si="55"/>
        <v>136.10239182526524</v>
      </c>
      <c r="Q736" s="261">
        <v>3.6177129347569129E-2</v>
      </c>
      <c r="R736" s="92"/>
    </row>
    <row r="737" spans="1:18" x14ac:dyDescent="0.25">
      <c r="A737" s="353">
        <v>41551</v>
      </c>
      <c r="B737" s="353" t="s">
        <v>285</v>
      </c>
      <c r="C737" s="263" t="s">
        <v>670</v>
      </c>
      <c r="D737" s="157" t="s">
        <v>671</v>
      </c>
      <c r="E737" s="44">
        <v>41551</v>
      </c>
      <c r="F737" s="146" t="str">
        <f t="shared" si="53"/>
        <v>2013-14</v>
      </c>
      <c r="G737" s="1"/>
      <c r="H737" s="161"/>
      <c r="I737" s="37"/>
      <c r="J737" s="135">
        <f t="shared" si="56"/>
        <v>0.76382508261777382</v>
      </c>
      <c r="K737" s="112"/>
      <c r="L737" s="37">
        <v>23.089861241099999</v>
      </c>
      <c r="M737" s="37" t="s">
        <v>288</v>
      </c>
      <c r="N737" s="37">
        <v>812.22926829268283</v>
      </c>
      <c r="O737" s="130">
        <f t="shared" si="54"/>
        <v>18754.26110083823</v>
      </c>
      <c r="P737" s="132">
        <f t="shared" si="55"/>
        <v>518.23647473404549</v>
      </c>
      <c r="Q737" s="261">
        <v>3.6177129347569129E-2</v>
      </c>
      <c r="R737" s="92"/>
    </row>
    <row r="738" spans="1:18" x14ac:dyDescent="0.25">
      <c r="A738" s="353">
        <v>41325</v>
      </c>
      <c r="B738" s="353" t="s">
        <v>285</v>
      </c>
      <c r="C738" s="263" t="s">
        <v>672</v>
      </c>
      <c r="D738" s="157" t="s">
        <v>671</v>
      </c>
      <c r="E738" s="44">
        <v>41325</v>
      </c>
      <c r="F738" s="146" t="str">
        <f t="shared" si="53"/>
        <v>2012-13</v>
      </c>
      <c r="G738" s="1"/>
      <c r="H738" s="161"/>
      <c r="I738" s="37"/>
      <c r="J738" s="135">
        <f t="shared" si="56"/>
        <v>0.76382508261777382</v>
      </c>
      <c r="K738" s="112"/>
      <c r="L738" s="37">
        <v>102.038942734</v>
      </c>
      <c r="M738" s="37" t="s">
        <v>288</v>
      </c>
      <c r="N738" s="37">
        <v>3592.3639024390236</v>
      </c>
      <c r="O738" s="130">
        <f t="shared" si="54"/>
        <v>366561.01452066429</v>
      </c>
      <c r="P738" s="132">
        <f t="shared" si="55"/>
        <v>52255.62890329658</v>
      </c>
      <c r="Q738" s="261">
        <v>0.18663491331159471</v>
      </c>
      <c r="R738" s="92"/>
    </row>
    <row r="739" spans="1:18" x14ac:dyDescent="0.25">
      <c r="A739" s="353">
        <v>41325</v>
      </c>
      <c r="B739" s="353" t="s">
        <v>285</v>
      </c>
      <c r="C739" s="263" t="s">
        <v>672</v>
      </c>
      <c r="D739" s="157" t="s">
        <v>671</v>
      </c>
      <c r="E739" s="44">
        <v>41325</v>
      </c>
      <c r="F739" s="146" t="str">
        <f t="shared" si="53"/>
        <v>2012-13</v>
      </c>
      <c r="G739" s="1"/>
      <c r="H739" s="161"/>
      <c r="I739" s="37"/>
      <c r="J739" s="135">
        <f t="shared" si="56"/>
        <v>0.76382508261777382</v>
      </c>
      <c r="K739" s="112"/>
      <c r="L739" s="37">
        <v>56.7396688217</v>
      </c>
      <c r="M739" s="37" t="s">
        <v>288</v>
      </c>
      <c r="N739" s="37">
        <v>950.87219512195099</v>
      </c>
      <c r="O739" s="130">
        <f t="shared" si="54"/>
        <v>53952.173442982399</v>
      </c>
      <c r="P739" s="132">
        <f t="shared" si="55"/>
        <v>7691.22913316208</v>
      </c>
      <c r="Q739" s="261">
        <v>0.18663491331159471</v>
      </c>
      <c r="R739" s="92"/>
    </row>
    <row r="740" spans="1:18" x14ac:dyDescent="0.25">
      <c r="A740" s="353">
        <v>41325</v>
      </c>
      <c r="B740" s="353" t="s">
        <v>285</v>
      </c>
      <c r="C740" s="263" t="s">
        <v>672</v>
      </c>
      <c r="D740" s="157" t="s">
        <v>671</v>
      </c>
      <c r="E740" s="44">
        <v>41325</v>
      </c>
      <c r="F740" s="146" t="str">
        <f t="shared" si="53"/>
        <v>2012-13</v>
      </c>
      <c r="G740" s="1"/>
      <c r="H740" s="161"/>
      <c r="I740" s="37"/>
      <c r="J740" s="135">
        <f t="shared" si="56"/>
        <v>0.76382508261777382</v>
      </c>
      <c r="K740" s="112"/>
      <c r="L740" s="37">
        <v>36.335526485800003</v>
      </c>
      <c r="M740" s="37" t="s">
        <v>288</v>
      </c>
      <c r="N740" s="37">
        <v>812.22926829268283</v>
      </c>
      <c r="O740" s="130">
        <f t="shared" si="54"/>
        <v>29512.778090590735</v>
      </c>
      <c r="P740" s="132">
        <f t="shared" si="55"/>
        <v>4207.2362273001936</v>
      </c>
      <c r="Q740" s="261">
        <v>0.18663491331159471</v>
      </c>
      <c r="R740" s="92"/>
    </row>
    <row r="741" spans="1:18" x14ac:dyDescent="0.25">
      <c r="A741" s="353">
        <v>41325</v>
      </c>
      <c r="B741" s="353" t="s">
        <v>285</v>
      </c>
      <c r="C741" s="263" t="s">
        <v>672</v>
      </c>
      <c r="D741" s="157" t="s">
        <v>671</v>
      </c>
      <c r="E741" s="44">
        <v>41325</v>
      </c>
      <c r="F741" s="146" t="str">
        <f t="shared" si="53"/>
        <v>2012-13</v>
      </c>
      <c r="G741" s="1"/>
      <c r="H741" s="161"/>
      <c r="I741" s="37"/>
      <c r="J741" s="135">
        <f t="shared" si="56"/>
        <v>0.76382508261777382</v>
      </c>
      <c r="K741" s="112"/>
      <c r="L741" s="37">
        <v>35.845866112400003</v>
      </c>
      <c r="M741" s="37" t="s">
        <v>288</v>
      </c>
      <c r="N741" s="37">
        <v>1162.6195121951216</v>
      </c>
      <c r="O741" s="130">
        <f t="shared" si="54"/>
        <v>41675.103373810132</v>
      </c>
      <c r="P741" s="132">
        <f t="shared" si="55"/>
        <v>5941.0538768180377</v>
      </c>
      <c r="Q741" s="261">
        <v>0.18663491331159471</v>
      </c>
      <c r="R741" s="92"/>
    </row>
    <row r="742" spans="1:18" x14ac:dyDescent="0.25">
      <c r="A742" s="353">
        <v>41325</v>
      </c>
      <c r="B742" s="353" t="s">
        <v>285</v>
      </c>
      <c r="C742" s="263" t="s">
        <v>672</v>
      </c>
      <c r="D742" s="157" t="s">
        <v>671</v>
      </c>
      <c r="E742" s="44">
        <v>41325</v>
      </c>
      <c r="F742" s="146" t="str">
        <f t="shared" si="53"/>
        <v>2012-13</v>
      </c>
      <c r="G742" s="1"/>
      <c r="H742" s="161"/>
      <c r="I742" s="37"/>
      <c r="J742" s="135">
        <f t="shared" si="56"/>
        <v>0.76382508261777382</v>
      </c>
      <c r="K742" s="112"/>
      <c r="L742" s="37">
        <v>32.251946592199999</v>
      </c>
      <c r="M742" s="37" t="s">
        <v>288</v>
      </c>
      <c r="N742" s="37">
        <v>3875.3912195121943</v>
      </c>
      <c r="O742" s="130">
        <f t="shared" si="54"/>
        <v>124988.91063558811</v>
      </c>
      <c r="P742" s="132">
        <f t="shared" si="55"/>
        <v>17817.972649768504</v>
      </c>
      <c r="Q742" s="261">
        <v>0.18663491331159471</v>
      </c>
      <c r="R742" s="92"/>
    </row>
    <row r="743" spans="1:18" x14ac:dyDescent="0.25">
      <c r="A743" s="353">
        <v>41325</v>
      </c>
      <c r="B743" s="353" t="s">
        <v>285</v>
      </c>
      <c r="C743" s="263" t="s">
        <v>672</v>
      </c>
      <c r="D743" s="157" t="s">
        <v>671</v>
      </c>
      <c r="E743" s="44">
        <v>41325</v>
      </c>
      <c r="F743" s="146" t="str">
        <f t="shared" si="53"/>
        <v>2012-13</v>
      </c>
      <c r="G743" s="1"/>
      <c r="H743" s="161"/>
      <c r="I743" s="37"/>
      <c r="J743" s="135">
        <f t="shared" si="56"/>
        <v>0.76382508261777382</v>
      </c>
      <c r="K743" s="112"/>
      <c r="L743" s="37">
        <v>28.6046416764</v>
      </c>
      <c r="M743" s="37" t="s">
        <v>288</v>
      </c>
      <c r="N743" s="37">
        <v>3336.4019512195118</v>
      </c>
      <c r="O743" s="130">
        <f t="shared" si="54"/>
        <v>95436.582303075935</v>
      </c>
      <c r="P743" s="132">
        <f t="shared" si="55"/>
        <v>13605.098281250306</v>
      </c>
      <c r="Q743" s="261">
        <v>0.18663491331159471</v>
      </c>
      <c r="R743" s="92"/>
    </row>
    <row r="744" spans="1:18" x14ac:dyDescent="0.25">
      <c r="A744" s="353">
        <v>41325</v>
      </c>
      <c r="B744" s="353" t="s">
        <v>285</v>
      </c>
      <c r="C744" s="263" t="s">
        <v>672</v>
      </c>
      <c r="D744" s="157" t="s">
        <v>671</v>
      </c>
      <c r="E744" s="44">
        <v>41325</v>
      </c>
      <c r="F744" s="146" t="str">
        <f t="shared" si="53"/>
        <v>2012-13</v>
      </c>
      <c r="G744" s="1"/>
      <c r="H744" s="161"/>
      <c r="I744" s="37"/>
      <c r="J744" s="135">
        <f t="shared" si="56"/>
        <v>0.76382508261777382</v>
      </c>
      <c r="K744" s="112"/>
      <c r="L744" s="37">
        <v>41.807223983100002</v>
      </c>
      <c r="M744" s="37" t="s">
        <v>288</v>
      </c>
      <c r="N744" s="37">
        <v>1162.6195121951216</v>
      </c>
      <c r="O744" s="130">
        <f t="shared" si="54"/>
        <v>48605.894353463911</v>
      </c>
      <c r="P744" s="132">
        <f t="shared" si="55"/>
        <v>6929.0826826437215</v>
      </c>
      <c r="Q744" s="261">
        <v>0.18663491331159471</v>
      </c>
      <c r="R744" s="92"/>
    </row>
    <row r="745" spans="1:18" x14ac:dyDescent="0.25">
      <c r="A745" s="353">
        <v>41325</v>
      </c>
      <c r="B745" s="353" t="s">
        <v>285</v>
      </c>
      <c r="C745" s="263" t="s">
        <v>672</v>
      </c>
      <c r="D745" s="157" t="s">
        <v>671</v>
      </c>
      <c r="E745" s="44">
        <v>41325</v>
      </c>
      <c r="F745" s="146" t="str">
        <f t="shared" si="53"/>
        <v>2012-13</v>
      </c>
      <c r="G745" s="1"/>
      <c r="H745" s="161"/>
      <c r="I745" s="37"/>
      <c r="J745" s="135">
        <f t="shared" si="56"/>
        <v>0.76382508261777382</v>
      </c>
      <c r="K745" s="112"/>
      <c r="L745" s="37">
        <v>10.4396151749</v>
      </c>
      <c r="M745" s="37" t="s">
        <v>288</v>
      </c>
      <c r="N745" s="37">
        <v>812.22926829268283</v>
      </c>
      <c r="O745" s="130">
        <f t="shared" si="54"/>
        <v>8479.3609947662153</v>
      </c>
      <c r="P745" s="132">
        <f t="shared" si="55"/>
        <v>1208.7874158112697</v>
      </c>
      <c r="Q745" s="261">
        <v>0.18663491331159471</v>
      </c>
      <c r="R745" s="92"/>
    </row>
    <row r="746" spans="1:18" x14ac:dyDescent="0.25">
      <c r="A746" s="353">
        <v>41325</v>
      </c>
      <c r="B746" s="353" t="s">
        <v>285</v>
      </c>
      <c r="C746" s="263" t="s">
        <v>672</v>
      </c>
      <c r="D746" s="157" t="s">
        <v>671</v>
      </c>
      <c r="E746" s="44">
        <v>41325</v>
      </c>
      <c r="F746" s="146" t="str">
        <f t="shared" si="53"/>
        <v>2012-13</v>
      </c>
      <c r="G746" s="1"/>
      <c r="H746" s="161"/>
      <c r="I746" s="37"/>
      <c r="J746" s="135">
        <f t="shared" si="56"/>
        <v>0.76382508261777382</v>
      </c>
      <c r="K746" s="112"/>
      <c r="L746" s="37">
        <v>17.500730556200001</v>
      </c>
      <c r="M746" s="37" t="s">
        <v>288</v>
      </c>
      <c r="N746" s="37">
        <v>812.22926829268283</v>
      </c>
      <c r="O746" s="130">
        <f t="shared" si="54"/>
        <v>14214.605574249723</v>
      </c>
      <c r="P746" s="132">
        <f t="shared" si="55"/>
        <v>2026.383397225268</v>
      </c>
      <c r="Q746" s="261">
        <v>0.18663491331159471</v>
      </c>
      <c r="R746" s="92"/>
    </row>
    <row r="747" spans="1:18" x14ac:dyDescent="0.25">
      <c r="A747" s="353">
        <v>41325</v>
      </c>
      <c r="B747" s="353" t="s">
        <v>285</v>
      </c>
      <c r="C747" s="263" t="s">
        <v>672</v>
      </c>
      <c r="D747" s="157" t="s">
        <v>671</v>
      </c>
      <c r="E747" s="44">
        <v>41325</v>
      </c>
      <c r="F747" s="146" t="str">
        <f t="shared" si="53"/>
        <v>2012-13</v>
      </c>
      <c r="G747" s="1"/>
      <c r="H747" s="161"/>
      <c r="I747" s="37"/>
      <c r="J747" s="135">
        <f t="shared" si="56"/>
        <v>0.76382508261777382</v>
      </c>
      <c r="K747" s="112"/>
      <c r="L747" s="37">
        <v>31.768340047500001</v>
      </c>
      <c r="M747" s="37" t="s">
        <v>288</v>
      </c>
      <c r="N747" s="37">
        <v>950.87219512195099</v>
      </c>
      <c r="O747" s="130">
        <f t="shared" si="54"/>
        <v>30207.631236346911</v>
      </c>
      <c r="P747" s="132">
        <f t="shared" si="55"/>
        <v>4306.2920097990609</v>
      </c>
      <c r="Q747" s="261">
        <v>0.18663491331159471</v>
      </c>
      <c r="R747" s="92"/>
    </row>
    <row r="748" spans="1:18" x14ac:dyDescent="0.25">
      <c r="A748" s="353">
        <v>41325</v>
      </c>
      <c r="B748" s="353" t="s">
        <v>285</v>
      </c>
      <c r="C748" s="263" t="s">
        <v>672</v>
      </c>
      <c r="D748" s="157" t="s">
        <v>671</v>
      </c>
      <c r="E748" s="44">
        <v>41325</v>
      </c>
      <c r="F748" s="146" t="str">
        <f t="shared" si="53"/>
        <v>2012-13</v>
      </c>
      <c r="G748" s="1"/>
      <c r="H748" s="161"/>
      <c r="I748" s="37"/>
      <c r="J748" s="135">
        <f t="shared" si="56"/>
        <v>0.76382508261777382</v>
      </c>
      <c r="K748" s="112"/>
      <c r="L748" s="37">
        <v>27.263652911800001</v>
      </c>
      <c r="M748" s="37" t="s">
        <v>288</v>
      </c>
      <c r="N748" s="37">
        <v>3592.3639024390236</v>
      </c>
      <c r="O748" s="130">
        <f t="shared" si="54"/>
        <v>97940.962568976902</v>
      </c>
      <c r="P748" s="132">
        <f t="shared" si="55"/>
        <v>13962.113786510161</v>
      </c>
      <c r="Q748" s="261">
        <v>0.18663491331159471</v>
      </c>
      <c r="R748" s="92"/>
    </row>
    <row r="749" spans="1:18" x14ac:dyDescent="0.25">
      <c r="A749" s="353">
        <v>41325</v>
      </c>
      <c r="B749" s="353" t="s">
        <v>285</v>
      </c>
      <c r="C749" s="263" t="s">
        <v>672</v>
      </c>
      <c r="D749" s="157" t="s">
        <v>671</v>
      </c>
      <c r="E749" s="44">
        <v>41325</v>
      </c>
      <c r="F749" s="146" t="str">
        <f t="shared" si="53"/>
        <v>2012-13</v>
      </c>
      <c r="G749" s="1"/>
      <c r="H749" s="161"/>
      <c r="I749" s="37"/>
      <c r="J749" s="135">
        <f t="shared" si="56"/>
        <v>0.76382508261777382</v>
      </c>
      <c r="K749" s="112"/>
      <c r="L749" s="37">
        <v>29.709642112000001</v>
      </c>
      <c r="M749" s="37" t="s">
        <v>288</v>
      </c>
      <c r="N749" s="37">
        <v>950.87219512195099</v>
      </c>
      <c r="O749" s="130">
        <f t="shared" si="54"/>
        <v>28250.072611324998</v>
      </c>
      <c r="P749" s="132">
        <f t="shared" si="55"/>
        <v>4027.2294444595445</v>
      </c>
      <c r="Q749" s="261">
        <v>0.18663491331159471</v>
      </c>
      <c r="R749" s="92"/>
    </row>
    <row r="750" spans="1:18" x14ac:dyDescent="0.25">
      <c r="A750" s="353">
        <v>41325</v>
      </c>
      <c r="B750" s="353" t="s">
        <v>285</v>
      </c>
      <c r="C750" s="263" t="s">
        <v>672</v>
      </c>
      <c r="D750" s="157" t="s">
        <v>671</v>
      </c>
      <c r="E750" s="44">
        <v>41325</v>
      </c>
      <c r="F750" s="146" t="str">
        <f t="shared" si="53"/>
        <v>2012-13</v>
      </c>
      <c r="G750" s="1"/>
      <c r="H750" s="161"/>
      <c r="I750" s="37"/>
      <c r="J750" s="135">
        <f t="shared" si="56"/>
        <v>0.76382508261777382</v>
      </c>
      <c r="K750" s="112"/>
      <c r="L750" s="37">
        <v>9.8887524894700007</v>
      </c>
      <c r="M750" s="37" t="s">
        <v>288</v>
      </c>
      <c r="N750" s="37">
        <v>3336.4019512195118</v>
      </c>
      <c r="O750" s="130">
        <f t="shared" si="54"/>
        <v>32992.853100994515</v>
      </c>
      <c r="P750" s="132">
        <f t="shared" si="55"/>
        <v>4703.3432902323984</v>
      </c>
      <c r="Q750" s="261">
        <v>0.18663491331159471</v>
      </c>
      <c r="R750" s="92"/>
    </row>
    <row r="751" spans="1:18" x14ac:dyDescent="0.25">
      <c r="A751" s="353">
        <v>41551</v>
      </c>
      <c r="B751" s="353" t="s">
        <v>285</v>
      </c>
      <c r="C751" s="263" t="s">
        <v>670</v>
      </c>
      <c r="D751" s="157" t="s">
        <v>671</v>
      </c>
      <c r="E751" s="44">
        <v>41551</v>
      </c>
      <c r="F751" s="146" t="str">
        <f t="shared" si="53"/>
        <v>2013-14</v>
      </c>
      <c r="G751" s="1"/>
      <c r="H751" s="161"/>
      <c r="I751" s="37"/>
      <c r="J751" s="135">
        <f t="shared" si="56"/>
        <v>0.76382508261777382</v>
      </c>
      <c r="K751" s="112"/>
      <c r="L751" s="37">
        <v>57.880430173800001</v>
      </c>
      <c r="M751" s="37" t="s">
        <v>288</v>
      </c>
      <c r="N751" s="37">
        <v>3336.4019512195118</v>
      </c>
      <c r="O751" s="130">
        <f t="shared" si="54"/>
        <v>193112.38016929102</v>
      </c>
      <c r="P751" s="132">
        <f t="shared" si="55"/>
        <v>5336.2741719513087</v>
      </c>
      <c r="Q751" s="261">
        <v>3.6177129347569129E-2</v>
      </c>
      <c r="R751" s="92"/>
    </row>
    <row r="752" spans="1:18" x14ac:dyDescent="0.25">
      <c r="A752" s="353">
        <v>41551</v>
      </c>
      <c r="B752" s="353" t="s">
        <v>285</v>
      </c>
      <c r="C752" s="263" t="s">
        <v>670</v>
      </c>
      <c r="D752" s="157" t="s">
        <v>671</v>
      </c>
      <c r="E752" s="44">
        <v>41551</v>
      </c>
      <c r="F752" s="146" t="str">
        <f t="shared" si="53"/>
        <v>2013-14</v>
      </c>
      <c r="G752" s="1"/>
      <c r="H752" s="161"/>
      <c r="I752" s="37"/>
      <c r="J752" s="135">
        <f t="shared" si="56"/>
        <v>0.76382508261777382</v>
      </c>
      <c r="K752" s="112"/>
      <c r="L752" s="37">
        <v>17.666818891599998</v>
      </c>
      <c r="M752" s="37" t="s">
        <v>288</v>
      </c>
      <c r="N752" s="37">
        <v>3592.3639024390236</v>
      </c>
      <c r="O752" s="130">
        <f t="shared" si="54"/>
        <v>63465.642457111637</v>
      </c>
      <c r="P752" s="132">
        <f t="shared" si="55"/>
        <v>1753.7460226697417</v>
      </c>
      <c r="Q752" s="261">
        <v>3.6177129347569129E-2</v>
      </c>
      <c r="R752" s="92"/>
    </row>
    <row r="753" spans="1:18" x14ac:dyDescent="0.25">
      <c r="A753" s="353">
        <v>41551</v>
      </c>
      <c r="B753" s="353" t="s">
        <v>285</v>
      </c>
      <c r="C753" s="263" t="s">
        <v>670</v>
      </c>
      <c r="D753" s="157" t="s">
        <v>671</v>
      </c>
      <c r="E753" s="44">
        <v>41551</v>
      </c>
      <c r="F753" s="146" t="str">
        <f t="shared" si="53"/>
        <v>2013-14</v>
      </c>
      <c r="G753" s="1"/>
      <c r="H753" s="161"/>
      <c r="I753" s="37"/>
      <c r="J753" s="135">
        <f t="shared" si="56"/>
        <v>0.76382508261777382</v>
      </c>
      <c r="K753" s="112"/>
      <c r="L753" s="37">
        <v>130.40331377800001</v>
      </c>
      <c r="M753" s="37" t="s">
        <v>288</v>
      </c>
      <c r="N753" s="37">
        <v>3336.4019512195118</v>
      </c>
      <c r="O753" s="130">
        <f t="shared" si="54"/>
        <v>435077.87053440948</v>
      </c>
      <c r="P753" s="132">
        <f t="shared" si="55"/>
        <v>12022.506279944571</v>
      </c>
      <c r="Q753" s="261">
        <v>3.6177129347569129E-2</v>
      </c>
      <c r="R753" s="92"/>
    </row>
    <row r="754" spans="1:18" x14ac:dyDescent="0.25">
      <c r="A754" s="353">
        <v>41551</v>
      </c>
      <c r="B754" s="353" t="s">
        <v>285</v>
      </c>
      <c r="C754" s="263" t="s">
        <v>670</v>
      </c>
      <c r="D754" s="157" t="s">
        <v>671</v>
      </c>
      <c r="E754" s="44">
        <v>41551</v>
      </c>
      <c r="F754" s="146" t="str">
        <f t="shared" si="53"/>
        <v>2013-14</v>
      </c>
      <c r="G754" s="1"/>
      <c r="H754" s="161"/>
      <c r="I754" s="37"/>
      <c r="J754" s="135">
        <f t="shared" si="56"/>
        <v>0.76382508261777382</v>
      </c>
      <c r="K754" s="112"/>
      <c r="L754" s="37">
        <v>91.133879331700001</v>
      </c>
      <c r="M754" s="37" t="s">
        <v>288</v>
      </c>
      <c r="N754" s="37">
        <v>3336.4019512195118</v>
      </c>
      <c r="O754" s="130">
        <f t="shared" si="54"/>
        <v>304059.2528244874</v>
      </c>
      <c r="P754" s="132">
        <f t="shared" si="55"/>
        <v>8402.0689723141022</v>
      </c>
      <c r="Q754" s="261">
        <v>3.6177129347569129E-2</v>
      </c>
      <c r="R754" s="92"/>
    </row>
    <row r="755" spans="1:18" x14ac:dyDescent="0.25">
      <c r="A755" s="353">
        <v>41551</v>
      </c>
      <c r="B755" s="353" t="s">
        <v>285</v>
      </c>
      <c r="C755" s="263" t="s">
        <v>670</v>
      </c>
      <c r="D755" s="157" t="s">
        <v>671</v>
      </c>
      <c r="E755" s="44">
        <v>41551</v>
      </c>
      <c r="F755" s="146" t="str">
        <f t="shared" si="53"/>
        <v>2013-14</v>
      </c>
      <c r="G755" s="1"/>
      <c r="H755" s="161"/>
      <c r="I755" s="37"/>
      <c r="J755" s="135">
        <f t="shared" si="56"/>
        <v>0.76382508261777382</v>
      </c>
      <c r="K755" s="112"/>
      <c r="L755" s="37">
        <v>35.666081644599998</v>
      </c>
      <c r="M755" s="37" t="s">
        <v>288</v>
      </c>
      <c r="N755" s="37">
        <v>3336.4019512195118</v>
      </c>
      <c r="O755" s="130">
        <f t="shared" si="54"/>
        <v>118996.38439139785</v>
      </c>
      <c r="P755" s="132">
        <f t="shared" si="55"/>
        <v>3288.2269486127138</v>
      </c>
      <c r="Q755" s="261">
        <v>3.6177129347569129E-2</v>
      </c>
      <c r="R755" s="92"/>
    </row>
    <row r="756" spans="1:18" x14ac:dyDescent="0.25">
      <c r="A756" s="353">
        <v>41551</v>
      </c>
      <c r="B756" s="353" t="s">
        <v>285</v>
      </c>
      <c r="C756" s="263" t="s">
        <v>670</v>
      </c>
      <c r="D756" s="157" t="s">
        <v>671</v>
      </c>
      <c r="E756" s="44">
        <v>41551</v>
      </c>
      <c r="F756" s="146" t="str">
        <f t="shared" si="53"/>
        <v>2013-14</v>
      </c>
      <c r="G756" s="1"/>
      <c r="H756" s="161"/>
      <c r="I756" s="37"/>
      <c r="J756" s="135">
        <f t="shared" si="56"/>
        <v>0.76382508261777382</v>
      </c>
      <c r="K756" s="112"/>
      <c r="L756" s="37">
        <v>2.83993837961</v>
      </c>
      <c r="M756" s="37" t="s">
        <v>288</v>
      </c>
      <c r="N756" s="37">
        <v>3336.4019512195118</v>
      </c>
      <c r="O756" s="130">
        <f t="shared" si="54"/>
        <v>9475.175951073983</v>
      </c>
      <c r="P756" s="132">
        <f t="shared" si="55"/>
        <v>261.82752580691732</v>
      </c>
      <c r="Q756" s="261">
        <v>3.6177129347569129E-2</v>
      </c>
      <c r="R756" s="92"/>
    </row>
    <row r="757" spans="1:18" x14ac:dyDescent="0.25">
      <c r="A757" s="353">
        <v>41551</v>
      </c>
      <c r="B757" s="353" t="s">
        <v>285</v>
      </c>
      <c r="C757" s="263" t="s">
        <v>670</v>
      </c>
      <c r="D757" s="157" t="s">
        <v>671</v>
      </c>
      <c r="E757" s="44">
        <v>41551</v>
      </c>
      <c r="F757" s="146" t="str">
        <f t="shared" si="53"/>
        <v>2013-14</v>
      </c>
      <c r="G757" s="1"/>
      <c r="H757" s="161"/>
      <c r="I757" s="37"/>
      <c r="J757" s="135">
        <f t="shared" si="56"/>
        <v>0.76382508261777382</v>
      </c>
      <c r="K757" s="112"/>
      <c r="L757" s="37">
        <v>38.826292456899999</v>
      </c>
      <c r="M757" s="37" t="s">
        <v>288</v>
      </c>
      <c r="N757" s="37">
        <v>812.22926829268283</v>
      </c>
      <c r="O757" s="130">
        <f t="shared" si="54"/>
        <v>31535.851112785596</v>
      </c>
      <c r="P757" s="132">
        <f t="shared" si="55"/>
        <v>871.43013635963905</v>
      </c>
      <c r="Q757" s="261">
        <v>3.6177129347569129E-2</v>
      </c>
      <c r="R757" s="92"/>
    </row>
    <row r="758" spans="1:18" x14ac:dyDescent="0.25">
      <c r="A758" s="353">
        <v>41551</v>
      </c>
      <c r="B758" s="353" t="s">
        <v>285</v>
      </c>
      <c r="C758" s="263" t="s">
        <v>670</v>
      </c>
      <c r="D758" s="157" t="s">
        <v>671</v>
      </c>
      <c r="E758" s="44">
        <v>41551</v>
      </c>
      <c r="F758" s="146" t="str">
        <f t="shared" si="53"/>
        <v>2013-14</v>
      </c>
      <c r="G758" s="1"/>
      <c r="H758" s="161"/>
      <c r="I758" s="37"/>
      <c r="J758" s="135">
        <f t="shared" si="56"/>
        <v>0.76382508261777382</v>
      </c>
      <c r="K758" s="112"/>
      <c r="L758" s="37">
        <v>73.470293551599994</v>
      </c>
      <c r="M758" s="37" t="s">
        <v>288</v>
      </c>
      <c r="N758" s="37">
        <v>3336.4019512195118</v>
      </c>
      <c r="O758" s="130">
        <f t="shared" si="54"/>
        <v>245126.43076222853</v>
      </c>
      <c r="P758" s="132">
        <f t="shared" si="55"/>
        <v>6773.5783702338749</v>
      </c>
      <c r="Q758" s="261">
        <v>3.6177129347569129E-2</v>
      </c>
      <c r="R758" s="92"/>
    </row>
    <row r="759" spans="1:18" x14ac:dyDescent="0.25">
      <c r="A759" s="353">
        <v>41551</v>
      </c>
      <c r="B759" s="353" t="s">
        <v>285</v>
      </c>
      <c r="C759" s="263" t="s">
        <v>670</v>
      </c>
      <c r="D759" s="157" t="s">
        <v>671</v>
      </c>
      <c r="E759" s="44">
        <v>41551</v>
      </c>
      <c r="F759" s="146" t="str">
        <f t="shared" si="53"/>
        <v>2013-14</v>
      </c>
      <c r="G759" s="1"/>
      <c r="H759" s="161"/>
      <c r="I759" s="37"/>
      <c r="J759" s="135">
        <f t="shared" si="56"/>
        <v>0.76382508261777382</v>
      </c>
      <c r="K759" s="112"/>
      <c r="L759" s="37">
        <v>66.921180278099996</v>
      </c>
      <c r="M759" s="37" t="s">
        <v>288</v>
      </c>
      <c r="N759" s="37">
        <v>3336.4019512195118</v>
      </c>
      <c r="O759" s="130">
        <f t="shared" si="54"/>
        <v>223275.95645776554</v>
      </c>
      <c r="P759" s="132">
        <f t="shared" si="55"/>
        <v>6169.7842397199502</v>
      </c>
      <c r="Q759" s="261">
        <v>3.6177129347569129E-2</v>
      </c>
      <c r="R759" s="92"/>
    </row>
    <row r="760" spans="1:18" x14ac:dyDescent="0.25">
      <c r="A760" s="353">
        <v>41551</v>
      </c>
      <c r="B760" s="353" t="s">
        <v>285</v>
      </c>
      <c r="C760" s="263" t="s">
        <v>670</v>
      </c>
      <c r="D760" s="157" t="s">
        <v>671</v>
      </c>
      <c r="E760" s="44">
        <v>41551</v>
      </c>
      <c r="F760" s="146" t="str">
        <f t="shared" si="53"/>
        <v>2013-14</v>
      </c>
      <c r="G760" s="1"/>
      <c r="H760" s="161"/>
      <c r="I760" s="37"/>
      <c r="J760" s="135">
        <f t="shared" si="56"/>
        <v>0.76382508261777382</v>
      </c>
      <c r="K760" s="112"/>
      <c r="L760" s="37">
        <v>62.568862212900001</v>
      </c>
      <c r="M760" s="37" t="s">
        <v>288</v>
      </c>
      <c r="N760" s="37">
        <v>3336.4019512195118</v>
      </c>
      <c r="O760" s="130">
        <f t="shared" si="54"/>
        <v>208754.87397270434</v>
      </c>
      <c r="P760" s="132">
        <f t="shared" si="55"/>
        <v>5768.523184649961</v>
      </c>
      <c r="Q760" s="261">
        <v>3.6177129347569129E-2</v>
      </c>
      <c r="R760" s="92"/>
    </row>
    <row r="761" spans="1:18" x14ac:dyDescent="0.25">
      <c r="A761" s="353">
        <v>41551</v>
      </c>
      <c r="B761" s="353" t="s">
        <v>285</v>
      </c>
      <c r="C761" s="263" t="s">
        <v>670</v>
      </c>
      <c r="D761" s="157" t="s">
        <v>671</v>
      </c>
      <c r="E761" s="44">
        <v>41551</v>
      </c>
      <c r="F761" s="146" t="str">
        <f t="shared" si="53"/>
        <v>2013-14</v>
      </c>
      <c r="G761" s="1"/>
      <c r="H761" s="161"/>
      <c r="I761" s="37"/>
      <c r="J761" s="135">
        <f t="shared" si="56"/>
        <v>0.76382508261777382</v>
      </c>
      <c r="K761" s="112"/>
      <c r="L761" s="37">
        <v>68.418468008399998</v>
      </c>
      <c r="M761" s="37" t="s">
        <v>288</v>
      </c>
      <c r="N761" s="37">
        <v>3336.4019512195118</v>
      </c>
      <c r="O761" s="130">
        <f t="shared" si="54"/>
        <v>228271.51016267549</v>
      </c>
      <c r="P761" s="132">
        <f t="shared" si="55"/>
        <v>6307.8263693169101</v>
      </c>
      <c r="Q761" s="261">
        <v>3.6177129347569129E-2</v>
      </c>
      <c r="R761" s="92"/>
    </row>
    <row r="762" spans="1:18" x14ac:dyDescent="0.25">
      <c r="A762" s="353">
        <v>41551</v>
      </c>
      <c r="B762" s="353" t="s">
        <v>285</v>
      </c>
      <c r="C762" s="263" t="s">
        <v>670</v>
      </c>
      <c r="D762" s="157" t="s">
        <v>671</v>
      </c>
      <c r="E762" s="44">
        <v>41551</v>
      </c>
      <c r="F762" s="146" t="str">
        <f t="shared" si="53"/>
        <v>2013-14</v>
      </c>
      <c r="G762" s="1"/>
      <c r="H762" s="161"/>
      <c r="I762" s="37"/>
      <c r="J762" s="135">
        <f t="shared" si="56"/>
        <v>0.76382508261777382</v>
      </c>
      <c r="K762" s="112"/>
      <c r="L762" s="37">
        <v>47.9771185866</v>
      </c>
      <c r="M762" s="37" t="s">
        <v>288</v>
      </c>
      <c r="N762" s="37">
        <v>812.22926829268283</v>
      </c>
      <c r="O762" s="130">
        <f t="shared" si="54"/>
        <v>38968.419924385395</v>
      </c>
      <c r="P762" s="132">
        <f t="shared" si="55"/>
        <v>1076.8143015064884</v>
      </c>
      <c r="Q762" s="261">
        <v>3.6177129347569129E-2</v>
      </c>
      <c r="R762" s="92"/>
    </row>
    <row r="763" spans="1:18" x14ac:dyDescent="0.25">
      <c r="A763" s="353">
        <v>41551</v>
      </c>
      <c r="B763" s="353" t="s">
        <v>285</v>
      </c>
      <c r="C763" s="263" t="s">
        <v>670</v>
      </c>
      <c r="D763" s="157" t="s">
        <v>671</v>
      </c>
      <c r="E763" s="44">
        <v>41551</v>
      </c>
      <c r="F763" s="146" t="str">
        <f t="shared" ref="F763:F826" si="57">IF(E763="","-",IF(OR(E763&lt;$E$15,E763&gt;$E$16),"ERROR - date outside of range",IF(MONTH(E763)&gt;=7,YEAR(E763)&amp;"-"&amp;IF(YEAR(E763)=1999,"00",IF(AND(YEAR(E763)&gt;=2000,YEAR(E763)&lt;2009),"0","")&amp;RIGHT(YEAR(E763),2)+1),RIGHT(YEAR(E763),4)-1&amp;"-"&amp;RIGHT(YEAR(E763),2))))</f>
        <v>2013-14</v>
      </c>
      <c r="G763" s="1"/>
      <c r="H763" s="161"/>
      <c r="I763" s="37"/>
      <c r="J763" s="135">
        <f t="shared" si="56"/>
        <v>0.76382508261777382</v>
      </c>
      <c r="K763" s="112"/>
      <c r="L763" s="37">
        <v>23.105840063399999</v>
      </c>
      <c r="M763" s="37" t="s">
        <v>288</v>
      </c>
      <c r="N763" s="37">
        <v>3336.4019512195118</v>
      </c>
      <c r="O763" s="130">
        <f t="shared" si="54"/>
        <v>77090.369872093725</v>
      </c>
      <c r="P763" s="132">
        <f t="shared" si="55"/>
        <v>2130.2380991524046</v>
      </c>
      <c r="Q763" s="261">
        <v>3.6177129347569129E-2</v>
      </c>
      <c r="R763" s="92"/>
    </row>
    <row r="764" spans="1:18" x14ac:dyDescent="0.25">
      <c r="A764" s="353">
        <v>41551</v>
      </c>
      <c r="B764" s="353" t="s">
        <v>285</v>
      </c>
      <c r="C764" s="263" t="s">
        <v>670</v>
      </c>
      <c r="D764" s="157" t="s">
        <v>671</v>
      </c>
      <c r="E764" s="44">
        <v>41551</v>
      </c>
      <c r="F764" s="146" t="str">
        <f t="shared" si="57"/>
        <v>2013-14</v>
      </c>
      <c r="G764" s="1"/>
      <c r="H764" s="161"/>
      <c r="I764" s="37"/>
      <c r="J764" s="135">
        <f t="shared" si="56"/>
        <v>0.76382508261777382</v>
      </c>
      <c r="K764" s="112"/>
      <c r="L764" s="37">
        <v>5.5394282195900004</v>
      </c>
      <c r="M764" s="37" t="s">
        <v>288</v>
      </c>
      <c r="N764" s="37">
        <v>812.22926829268283</v>
      </c>
      <c r="O764" s="130">
        <f t="shared" si="54"/>
        <v>4499.2857295574249</v>
      </c>
      <c r="P764" s="132">
        <f t="shared" si="55"/>
        <v>124.32875722322227</v>
      </c>
      <c r="Q764" s="261">
        <v>3.6177129347569129E-2</v>
      </c>
      <c r="R764" s="92"/>
    </row>
    <row r="765" spans="1:18" x14ac:dyDescent="0.25">
      <c r="A765" s="353">
        <v>41551</v>
      </c>
      <c r="B765" s="353" t="s">
        <v>285</v>
      </c>
      <c r="C765" s="263" t="s">
        <v>670</v>
      </c>
      <c r="D765" s="157" t="s">
        <v>671</v>
      </c>
      <c r="E765" s="44">
        <v>41551</v>
      </c>
      <c r="F765" s="146" t="str">
        <f t="shared" si="57"/>
        <v>2013-14</v>
      </c>
      <c r="G765" s="1"/>
      <c r="H765" s="161"/>
      <c r="I765" s="37"/>
      <c r="J765" s="135">
        <f t="shared" si="56"/>
        <v>0.76382508261777382</v>
      </c>
      <c r="K765" s="112"/>
      <c r="L765" s="37">
        <v>18.160598957600001</v>
      </c>
      <c r="M765" s="37" t="s">
        <v>288</v>
      </c>
      <c r="N765" s="37">
        <v>3336.4019512195118</v>
      </c>
      <c r="O765" s="130">
        <f t="shared" si="54"/>
        <v>60591.057797451678</v>
      </c>
      <c r="P765" s="132">
        <f t="shared" si="55"/>
        <v>1674.3126281821199</v>
      </c>
      <c r="Q765" s="261">
        <v>3.6177129347569129E-2</v>
      </c>
      <c r="R765" s="92"/>
    </row>
    <row r="766" spans="1:18" x14ac:dyDescent="0.25">
      <c r="A766" s="353">
        <v>41551</v>
      </c>
      <c r="B766" s="353" t="s">
        <v>285</v>
      </c>
      <c r="C766" s="263" t="s">
        <v>670</v>
      </c>
      <c r="D766" s="157" t="s">
        <v>671</v>
      </c>
      <c r="E766" s="44">
        <v>41551</v>
      </c>
      <c r="F766" s="146" t="str">
        <f t="shared" si="57"/>
        <v>2013-14</v>
      </c>
      <c r="G766" s="1"/>
      <c r="H766" s="161"/>
      <c r="I766" s="37"/>
      <c r="J766" s="135">
        <f t="shared" si="56"/>
        <v>0.76382508261777382</v>
      </c>
      <c r="K766" s="112"/>
      <c r="L766" s="37">
        <v>6.0120760255399999</v>
      </c>
      <c r="M766" s="37" t="s">
        <v>288</v>
      </c>
      <c r="N766" s="37">
        <v>812.22926829268283</v>
      </c>
      <c r="O766" s="130">
        <f t="shared" ref="O766:O829" si="58">IF(N766="","-",L766*N766)</f>
        <v>4883.1841111443346</v>
      </c>
      <c r="P766" s="132">
        <f t="shared" ref="P766:P829" si="59">IF(O766="-","-",IF(OR(E766&lt;$E$15,E766&gt;$E$16),0,O766*J766))*Q766</f>
        <v>134.93702074584186</v>
      </c>
      <c r="Q766" s="261">
        <v>3.6177129347569129E-2</v>
      </c>
      <c r="R766" s="92"/>
    </row>
    <row r="767" spans="1:18" x14ac:dyDescent="0.25">
      <c r="A767" s="353">
        <v>41551</v>
      </c>
      <c r="B767" s="353" t="s">
        <v>285</v>
      </c>
      <c r="C767" s="263" t="s">
        <v>670</v>
      </c>
      <c r="D767" s="157" t="s">
        <v>671</v>
      </c>
      <c r="E767" s="44">
        <v>41551</v>
      </c>
      <c r="F767" s="146" t="str">
        <f t="shared" si="57"/>
        <v>2013-14</v>
      </c>
      <c r="G767" s="1"/>
      <c r="H767" s="161"/>
      <c r="I767" s="37"/>
      <c r="J767" s="135">
        <f t="shared" si="56"/>
        <v>0.76382508261777382</v>
      </c>
      <c r="K767" s="112"/>
      <c r="L767" s="37">
        <v>7.5394485466200001</v>
      </c>
      <c r="M767" s="37" t="s">
        <v>288</v>
      </c>
      <c r="N767" s="37">
        <v>812.22926829268283</v>
      </c>
      <c r="O767" s="130">
        <f t="shared" si="58"/>
        <v>6123.7607763514934</v>
      </c>
      <c r="P767" s="132">
        <f t="shared" si="59"/>
        <v>169.21787426267491</v>
      </c>
      <c r="Q767" s="261">
        <v>3.6177129347569129E-2</v>
      </c>
      <c r="R767" s="92"/>
    </row>
    <row r="768" spans="1:18" x14ac:dyDescent="0.25">
      <c r="A768" s="353">
        <v>41551</v>
      </c>
      <c r="B768" s="353" t="s">
        <v>285</v>
      </c>
      <c r="C768" s="263" t="s">
        <v>670</v>
      </c>
      <c r="D768" s="157" t="s">
        <v>671</v>
      </c>
      <c r="E768" s="44">
        <v>41551</v>
      </c>
      <c r="F768" s="146" t="str">
        <f t="shared" si="57"/>
        <v>2013-14</v>
      </c>
      <c r="G768" s="1"/>
      <c r="H768" s="161"/>
      <c r="I768" s="37"/>
      <c r="J768" s="135">
        <f t="shared" si="56"/>
        <v>0.76382508261777382</v>
      </c>
      <c r="K768" s="112"/>
      <c r="L768" s="37">
        <v>70.572558148900001</v>
      </c>
      <c r="M768" s="37" t="s">
        <v>288</v>
      </c>
      <c r="N768" s="37">
        <v>3336.4019512195118</v>
      </c>
      <c r="O768" s="130">
        <f t="shared" si="58"/>
        <v>235458.42071054241</v>
      </c>
      <c r="P768" s="132">
        <f t="shared" si="59"/>
        <v>6506.4222599536788</v>
      </c>
      <c r="Q768" s="261">
        <v>3.6177129347569129E-2</v>
      </c>
      <c r="R768" s="92"/>
    </row>
    <row r="769" spans="1:18" x14ac:dyDescent="0.25">
      <c r="A769" s="353">
        <v>41551</v>
      </c>
      <c r="B769" s="353" t="s">
        <v>285</v>
      </c>
      <c r="C769" s="263" t="s">
        <v>670</v>
      </c>
      <c r="D769" s="157" t="s">
        <v>671</v>
      </c>
      <c r="E769" s="44">
        <v>41551</v>
      </c>
      <c r="F769" s="146" t="str">
        <f t="shared" si="57"/>
        <v>2013-14</v>
      </c>
      <c r="G769" s="1"/>
      <c r="H769" s="161"/>
      <c r="I769" s="37"/>
      <c r="J769" s="135">
        <f t="shared" si="56"/>
        <v>0.76382508261777382</v>
      </c>
      <c r="K769" s="112"/>
      <c r="L769" s="37">
        <v>75.949144219299995</v>
      </c>
      <c r="M769" s="37" t="s">
        <v>288</v>
      </c>
      <c r="N769" s="37">
        <v>3336.4019512195118</v>
      </c>
      <c r="O769" s="130">
        <f t="shared" si="58"/>
        <v>253396.87296672462</v>
      </c>
      <c r="P769" s="132">
        <f t="shared" si="59"/>
        <v>7002.1154898518889</v>
      </c>
      <c r="Q769" s="261">
        <v>3.6177129347569129E-2</v>
      </c>
      <c r="R769" s="92"/>
    </row>
    <row r="770" spans="1:18" x14ac:dyDescent="0.25">
      <c r="A770" s="353">
        <v>41551</v>
      </c>
      <c r="B770" s="353" t="s">
        <v>285</v>
      </c>
      <c r="C770" s="263" t="s">
        <v>670</v>
      </c>
      <c r="D770" s="157" t="s">
        <v>671</v>
      </c>
      <c r="E770" s="44">
        <v>41551</v>
      </c>
      <c r="F770" s="146" t="str">
        <f t="shared" si="57"/>
        <v>2013-14</v>
      </c>
      <c r="G770" s="1"/>
      <c r="H770" s="161"/>
      <c r="I770" s="37"/>
      <c r="J770" s="135">
        <f t="shared" si="56"/>
        <v>0.76382508261777382</v>
      </c>
      <c r="K770" s="112"/>
      <c r="L770" s="37">
        <v>5.6308630164000002</v>
      </c>
      <c r="M770" s="37" t="s">
        <v>288</v>
      </c>
      <c r="N770" s="37">
        <v>812.22926829268283</v>
      </c>
      <c r="O770" s="130">
        <f t="shared" si="58"/>
        <v>4573.5517476669011</v>
      </c>
      <c r="P770" s="132">
        <f t="shared" si="59"/>
        <v>126.38095001347139</v>
      </c>
      <c r="Q770" s="261">
        <v>3.6177129347569129E-2</v>
      </c>
      <c r="R770" s="92"/>
    </row>
    <row r="771" spans="1:18" x14ac:dyDescent="0.25">
      <c r="A771" s="353">
        <v>41551</v>
      </c>
      <c r="B771" s="353" t="s">
        <v>285</v>
      </c>
      <c r="C771" s="263" t="s">
        <v>670</v>
      </c>
      <c r="D771" s="157" t="s">
        <v>671</v>
      </c>
      <c r="E771" s="44">
        <v>41551</v>
      </c>
      <c r="F771" s="146" t="str">
        <f t="shared" si="57"/>
        <v>2013-14</v>
      </c>
      <c r="G771" s="1"/>
      <c r="H771" s="161"/>
      <c r="I771" s="37"/>
      <c r="J771" s="135">
        <f t="shared" si="56"/>
        <v>0.76382508261777382</v>
      </c>
      <c r="K771" s="112"/>
      <c r="L771" s="37">
        <v>39.362135574500002</v>
      </c>
      <c r="M771" s="37" t="s">
        <v>288</v>
      </c>
      <c r="N771" s="37">
        <v>812.22926829268283</v>
      </c>
      <c r="O771" s="130">
        <f t="shared" si="58"/>
        <v>31971.078576113516</v>
      </c>
      <c r="P771" s="132">
        <f t="shared" si="59"/>
        <v>883.45677633706896</v>
      </c>
      <c r="Q771" s="261">
        <v>3.6177129347569129E-2</v>
      </c>
      <c r="R771" s="92"/>
    </row>
    <row r="772" spans="1:18" x14ac:dyDescent="0.25">
      <c r="A772" s="353">
        <v>41551</v>
      </c>
      <c r="B772" s="353" t="s">
        <v>285</v>
      </c>
      <c r="C772" s="263" t="s">
        <v>670</v>
      </c>
      <c r="D772" s="157" t="s">
        <v>671</v>
      </c>
      <c r="E772" s="44">
        <v>41551</v>
      </c>
      <c r="F772" s="146" t="str">
        <f t="shared" si="57"/>
        <v>2013-14</v>
      </c>
      <c r="G772" s="1"/>
      <c r="H772" s="161"/>
      <c r="I772" s="37"/>
      <c r="J772" s="135">
        <f t="shared" si="56"/>
        <v>0.76382508261777382</v>
      </c>
      <c r="K772" s="112"/>
      <c r="L772" s="37">
        <v>21.0665518136</v>
      </c>
      <c r="M772" s="37" t="s">
        <v>288</v>
      </c>
      <c r="N772" s="37">
        <v>3336.4019512195118</v>
      </c>
      <c r="O772" s="130">
        <f t="shared" si="58"/>
        <v>70286.484576361981</v>
      </c>
      <c r="P772" s="132">
        <f t="shared" si="59"/>
        <v>1942.2263448531523</v>
      </c>
      <c r="Q772" s="261">
        <v>3.6177129347569129E-2</v>
      </c>
      <c r="R772" s="92"/>
    </row>
    <row r="773" spans="1:18" x14ac:dyDescent="0.25">
      <c r="A773" s="353">
        <v>41551</v>
      </c>
      <c r="B773" s="353" t="s">
        <v>285</v>
      </c>
      <c r="C773" s="263" t="s">
        <v>670</v>
      </c>
      <c r="D773" s="157" t="s">
        <v>671</v>
      </c>
      <c r="E773" s="44">
        <v>41551</v>
      </c>
      <c r="F773" s="146" t="str">
        <f t="shared" si="57"/>
        <v>2013-14</v>
      </c>
      <c r="G773" s="1"/>
      <c r="H773" s="161"/>
      <c r="I773" s="37"/>
      <c r="J773" s="135">
        <f t="shared" si="56"/>
        <v>0.76382508261777382</v>
      </c>
      <c r="K773" s="112"/>
      <c r="L773" s="37">
        <v>48.9352162132</v>
      </c>
      <c r="M773" s="37" t="s">
        <v>288</v>
      </c>
      <c r="N773" s="37">
        <v>812.22926829268283</v>
      </c>
      <c r="O773" s="130">
        <f t="shared" si="58"/>
        <v>39746.614858591667</v>
      </c>
      <c r="P773" s="132">
        <f t="shared" si="59"/>
        <v>1098.3181611995224</v>
      </c>
      <c r="Q773" s="261">
        <v>3.6177129347569129E-2</v>
      </c>
      <c r="R773" s="92"/>
    </row>
    <row r="774" spans="1:18" x14ac:dyDescent="0.25">
      <c r="A774" s="353">
        <v>41551</v>
      </c>
      <c r="B774" s="353" t="s">
        <v>285</v>
      </c>
      <c r="C774" s="263" t="s">
        <v>670</v>
      </c>
      <c r="D774" s="157" t="s">
        <v>671</v>
      </c>
      <c r="E774" s="44">
        <v>41551</v>
      </c>
      <c r="F774" s="146" t="str">
        <f t="shared" si="57"/>
        <v>2013-14</v>
      </c>
      <c r="G774" s="1"/>
      <c r="H774" s="161"/>
      <c r="I774" s="37"/>
      <c r="J774" s="135">
        <f t="shared" si="56"/>
        <v>0.76382508261777382</v>
      </c>
      <c r="K774" s="112"/>
      <c r="L774" s="37">
        <v>5.1880012528900004</v>
      </c>
      <c r="M774" s="37" t="s">
        <v>288</v>
      </c>
      <c r="N774" s="37">
        <v>812.22926829268283</v>
      </c>
      <c r="O774" s="130">
        <f t="shared" si="58"/>
        <v>4213.8464615363664</v>
      </c>
      <c r="P774" s="132">
        <f t="shared" si="59"/>
        <v>116.44121426887533</v>
      </c>
      <c r="Q774" s="261">
        <v>3.6177129347569129E-2</v>
      </c>
      <c r="R774" s="92"/>
    </row>
    <row r="775" spans="1:18" x14ac:dyDescent="0.25">
      <c r="A775" s="353">
        <v>41551</v>
      </c>
      <c r="B775" s="353" t="s">
        <v>285</v>
      </c>
      <c r="C775" s="263" t="s">
        <v>670</v>
      </c>
      <c r="D775" s="157" t="s">
        <v>671</v>
      </c>
      <c r="E775" s="44">
        <v>41551</v>
      </c>
      <c r="F775" s="146" t="str">
        <f t="shared" si="57"/>
        <v>2013-14</v>
      </c>
      <c r="G775" s="1"/>
      <c r="H775" s="161"/>
      <c r="I775" s="37"/>
      <c r="J775" s="135">
        <f t="shared" si="56"/>
        <v>0.76382508261777382</v>
      </c>
      <c r="K775" s="112"/>
      <c r="L775" s="37">
        <v>17.7022774275</v>
      </c>
      <c r="M775" s="37" t="s">
        <v>288</v>
      </c>
      <c r="N775" s="37">
        <v>3336.4019512195118</v>
      </c>
      <c r="O775" s="130">
        <f t="shared" si="58"/>
        <v>59061.912950140118</v>
      </c>
      <c r="P775" s="132">
        <f t="shared" si="59"/>
        <v>1632.0577704317895</v>
      </c>
      <c r="Q775" s="261">
        <v>3.6177129347569129E-2</v>
      </c>
      <c r="R775" s="92"/>
    </row>
    <row r="776" spans="1:18" x14ac:dyDescent="0.25">
      <c r="A776" s="353">
        <v>41551</v>
      </c>
      <c r="B776" s="353" t="s">
        <v>285</v>
      </c>
      <c r="C776" s="263" t="s">
        <v>670</v>
      </c>
      <c r="D776" s="157" t="s">
        <v>671</v>
      </c>
      <c r="E776" s="44">
        <v>41551</v>
      </c>
      <c r="F776" s="146" t="str">
        <f t="shared" si="57"/>
        <v>2013-14</v>
      </c>
      <c r="G776" s="1"/>
      <c r="H776" s="161"/>
      <c r="I776" s="37"/>
      <c r="J776" s="135">
        <f t="shared" si="56"/>
        <v>0.76382508261777382</v>
      </c>
      <c r="K776" s="112"/>
      <c r="L776" s="37">
        <v>5.9665468453499999</v>
      </c>
      <c r="M776" s="37" t="s">
        <v>288</v>
      </c>
      <c r="N776" s="37">
        <v>812.22926829268283</v>
      </c>
      <c r="O776" s="130">
        <f t="shared" si="58"/>
        <v>4846.2039784326453</v>
      </c>
      <c r="P776" s="132">
        <f t="shared" si="59"/>
        <v>133.91514878252326</v>
      </c>
      <c r="Q776" s="261">
        <v>3.6177129347569129E-2</v>
      </c>
      <c r="R776" s="92"/>
    </row>
    <row r="777" spans="1:18" x14ac:dyDescent="0.25">
      <c r="A777" s="353">
        <v>41551</v>
      </c>
      <c r="B777" s="353" t="s">
        <v>285</v>
      </c>
      <c r="C777" s="263" t="s">
        <v>670</v>
      </c>
      <c r="D777" s="157" t="s">
        <v>671</v>
      </c>
      <c r="E777" s="44">
        <v>41551</v>
      </c>
      <c r="F777" s="146" t="str">
        <f t="shared" si="57"/>
        <v>2013-14</v>
      </c>
      <c r="G777" s="1"/>
      <c r="H777" s="161"/>
      <c r="I777" s="37"/>
      <c r="J777" s="135">
        <f t="shared" si="56"/>
        <v>0.76382508261777382</v>
      </c>
      <c r="K777" s="112"/>
      <c r="L777" s="37">
        <v>18.126928314499999</v>
      </c>
      <c r="M777" s="37" t="s">
        <v>288</v>
      </c>
      <c r="N777" s="37">
        <v>3336.4019512195118</v>
      </c>
      <c r="O777" s="130">
        <f t="shared" si="58"/>
        <v>60478.718998114011</v>
      </c>
      <c r="P777" s="132">
        <f t="shared" si="59"/>
        <v>1671.208370273393</v>
      </c>
      <c r="Q777" s="261">
        <v>3.6177129347569129E-2</v>
      </c>
      <c r="R777" s="92"/>
    </row>
    <row r="778" spans="1:18" x14ac:dyDescent="0.25">
      <c r="A778" s="353">
        <v>41551</v>
      </c>
      <c r="B778" s="353" t="s">
        <v>285</v>
      </c>
      <c r="C778" s="263" t="s">
        <v>670</v>
      </c>
      <c r="D778" s="157" t="s">
        <v>671</v>
      </c>
      <c r="E778" s="44">
        <v>41551</v>
      </c>
      <c r="F778" s="146" t="str">
        <f t="shared" si="57"/>
        <v>2013-14</v>
      </c>
      <c r="G778" s="1"/>
      <c r="H778" s="161"/>
      <c r="I778" s="37"/>
      <c r="J778" s="135">
        <f t="shared" si="56"/>
        <v>0.76382508261777382</v>
      </c>
      <c r="K778" s="112"/>
      <c r="L778" s="37">
        <v>6.6515189994500004</v>
      </c>
      <c r="M778" s="37" t="s">
        <v>288</v>
      </c>
      <c r="N778" s="37">
        <v>812.22926829268283</v>
      </c>
      <c r="O778" s="130">
        <f t="shared" si="58"/>
        <v>5402.558409958152</v>
      </c>
      <c r="P778" s="132">
        <f t="shared" si="59"/>
        <v>149.28889012835296</v>
      </c>
      <c r="Q778" s="261">
        <v>3.6177129347569129E-2</v>
      </c>
      <c r="R778" s="92"/>
    </row>
    <row r="779" spans="1:18" x14ac:dyDescent="0.25">
      <c r="A779" s="353">
        <v>41551</v>
      </c>
      <c r="B779" s="353" t="s">
        <v>285</v>
      </c>
      <c r="C779" s="263" t="s">
        <v>670</v>
      </c>
      <c r="D779" s="157" t="s">
        <v>671</v>
      </c>
      <c r="E779" s="44">
        <v>41551</v>
      </c>
      <c r="F779" s="146" t="str">
        <f t="shared" si="57"/>
        <v>2013-14</v>
      </c>
      <c r="G779" s="1"/>
      <c r="H779" s="161"/>
      <c r="I779" s="37"/>
      <c r="J779" s="135">
        <f t="shared" si="56"/>
        <v>0.76382508261777382</v>
      </c>
      <c r="K779" s="112"/>
      <c r="L779" s="37">
        <v>5.0563767660299996</v>
      </c>
      <c r="M779" s="37" t="s">
        <v>288</v>
      </c>
      <c r="N779" s="37">
        <v>812.22926829268283</v>
      </c>
      <c r="O779" s="130">
        <f t="shared" si="58"/>
        <v>4106.9372008846685</v>
      </c>
      <c r="P779" s="132">
        <f t="shared" si="59"/>
        <v>113.48699079621167</v>
      </c>
      <c r="Q779" s="261">
        <v>3.6177129347569129E-2</v>
      </c>
      <c r="R779" s="92"/>
    </row>
    <row r="780" spans="1:18" x14ac:dyDescent="0.25">
      <c r="A780" s="353">
        <v>41551</v>
      </c>
      <c r="B780" s="353" t="s">
        <v>285</v>
      </c>
      <c r="C780" s="263" t="s">
        <v>670</v>
      </c>
      <c r="D780" s="157" t="s">
        <v>671</v>
      </c>
      <c r="E780" s="44">
        <v>41551</v>
      </c>
      <c r="F780" s="146" t="str">
        <f t="shared" si="57"/>
        <v>2013-14</v>
      </c>
      <c r="G780" s="1"/>
      <c r="H780" s="161"/>
      <c r="I780" s="37"/>
      <c r="J780" s="135">
        <f t="shared" si="56"/>
        <v>0.76382508261777382</v>
      </c>
      <c r="K780" s="112"/>
      <c r="L780" s="37">
        <v>6.5186632065200003</v>
      </c>
      <c r="M780" s="37" t="s">
        <v>288</v>
      </c>
      <c r="N780" s="37">
        <v>812.22926829268283</v>
      </c>
      <c r="O780" s="130">
        <f t="shared" si="58"/>
        <v>5294.6490464781737</v>
      </c>
      <c r="P780" s="132">
        <f t="shared" si="59"/>
        <v>146.30703081542279</v>
      </c>
      <c r="Q780" s="261">
        <v>3.6177129347569129E-2</v>
      </c>
      <c r="R780" s="92"/>
    </row>
    <row r="781" spans="1:18" x14ac:dyDescent="0.25">
      <c r="A781" s="353">
        <v>41551</v>
      </c>
      <c r="B781" s="353" t="s">
        <v>285</v>
      </c>
      <c r="C781" s="263" t="s">
        <v>670</v>
      </c>
      <c r="D781" s="157" t="s">
        <v>671</v>
      </c>
      <c r="E781" s="44">
        <v>41551</v>
      </c>
      <c r="F781" s="146" t="str">
        <f t="shared" si="57"/>
        <v>2013-14</v>
      </c>
      <c r="G781" s="1"/>
      <c r="H781" s="161"/>
      <c r="I781" s="37"/>
      <c r="J781" s="135">
        <f t="shared" si="56"/>
        <v>0.76382508261777382</v>
      </c>
      <c r="K781" s="112"/>
      <c r="L781" s="37">
        <v>86.757353174200006</v>
      </c>
      <c r="M781" s="37" t="s">
        <v>288</v>
      </c>
      <c r="N781" s="37">
        <v>812.22926829268283</v>
      </c>
      <c r="O781" s="130">
        <f t="shared" si="58"/>
        <v>70466.86148769033</v>
      </c>
      <c r="P781" s="132">
        <f t="shared" si="59"/>
        <v>1947.2106998297415</v>
      </c>
      <c r="Q781" s="261">
        <v>3.6177129347569129E-2</v>
      </c>
      <c r="R781" s="92"/>
    </row>
    <row r="782" spans="1:18" x14ac:dyDescent="0.25">
      <c r="A782" s="353">
        <v>41551</v>
      </c>
      <c r="B782" s="353" t="s">
        <v>285</v>
      </c>
      <c r="C782" s="263" t="s">
        <v>670</v>
      </c>
      <c r="D782" s="157" t="s">
        <v>671</v>
      </c>
      <c r="E782" s="44">
        <v>41551</v>
      </c>
      <c r="F782" s="146" t="str">
        <f t="shared" si="57"/>
        <v>2013-14</v>
      </c>
      <c r="G782" s="1"/>
      <c r="H782" s="161"/>
      <c r="I782" s="37"/>
      <c r="J782" s="135">
        <f t="shared" si="56"/>
        <v>0.76382508261777382</v>
      </c>
      <c r="K782" s="112"/>
      <c r="L782" s="37">
        <v>86.089979346500002</v>
      </c>
      <c r="M782" s="37" t="s">
        <v>288</v>
      </c>
      <c r="N782" s="37">
        <v>812.22926829268283</v>
      </c>
      <c r="O782" s="130">
        <f t="shared" si="58"/>
        <v>69924.80093193987</v>
      </c>
      <c r="P782" s="132">
        <f t="shared" si="59"/>
        <v>1932.2319411362337</v>
      </c>
      <c r="Q782" s="261">
        <v>3.6177129347569129E-2</v>
      </c>
      <c r="R782" s="92"/>
    </row>
    <row r="783" spans="1:18" x14ac:dyDescent="0.25">
      <c r="A783" s="353">
        <v>41551</v>
      </c>
      <c r="B783" s="353" t="s">
        <v>285</v>
      </c>
      <c r="C783" s="263" t="s">
        <v>670</v>
      </c>
      <c r="D783" s="157" t="s">
        <v>671</v>
      </c>
      <c r="E783" s="44">
        <v>41551</v>
      </c>
      <c r="F783" s="146" t="str">
        <f t="shared" si="57"/>
        <v>2013-14</v>
      </c>
      <c r="G783" s="1"/>
      <c r="H783" s="161"/>
      <c r="I783" s="37"/>
      <c r="J783" s="135">
        <f t="shared" si="56"/>
        <v>0.76382508261777382</v>
      </c>
      <c r="K783" s="112"/>
      <c r="L783" s="37">
        <v>85.004783869199997</v>
      </c>
      <c r="M783" s="37" t="s">
        <v>288</v>
      </c>
      <c r="N783" s="37">
        <v>812.22926829268283</v>
      </c>
      <c r="O783" s="130">
        <f t="shared" si="58"/>
        <v>69043.373403457968</v>
      </c>
      <c r="P783" s="132">
        <f t="shared" si="59"/>
        <v>1907.875455288141</v>
      </c>
      <c r="Q783" s="261">
        <v>3.6177129347569129E-2</v>
      </c>
      <c r="R783" s="92"/>
    </row>
    <row r="784" spans="1:18" x14ac:dyDescent="0.25">
      <c r="A784" s="353">
        <v>41551</v>
      </c>
      <c r="B784" s="353" t="s">
        <v>285</v>
      </c>
      <c r="C784" s="263" t="s">
        <v>670</v>
      </c>
      <c r="D784" s="157" t="s">
        <v>671</v>
      </c>
      <c r="E784" s="44">
        <v>41551</v>
      </c>
      <c r="F784" s="146" t="str">
        <f t="shared" si="57"/>
        <v>2013-14</v>
      </c>
      <c r="G784" s="1"/>
      <c r="H784" s="161"/>
      <c r="I784" s="37"/>
      <c r="J784" s="135">
        <f t="shared" si="56"/>
        <v>0.76382508261777382</v>
      </c>
      <c r="K784" s="112"/>
      <c r="L784" s="37">
        <v>81.900079609000002</v>
      </c>
      <c r="M784" s="37" t="s">
        <v>288</v>
      </c>
      <c r="N784" s="37">
        <v>812.22926829268283</v>
      </c>
      <c r="O784" s="130">
        <f t="shared" si="58"/>
        <v>66521.641733930548</v>
      </c>
      <c r="P784" s="132">
        <f t="shared" si="59"/>
        <v>1838.1924470579379</v>
      </c>
      <c r="Q784" s="261">
        <v>3.6177129347569129E-2</v>
      </c>
      <c r="R784" s="92"/>
    </row>
    <row r="785" spans="1:18" x14ac:dyDescent="0.25">
      <c r="A785" s="353">
        <v>41551</v>
      </c>
      <c r="B785" s="353" t="s">
        <v>285</v>
      </c>
      <c r="C785" s="263" t="s">
        <v>670</v>
      </c>
      <c r="D785" s="157" t="s">
        <v>671</v>
      </c>
      <c r="E785" s="44">
        <v>41551</v>
      </c>
      <c r="F785" s="146" t="str">
        <f t="shared" si="57"/>
        <v>2013-14</v>
      </c>
      <c r="G785" s="1"/>
      <c r="H785" s="161"/>
      <c r="I785" s="37"/>
      <c r="J785" s="135">
        <f t="shared" si="56"/>
        <v>0.76382508261777382</v>
      </c>
      <c r="K785" s="112"/>
      <c r="L785" s="37">
        <v>87.969096483499996</v>
      </c>
      <c r="M785" s="37" t="s">
        <v>288</v>
      </c>
      <c r="N785" s="37">
        <v>812.22926829268283</v>
      </c>
      <c r="O785" s="130">
        <f t="shared" si="58"/>
        <v>71451.074869161617</v>
      </c>
      <c r="P785" s="132">
        <f t="shared" si="59"/>
        <v>1974.4074670314606</v>
      </c>
      <c r="Q785" s="261">
        <v>3.6177129347569129E-2</v>
      </c>
      <c r="R785" s="92"/>
    </row>
    <row r="786" spans="1:18" x14ac:dyDescent="0.25">
      <c r="A786" s="353">
        <v>41551</v>
      </c>
      <c r="B786" s="353" t="s">
        <v>285</v>
      </c>
      <c r="C786" s="263" t="s">
        <v>670</v>
      </c>
      <c r="D786" s="157" t="s">
        <v>671</v>
      </c>
      <c r="E786" s="44">
        <v>41551</v>
      </c>
      <c r="F786" s="146" t="str">
        <f t="shared" si="57"/>
        <v>2013-14</v>
      </c>
      <c r="G786" s="1"/>
      <c r="H786" s="161"/>
      <c r="I786" s="37"/>
      <c r="J786" s="135">
        <f t="shared" si="56"/>
        <v>0.76382508261777382</v>
      </c>
      <c r="K786" s="112"/>
      <c r="L786" s="37">
        <v>38.428297939399997</v>
      </c>
      <c r="M786" s="37" t="s">
        <v>288</v>
      </c>
      <c r="N786" s="37">
        <v>3592.3639024390236</v>
      </c>
      <c r="O786" s="130">
        <f t="shared" si="58"/>
        <v>138048.43034967248</v>
      </c>
      <c r="P786" s="132">
        <f t="shared" si="59"/>
        <v>3814.6921119587632</v>
      </c>
      <c r="Q786" s="261">
        <v>3.6177129347569129E-2</v>
      </c>
      <c r="R786" s="92"/>
    </row>
    <row r="787" spans="1:18" x14ac:dyDescent="0.25">
      <c r="A787" s="353">
        <v>41551</v>
      </c>
      <c r="B787" s="353" t="s">
        <v>285</v>
      </c>
      <c r="C787" s="263" t="s">
        <v>670</v>
      </c>
      <c r="D787" s="157" t="s">
        <v>671</v>
      </c>
      <c r="E787" s="44">
        <v>41551</v>
      </c>
      <c r="F787" s="146" t="str">
        <f t="shared" si="57"/>
        <v>2013-14</v>
      </c>
      <c r="G787" s="1"/>
      <c r="H787" s="161"/>
      <c r="I787" s="37"/>
      <c r="J787" s="135">
        <f t="shared" si="56"/>
        <v>0.76382508261777382</v>
      </c>
      <c r="K787" s="112"/>
      <c r="L787" s="37">
        <v>73.823858609400006</v>
      </c>
      <c r="M787" s="37" t="s">
        <v>288</v>
      </c>
      <c r="N787" s="37">
        <v>3336.4019512195118</v>
      </c>
      <c r="O787" s="130">
        <f t="shared" si="58"/>
        <v>246306.06591095554</v>
      </c>
      <c r="P787" s="132">
        <f t="shared" si="59"/>
        <v>6806.1752268981627</v>
      </c>
      <c r="Q787" s="261">
        <v>3.6177129347569129E-2</v>
      </c>
      <c r="R787" s="92"/>
    </row>
    <row r="788" spans="1:18" x14ac:dyDescent="0.25">
      <c r="A788" s="353">
        <v>41551</v>
      </c>
      <c r="B788" s="353" t="s">
        <v>285</v>
      </c>
      <c r="C788" s="263" t="s">
        <v>670</v>
      </c>
      <c r="D788" s="157" t="s">
        <v>671</v>
      </c>
      <c r="E788" s="44">
        <v>41551</v>
      </c>
      <c r="F788" s="146" t="str">
        <f t="shared" si="57"/>
        <v>2013-14</v>
      </c>
      <c r="G788" s="1"/>
      <c r="H788" s="161"/>
      <c r="I788" s="37"/>
      <c r="J788" s="135">
        <f t="shared" si="56"/>
        <v>0.76382508261777382</v>
      </c>
      <c r="K788" s="112"/>
      <c r="L788" s="37">
        <v>75.631948918399999</v>
      </c>
      <c r="M788" s="37" t="s">
        <v>288</v>
      </c>
      <c r="N788" s="37">
        <v>3336.4019512195118</v>
      </c>
      <c r="O788" s="130">
        <f t="shared" si="58"/>
        <v>252338.58194588422</v>
      </c>
      <c r="P788" s="132">
        <f t="shared" si="59"/>
        <v>6972.8717353294296</v>
      </c>
      <c r="Q788" s="261">
        <v>3.6177129347569129E-2</v>
      </c>
      <c r="R788" s="92"/>
    </row>
    <row r="789" spans="1:18" x14ac:dyDescent="0.25">
      <c r="A789" s="353">
        <v>41551</v>
      </c>
      <c r="B789" s="353" t="s">
        <v>285</v>
      </c>
      <c r="C789" s="263" t="s">
        <v>670</v>
      </c>
      <c r="D789" s="157" t="s">
        <v>671</v>
      </c>
      <c r="E789" s="44">
        <v>41551</v>
      </c>
      <c r="F789" s="146" t="str">
        <f t="shared" si="57"/>
        <v>2013-14</v>
      </c>
      <c r="G789" s="1"/>
      <c r="H789" s="161"/>
      <c r="I789" s="37"/>
      <c r="J789" s="135">
        <f t="shared" si="56"/>
        <v>0.76382508261777382</v>
      </c>
      <c r="K789" s="112"/>
      <c r="L789" s="37">
        <v>32.023188510099999</v>
      </c>
      <c r="M789" s="37" t="s">
        <v>288</v>
      </c>
      <c r="N789" s="37">
        <v>3592.3639024390236</v>
      </c>
      <c r="O789" s="130">
        <f t="shared" si="58"/>
        <v>115038.94644468333</v>
      </c>
      <c r="P789" s="132">
        <f t="shared" si="59"/>
        <v>3178.8710705294975</v>
      </c>
      <c r="Q789" s="261">
        <v>3.6177129347569129E-2</v>
      </c>
      <c r="R789" s="92"/>
    </row>
    <row r="790" spans="1:18" x14ac:dyDescent="0.25">
      <c r="A790" s="353">
        <v>41551</v>
      </c>
      <c r="B790" s="353" t="s">
        <v>285</v>
      </c>
      <c r="C790" s="263" t="s">
        <v>670</v>
      </c>
      <c r="D790" s="157" t="s">
        <v>671</v>
      </c>
      <c r="E790" s="44">
        <v>41551</v>
      </c>
      <c r="F790" s="146" t="str">
        <f t="shared" si="57"/>
        <v>2013-14</v>
      </c>
      <c r="G790" s="1"/>
      <c r="H790" s="161"/>
      <c r="I790" s="37"/>
      <c r="J790" s="135">
        <f t="shared" si="56"/>
        <v>0.76382508261777382</v>
      </c>
      <c r="K790" s="112"/>
      <c r="L790" s="37">
        <v>109.45040086900001</v>
      </c>
      <c r="M790" s="37" t="s">
        <v>288</v>
      </c>
      <c r="N790" s="37">
        <v>812.22926829268283</v>
      </c>
      <c r="O790" s="130">
        <f t="shared" si="58"/>
        <v>88898.819012168693</v>
      </c>
      <c r="P790" s="132">
        <f t="shared" si="59"/>
        <v>2456.5409602208797</v>
      </c>
      <c r="Q790" s="261">
        <v>3.6177129347569129E-2</v>
      </c>
      <c r="R790" s="92"/>
    </row>
    <row r="791" spans="1:18" x14ac:dyDescent="0.25">
      <c r="A791" s="353">
        <v>41551</v>
      </c>
      <c r="B791" s="353" t="s">
        <v>285</v>
      </c>
      <c r="C791" s="263" t="s">
        <v>670</v>
      </c>
      <c r="D791" s="157" t="s">
        <v>671</v>
      </c>
      <c r="E791" s="44">
        <v>41551</v>
      </c>
      <c r="F791" s="146" t="str">
        <f t="shared" si="57"/>
        <v>2013-14</v>
      </c>
      <c r="G791" s="1"/>
      <c r="H791" s="161"/>
      <c r="I791" s="37"/>
      <c r="J791" s="135">
        <f t="shared" si="56"/>
        <v>0.76382508261777382</v>
      </c>
      <c r="K791" s="112"/>
      <c r="L791" s="37">
        <v>35.384856560700001</v>
      </c>
      <c r="M791" s="37" t="s">
        <v>288</v>
      </c>
      <c r="N791" s="37">
        <v>812.22926829268283</v>
      </c>
      <c r="O791" s="130">
        <f t="shared" si="58"/>
        <v>28740.616152938899</v>
      </c>
      <c r="P791" s="132">
        <f t="shared" si="59"/>
        <v>794.18941203275153</v>
      </c>
      <c r="Q791" s="261">
        <v>3.6177129347569129E-2</v>
      </c>
      <c r="R791" s="92"/>
    </row>
    <row r="792" spans="1:18" x14ac:dyDescent="0.25">
      <c r="A792" s="353">
        <v>41551</v>
      </c>
      <c r="B792" s="353" t="s">
        <v>285</v>
      </c>
      <c r="C792" s="263" t="s">
        <v>670</v>
      </c>
      <c r="D792" s="157" t="s">
        <v>671</v>
      </c>
      <c r="E792" s="44">
        <v>41551</v>
      </c>
      <c r="F792" s="146" t="str">
        <f t="shared" si="57"/>
        <v>2013-14</v>
      </c>
      <c r="G792" s="1"/>
      <c r="H792" s="161"/>
      <c r="I792" s="37"/>
      <c r="J792" s="135">
        <f t="shared" si="56"/>
        <v>0.76382508261777382</v>
      </c>
      <c r="K792" s="112"/>
      <c r="L792" s="37">
        <v>58.081320757199997</v>
      </c>
      <c r="M792" s="37" t="s">
        <v>288</v>
      </c>
      <c r="N792" s="37">
        <v>3592.3639024390236</v>
      </c>
      <c r="O792" s="130">
        <f t="shared" si="58"/>
        <v>208649.24009414765</v>
      </c>
      <c r="P792" s="132">
        <f t="shared" si="59"/>
        <v>5765.6042038092146</v>
      </c>
      <c r="Q792" s="261">
        <v>3.6177129347569129E-2</v>
      </c>
      <c r="R792" s="92"/>
    </row>
    <row r="793" spans="1:18" x14ac:dyDescent="0.25">
      <c r="A793" s="353">
        <v>41551</v>
      </c>
      <c r="B793" s="353" t="s">
        <v>285</v>
      </c>
      <c r="C793" s="263" t="s">
        <v>670</v>
      </c>
      <c r="D793" s="157" t="s">
        <v>671</v>
      </c>
      <c r="E793" s="44">
        <v>41551</v>
      </c>
      <c r="F793" s="146" t="str">
        <f t="shared" si="57"/>
        <v>2013-14</v>
      </c>
      <c r="G793" s="1"/>
      <c r="H793" s="161"/>
      <c r="I793" s="37"/>
      <c r="J793" s="135">
        <f t="shared" ref="J793:J856" si="60">J792</f>
        <v>0.76382508261777382</v>
      </c>
      <c r="K793" s="112"/>
      <c r="L793" s="37">
        <v>19.239023182099999</v>
      </c>
      <c r="M793" s="37" t="s">
        <v>288</v>
      </c>
      <c r="N793" s="37">
        <v>812.22926829268283</v>
      </c>
      <c r="O793" s="130">
        <f t="shared" si="58"/>
        <v>15626.497721863045</v>
      </c>
      <c r="P793" s="132">
        <f t="shared" si="59"/>
        <v>431.80699299616464</v>
      </c>
      <c r="Q793" s="261">
        <v>3.6177129347569129E-2</v>
      </c>
      <c r="R793" s="92"/>
    </row>
    <row r="794" spans="1:18" x14ac:dyDescent="0.25">
      <c r="A794" s="353">
        <v>41551</v>
      </c>
      <c r="B794" s="353" t="s">
        <v>285</v>
      </c>
      <c r="C794" s="263" t="s">
        <v>670</v>
      </c>
      <c r="D794" s="157" t="s">
        <v>671</v>
      </c>
      <c r="E794" s="44">
        <v>41551</v>
      </c>
      <c r="F794" s="146" t="str">
        <f t="shared" si="57"/>
        <v>2013-14</v>
      </c>
      <c r="G794" s="1"/>
      <c r="H794" s="161"/>
      <c r="I794" s="37"/>
      <c r="J794" s="135">
        <f t="shared" si="60"/>
        <v>0.76382508261777382</v>
      </c>
      <c r="K794" s="112"/>
      <c r="L794" s="37">
        <v>12.673312510900001</v>
      </c>
      <c r="M794" s="37" t="s">
        <v>288</v>
      </c>
      <c r="N794" s="37">
        <v>3592.3639024390236</v>
      </c>
      <c r="O794" s="130">
        <f t="shared" si="58"/>
        <v>45527.150388486029</v>
      </c>
      <c r="P794" s="132">
        <f t="shared" si="59"/>
        <v>1258.0516926343309</v>
      </c>
      <c r="Q794" s="261">
        <v>3.6177129347569129E-2</v>
      </c>
      <c r="R794" s="92"/>
    </row>
    <row r="795" spans="1:18" x14ac:dyDescent="0.25">
      <c r="A795" s="353">
        <v>41551</v>
      </c>
      <c r="B795" s="353" t="s">
        <v>285</v>
      </c>
      <c r="C795" s="263" t="s">
        <v>670</v>
      </c>
      <c r="D795" s="157" t="s">
        <v>671</v>
      </c>
      <c r="E795" s="44">
        <v>41551</v>
      </c>
      <c r="F795" s="146" t="str">
        <f t="shared" si="57"/>
        <v>2013-14</v>
      </c>
      <c r="G795" s="1"/>
      <c r="H795" s="161"/>
      <c r="I795" s="37"/>
      <c r="J795" s="135">
        <f t="shared" si="60"/>
        <v>0.76382508261777382</v>
      </c>
      <c r="K795" s="112"/>
      <c r="L795" s="37">
        <v>17.9987367789</v>
      </c>
      <c r="M795" s="37" t="s">
        <v>288</v>
      </c>
      <c r="N795" s="37">
        <v>3336.4019512195118</v>
      </c>
      <c r="O795" s="130">
        <f t="shared" si="58"/>
        <v>60051.020508608352</v>
      </c>
      <c r="P795" s="132">
        <f t="shared" si="59"/>
        <v>1659.3897784206547</v>
      </c>
      <c r="Q795" s="261">
        <v>3.6177129347569129E-2</v>
      </c>
      <c r="R795" s="92"/>
    </row>
    <row r="796" spans="1:18" x14ac:dyDescent="0.25">
      <c r="A796" s="353">
        <v>41551</v>
      </c>
      <c r="B796" s="353" t="s">
        <v>285</v>
      </c>
      <c r="C796" s="263" t="s">
        <v>670</v>
      </c>
      <c r="D796" s="157" t="s">
        <v>671</v>
      </c>
      <c r="E796" s="44">
        <v>41551</v>
      </c>
      <c r="F796" s="146" t="str">
        <f t="shared" si="57"/>
        <v>2013-14</v>
      </c>
      <c r="G796" s="1"/>
      <c r="H796" s="161"/>
      <c r="I796" s="37"/>
      <c r="J796" s="135">
        <f t="shared" si="60"/>
        <v>0.76382508261777382</v>
      </c>
      <c r="K796" s="112"/>
      <c r="L796" s="37">
        <v>30.555937823400001</v>
      </c>
      <c r="M796" s="37" t="s">
        <v>288</v>
      </c>
      <c r="N796" s="37">
        <v>3336.4019512195118</v>
      </c>
      <c r="O796" s="130">
        <f t="shared" si="58"/>
        <v>101946.89057533385</v>
      </c>
      <c r="P796" s="132">
        <f t="shared" si="59"/>
        <v>2817.0983062349028</v>
      </c>
      <c r="Q796" s="261">
        <v>3.6177129347569129E-2</v>
      </c>
      <c r="R796" s="92"/>
    </row>
    <row r="797" spans="1:18" x14ac:dyDescent="0.25">
      <c r="A797" s="353">
        <v>41551</v>
      </c>
      <c r="B797" s="353" t="s">
        <v>285</v>
      </c>
      <c r="C797" s="263" t="s">
        <v>670</v>
      </c>
      <c r="D797" s="157" t="s">
        <v>671</v>
      </c>
      <c r="E797" s="44">
        <v>41551</v>
      </c>
      <c r="F797" s="146" t="str">
        <f t="shared" si="57"/>
        <v>2013-14</v>
      </c>
      <c r="G797" s="1"/>
      <c r="H797" s="161"/>
      <c r="I797" s="37"/>
      <c r="J797" s="135">
        <f t="shared" si="60"/>
        <v>0.76382508261777382</v>
      </c>
      <c r="K797" s="112"/>
      <c r="L797" s="37">
        <v>17.7171569484</v>
      </c>
      <c r="M797" s="37" t="s">
        <v>288</v>
      </c>
      <c r="N797" s="37">
        <v>812.22926829268283</v>
      </c>
      <c r="O797" s="130">
        <f t="shared" si="58"/>
        <v>14390.393424425552</v>
      </c>
      <c r="P797" s="132">
        <f t="shared" si="59"/>
        <v>397.64972441260107</v>
      </c>
      <c r="Q797" s="261">
        <v>3.6177129347569129E-2</v>
      </c>
      <c r="R797" s="92"/>
    </row>
    <row r="798" spans="1:18" x14ac:dyDescent="0.25">
      <c r="A798" s="353">
        <v>41551</v>
      </c>
      <c r="B798" s="353" t="s">
        <v>285</v>
      </c>
      <c r="C798" s="263" t="s">
        <v>670</v>
      </c>
      <c r="D798" s="157" t="s">
        <v>671</v>
      </c>
      <c r="E798" s="44">
        <v>41551</v>
      </c>
      <c r="F798" s="146" t="str">
        <f t="shared" si="57"/>
        <v>2013-14</v>
      </c>
      <c r="G798" s="1"/>
      <c r="H798" s="161"/>
      <c r="I798" s="37"/>
      <c r="J798" s="135">
        <f t="shared" si="60"/>
        <v>0.76382508261777382</v>
      </c>
      <c r="K798" s="112"/>
      <c r="L798" s="37">
        <v>62.034925042300003</v>
      </c>
      <c r="M798" s="37" t="s">
        <v>288</v>
      </c>
      <c r="N798" s="37">
        <v>3592.3639024390236</v>
      </c>
      <c r="O798" s="130">
        <f t="shared" si="58"/>
        <v>222852.02541246914</v>
      </c>
      <c r="P798" s="132">
        <f t="shared" si="59"/>
        <v>6158.0697536485741</v>
      </c>
      <c r="Q798" s="261">
        <v>3.6177129347569129E-2</v>
      </c>
      <c r="R798" s="92"/>
    </row>
    <row r="799" spans="1:18" x14ac:dyDescent="0.25">
      <c r="A799" s="353">
        <v>41551</v>
      </c>
      <c r="B799" s="353" t="s">
        <v>285</v>
      </c>
      <c r="C799" s="263" t="s">
        <v>670</v>
      </c>
      <c r="D799" s="157" t="s">
        <v>671</v>
      </c>
      <c r="E799" s="44">
        <v>41551</v>
      </c>
      <c r="F799" s="146" t="str">
        <f t="shared" si="57"/>
        <v>2013-14</v>
      </c>
      <c r="G799" s="1"/>
      <c r="H799" s="161"/>
      <c r="I799" s="37"/>
      <c r="J799" s="135">
        <f t="shared" si="60"/>
        <v>0.76382508261777382</v>
      </c>
      <c r="K799" s="112"/>
      <c r="L799" s="37">
        <v>39.489627231500002</v>
      </c>
      <c r="M799" s="37" t="s">
        <v>288</v>
      </c>
      <c r="N799" s="37">
        <v>3336.4019512195118</v>
      </c>
      <c r="O799" s="130">
        <f t="shared" si="58"/>
        <v>131753.26934810777</v>
      </c>
      <c r="P799" s="132">
        <f t="shared" si="59"/>
        <v>3640.7379354762616</v>
      </c>
      <c r="Q799" s="261">
        <v>3.6177129347569129E-2</v>
      </c>
      <c r="R799" s="92"/>
    </row>
    <row r="800" spans="1:18" x14ac:dyDescent="0.25">
      <c r="A800" s="353">
        <v>41551</v>
      </c>
      <c r="B800" s="353" t="s">
        <v>285</v>
      </c>
      <c r="C800" s="263" t="s">
        <v>670</v>
      </c>
      <c r="D800" s="157" t="s">
        <v>671</v>
      </c>
      <c r="E800" s="44">
        <v>41551</v>
      </c>
      <c r="F800" s="146" t="str">
        <f t="shared" si="57"/>
        <v>2013-14</v>
      </c>
      <c r="G800" s="1"/>
      <c r="H800" s="161"/>
      <c r="I800" s="37"/>
      <c r="J800" s="135">
        <f t="shared" si="60"/>
        <v>0.76382508261777382</v>
      </c>
      <c r="K800" s="112"/>
      <c r="L800" s="37">
        <v>46.960518816700002</v>
      </c>
      <c r="M800" s="37" t="s">
        <v>288</v>
      </c>
      <c r="N800" s="37">
        <v>812.22926829268283</v>
      </c>
      <c r="O800" s="130">
        <f t="shared" si="58"/>
        <v>38142.707837133006</v>
      </c>
      <c r="P800" s="132">
        <f t="shared" si="59"/>
        <v>1053.9974003797442</v>
      </c>
      <c r="Q800" s="261">
        <v>3.6177129347569129E-2</v>
      </c>
      <c r="R800" s="92"/>
    </row>
    <row r="801" spans="1:18" x14ac:dyDescent="0.25">
      <c r="A801" s="353">
        <v>41551</v>
      </c>
      <c r="B801" s="353" t="s">
        <v>285</v>
      </c>
      <c r="C801" s="263" t="s">
        <v>670</v>
      </c>
      <c r="D801" s="157" t="s">
        <v>671</v>
      </c>
      <c r="E801" s="44">
        <v>41551</v>
      </c>
      <c r="F801" s="146" t="str">
        <f t="shared" si="57"/>
        <v>2013-14</v>
      </c>
      <c r="G801" s="1"/>
      <c r="H801" s="161"/>
      <c r="I801" s="37"/>
      <c r="J801" s="135">
        <f t="shared" si="60"/>
        <v>0.76382508261777382</v>
      </c>
      <c r="K801" s="112"/>
      <c r="L801" s="37">
        <v>49.765345010200001</v>
      </c>
      <c r="M801" s="37" t="s">
        <v>288</v>
      </c>
      <c r="N801" s="37">
        <v>812.22926829268283</v>
      </c>
      <c r="O801" s="130">
        <f t="shared" si="58"/>
        <v>40420.869763967661</v>
      </c>
      <c r="P801" s="132">
        <f t="shared" si="59"/>
        <v>1116.9498461992889</v>
      </c>
      <c r="Q801" s="261">
        <v>3.6177129347569129E-2</v>
      </c>
      <c r="R801" s="92"/>
    </row>
    <row r="802" spans="1:18" x14ac:dyDescent="0.25">
      <c r="A802" s="353">
        <v>41551</v>
      </c>
      <c r="B802" s="353" t="s">
        <v>285</v>
      </c>
      <c r="C802" s="263" t="s">
        <v>670</v>
      </c>
      <c r="D802" s="157" t="s">
        <v>671</v>
      </c>
      <c r="E802" s="44">
        <v>41551</v>
      </c>
      <c r="F802" s="146" t="str">
        <f t="shared" si="57"/>
        <v>2013-14</v>
      </c>
      <c r="G802" s="1"/>
      <c r="H802" s="161"/>
      <c r="I802" s="37"/>
      <c r="J802" s="135">
        <f t="shared" si="60"/>
        <v>0.76382508261777382</v>
      </c>
      <c r="K802" s="112"/>
      <c r="L802" s="37">
        <v>18.461854404299999</v>
      </c>
      <c r="M802" s="37" t="s">
        <v>288</v>
      </c>
      <c r="N802" s="37">
        <v>3336.4019512195118</v>
      </c>
      <c r="O802" s="130">
        <f t="shared" si="58"/>
        <v>61596.167057637052</v>
      </c>
      <c r="P802" s="132">
        <f t="shared" si="59"/>
        <v>1702.0868111755374</v>
      </c>
      <c r="Q802" s="261">
        <v>3.6177129347569129E-2</v>
      </c>
      <c r="R802" s="92"/>
    </row>
    <row r="803" spans="1:18" x14ac:dyDescent="0.25">
      <c r="A803" s="353">
        <v>41551</v>
      </c>
      <c r="B803" s="353" t="s">
        <v>285</v>
      </c>
      <c r="C803" s="263" t="s">
        <v>670</v>
      </c>
      <c r="D803" s="157" t="s">
        <v>671</v>
      </c>
      <c r="E803" s="44">
        <v>41551</v>
      </c>
      <c r="F803" s="146" t="str">
        <f t="shared" si="57"/>
        <v>2013-14</v>
      </c>
      <c r="G803" s="1"/>
      <c r="H803" s="161"/>
      <c r="I803" s="37"/>
      <c r="J803" s="135">
        <f t="shared" si="60"/>
        <v>0.76382508261777382</v>
      </c>
      <c r="K803" s="112"/>
      <c r="L803" s="37">
        <v>6.3822059665899999</v>
      </c>
      <c r="M803" s="37" t="s">
        <v>288</v>
      </c>
      <c r="N803" s="37">
        <v>812.22926829268283</v>
      </c>
      <c r="O803" s="130">
        <f t="shared" si="58"/>
        <v>5183.8144823365901</v>
      </c>
      <c r="P803" s="132">
        <f t="shared" si="59"/>
        <v>143.24433943608332</v>
      </c>
      <c r="Q803" s="261">
        <v>3.6177129347569129E-2</v>
      </c>
      <c r="R803" s="92"/>
    </row>
    <row r="804" spans="1:18" x14ac:dyDescent="0.25">
      <c r="A804" s="353">
        <v>41551</v>
      </c>
      <c r="B804" s="353" t="s">
        <v>285</v>
      </c>
      <c r="C804" s="263" t="s">
        <v>670</v>
      </c>
      <c r="D804" s="157" t="s">
        <v>671</v>
      </c>
      <c r="E804" s="44">
        <v>41551</v>
      </c>
      <c r="F804" s="146" t="str">
        <f t="shared" si="57"/>
        <v>2013-14</v>
      </c>
      <c r="G804" s="1"/>
      <c r="H804" s="161"/>
      <c r="I804" s="37"/>
      <c r="J804" s="135">
        <f t="shared" si="60"/>
        <v>0.76382508261777382</v>
      </c>
      <c r="K804" s="112"/>
      <c r="L804" s="37">
        <v>26.118592994299998</v>
      </c>
      <c r="M804" s="37" t="s">
        <v>288</v>
      </c>
      <c r="N804" s="37">
        <v>3336.4019512195118</v>
      </c>
      <c r="O804" s="130">
        <f t="shared" si="58"/>
        <v>87142.124629290789</v>
      </c>
      <c r="P804" s="132">
        <f t="shared" si="59"/>
        <v>2407.9982264243959</v>
      </c>
      <c r="Q804" s="261">
        <v>3.6177129347569129E-2</v>
      </c>
      <c r="R804" s="92"/>
    </row>
    <row r="805" spans="1:18" x14ac:dyDescent="0.25">
      <c r="A805" s="353">
        <v>41551</v>
      </c>
      <c r="B805" s="353" t="s">
        <v>285</v>
      </c>
      <c r="C805" s="263" t="s">
        <v>670</v>
      </c>
      <c r="D805" s="157" t="s">
        <v>671</v>
      </c>
      <c r="E805" s="44">
        <v>41551</v>
      </c>
      <c r="F805" s="146" t="str">
        <f t="shared" si="57"/>
        <v>2013-14</v>
      </c>
      <c r="G805" s="1"/>
      <c r="H805" s="161"/>
      <c r="I805" s="37"/>
      <c r="J805" s="135">
        <f t="shared" si="60"/>
        <v>0.76382508261777382</v>
      </c>
      <c r="K805" s="112"/>
      <c r="L805" s="37">
        <v>5.9167283279999996</v>
      </c>
      <c r="M805" s="37" t="s">
        <v>288</v>
      </c>
      <c r="N805" s="37">
        <v>812.22926829268283</v>
      </c>
      <c r="O805" s="130">
        <f t="shared" si="58"/>
        <v>4805.7399205380279</v>
      </c>
      <c r="P805" s="132">
        <f t="shared" si="59"/>
        <v>132.79700551876101</v>
      </c>
      <c r="Q805" s="261">
        <v>3.6177129347569129E-2</v>
      </c>
      <c r="R805" s="92"/>
    </row>
    <row r="806" spans="1:18" x14ac:dyDescent="0.25">
      <c r="A806" s="353">
        <v>41551</v>
      </c>
      <c r="B806" s="353" t="s">
        <v>285</v>
      </c>
      <c r="C806" s="263" t="s">
        <v>670</v>
      </c>
      <c r="D806" s="157" t="s">
        <v>671</v>
      </c>
      <c r="E806" s="44">
        <v>41551</v>
      </c>
      <c r="F806" s="146" t="str">
        <f t="shared" si="57"/>
        <v>2013-14</v>
      </c>
      <c r="G806" s="1"/>
      <c r="H806" s="161"/>
      <c r="I806" s="37"/>
      <c r="J806" s="135">
        <f t="shared" si="60"/>
        <v>0.76382508261777382</v>
      </c>
      <c r="K806" s="112"/>
      <c r="L806" s="37">
        <v>48.987270778800003</v>
      </c>
      <c r="M806" s="37" t="s">
        <v>288</v>
      </c>
      <c r="N806" s="37">
        <v>812.22926829268283</v>
      </c>
      <c r="O806" s="130">
        <f t="shared" si="58"/>
        <v>39788.895100320253</v>
      </c>
      <c r="P806" s="132">
        <f t="shared" si="59"/>
        <v>1099.4864910690126</v>
      </c>
      <c r="Q806" s="261">
        <v>3.6177129347569129E-2</v>
      </c>
      <c r="R806" s="92"/>
    </row>
    <row r="807" spans="1:18" x14ac:dyDescent="0.25">
      <c r="A807" s="353">
        <v>41325</v>
      </c>
      <c r="B807" s="353" t="s">
        <v>285</v>
      </c>
      <c r="C807" s="263" t="s">
        <v>672</v>
      </c>
      <c r="D807" s="157" t="s">
        <v>671</v>
      </c>
      <c r="E807" s="44">
        <v>41325</v>
      </c>
      <c r="F807" s="146" t="str">
        <f t="shared" si="57"/>
        <v>2012-13</v>
      </c>
      <c r="G807" s="1"/>
      <c r="H807" s="161"/>
      <c r="I807" s="37"/>
      <c r="J807" s="135">
        <f t="shared" si="60"/>
        <v>0.76382508261777382</v>
      </c>
      <c r="K807" s="112"/>
      <c r="L807" s="37">
        <v>38.965552973800001</v>
      </c>
      <c r="M807" s="37" t="s">
        <v>288</v>
      </c>
      <c r="N807" s="37">
        <v>1162.6195121951216</v>
      </c>
      <c r="O807" s="130">
        <f t="shared" si="58"/>
        <v>45302.112190812528</v>
      </c>
      <c r="P807" s="132">
        <f t="shared" si="59"/>
        <v>6458.1072983830791</v>
      </c>
      <c r="Q807" s="261">
        <v>0.18663491331159471</v>
      </c>
      <c r="R807" s="92"/>
    </row>
    <row r="808" spans="1:18" x14ac:dyDescent="0.25">
      <c r="A808" s="353">
        <v>41325</v>
      </c>
      <c r="B808" s="353" t="s">
        <v>285</v>
      </c>
      <c r="C808" s="263" t="s">
        <v>672</v>
      </c>
      <c r="D808" s="157" t="s">
        <v>671</v>
      </c>
      <c r="E808" s="44">
        <v>41325</v>
      </c>
      <c r="F808" s="146" t="str">
        <f t="shared" si="57"/>
        <v>2012-13</v>
      </c>
      <c r="G808" s="1"/>
      <c r="H808" s="161"/>
      <c r="I808" s="37"/>
      <c r="J808" s="135">
        <f t="shared" si="60"/>
        <v>0.76382508261777382</v>
      </c>
      <c r="K808" s="112"/>
      <c r="L808" s="37">
        <v>37.592869338500002</v>
      </c>
      <c r="M808" s="37" t="s">
        <v>288</v>
      </c>
      <c r="N808" s="37">
        <v>1162.6195121951216</v>
      </c>
      <c r="O808" s="130">
        <f t="shared" si="58"/>
        <v>43706.203412341813</v>
      </c>
      <c r="P808" s="132">
        <f t="shared" si="59"/>
        <v>6230.6002433834319</v>
      </c>
      <c r="Q808" s="261">
        <v>0.18663491331159471</v>
      </c>
      <c r="R808" s="92"/>
    </row>
    <row r="809" spans="1:18" x14ac:dyDescent="0.25">
      <c r="A809" s="353">
        <v>41325</v>
      </c>
      <c r="B809" s="353" t="s">
        <v>285</v>
      </c>
      <c r="C809" s="263" t="s">
        <v>672</v>
      </c>
      <c r="D809" s="157" t="s">
        <v>671</v>
      </c>
      <c r="E809" s="44">
        <v>41325</v>
      </c>
      <c r="F809" s="146" t="str">
        <f t="shared" si="57"/>
        <v>2012-13</v>
      </c>
      <c r="G809" s="1"/>
      <c r="H809" s="161"/>
      <c r="I809" s="37"/>
      <c r="J809" s="135">
        <f t="shared" si="60"/>
        <v>0.76382508261777382</v>
      </c>
      <c r="K809" s="112"/>
      <c r="L809" s="37">
        <v>28.077318052100001</v>
      </c>
      <c r="M809" s="37" t="s">
        <v>288</v>
      </c>
      <c r="N809" s="37">
        <v>812.22926829268283</v>
      </c>
      <c r="O809" s="130">
        <f t="shared" si="58"/>
        <v>22805.21949707812</v>
      </c>
      <c r="P809" s="132">
        <f t="shared" si="59"/>
        <v>3251.0306330744784</v>
      </c>
      <c r="Q809" s="261">
        <v>0.18663491331159471</v>
      </c>
      <c r="R809" s="92"/>
    </row>
    <row r="810" spans="1:18" x14ac:dyDescent="0.25">
      <c r="A810" s="353">
        <v>41325</v>
      </c>
      <c r="B810" s="353" t="s">
        <v>285</v>
      </c>
      <c r="C810" s="263" t="s">
        <v>672</v>
      </c>
      <c r="D810" s="157" t="s">
        <v>671</v>
      </c>
      <c r="E810" s="44">
        <v>41325</v>
      </c>
      <c r="F810" s="146" t="str">
        <f t="shared" si="57"/>
        <v>2012-13</v>
      </c>
      <c r="G810" s="1"/>
      <c r="H810" s="161"/>
      <c r="I810" s="37"/>
      <c r="J810" s="135">
        <f t="shared" si="60"/>
        <v>0.76382508261777382</v>
      </c>
      <c r="K810" s="112"/>
      <c r="L810" s="37">
        <v>27.480103660800001</v>
      </c>
      <c r="M810" s="37" t="s">
        <v>288</v>
      </c>
      <c r="N810" s="37">
        <v>1162.6195121951216</v>
      </c>
      <c r="O810" s="130">
        <f t="shared" si="58"/>
        <v>31948.904713190674</v>
      </c>
      <c r="P810" s="132">
        <f t="shared" si="59"/>
        <v>4554.5217369676366</v>
      </c>
      <c r="Q810" s="261">
        <v>0.18663491331159471</v>
      </c>
      <c r="R810" s="92"/>
    </row>
    <row r="811" spans="1:18" x14ac:dyDescent="0.25">
      <c r="A811" s="353">
        <v>41325</v>
      </c>
      <c r="B811" s="353" t="s">
        <v>285</v>
      </c>
      <c r="C811" s="263" t="s">
        <v>672</v>
      </c>
      <c r="D811" s="157" t="s">
        <v>671</v>
      </c>
      <c r="E811" s="44">
        <v>41325</v>
      </c>
      <c r="F811" s="146" t="str">
        <f t="shared" si="57"/>
        <v>2012-13</v>
      </c>
      <c r="G811" s="1"/>
      <c r="H811" s="161"/>
      <c r="I811" s="37"/>
      <c r="J811" s="135">
        <f t="shared" si="60"/>
        <v>0.76382508261777382</v>
      </c>
      <c r="K811" s="112"/>
      <c r="L811" s="37">
        <v>29.032390427500001</v>
      </c>
      <c r="M811" s="37" t="s">
        <v>288</v>
      </c>
      <c r="N811" s="37">
        <v>3875.3912195121943</v>
      </c>
      <c r="O811" s="130">
        <f t="shared" si="58"/>
        <v>112511.87094418339</v>
      </c>
      <c r="P811" s="132">
        <f t="shared" si="59"/>
        <v>16039.290438354579</v>
      </c>
      <c r="Q811" s="261">
        <v>0.18663491331159471</v>
      </c>
      <c r="R811" s="92"/>
    </row>
    <row r="812" spans="1:18" x14ac:dyDescent="0.25">
      <c r="A812" s="353">
        <v>41325</v>
      </c>
      <c r="B812" s="353" t="s">
        <v>285</v>
      </c>
      <c r="C812" s="263" t="s">
        <v>672</v>
      </c>
      <c r="D812" s="157" t="s">
        <v>671</v>
      </c>
      <c r="E812" s="44">
        <v>41325</v>
      </c>
      <c r="F812" s="146" t="str">
        <f t="shared" si="57"/>
        <v>2012-13</v>
      </c>
      <c r="G812" s="1"/>
      <c r="H812" s="161"/>
      <c r="I812" s="37"/>
      <c r="J812" s="135">
        <f t="shared" si="60"/>
        <v>0.76382508261777382</v>
      </c>
      <c r="K812" s="112"/>
      <c r="L812" s="37">
        <v>9.6523831254299992</v>
      </c>
      <c r="M812" s="37" t="s">
        <v>288</v>
      </c>
      <c r="N812" s="37">
        <v>812.22926829268283</v>
      </c>
      <c r="O812" s="130">
        <f t="shared" si="58"/>
        <v>7839.948083248647</v>
      </c>
      <c r="P812" s="132">
        <f t="shared" si="59"/>
        <v>1117.6349950773542</v>
      </c>
      <c r="Q812" s="261">
        <v>0.18663491331159471</v>
      </c>
      <c r="R812" s="92"/>
    </row>
    <row r="813" spans="1:18" x14ac:dyDescent="0.25">
      <c r="A813" s="353">
        <v>41551</v>
      </c>
      <c r="B813" s="353" t="s">
        <v>285</v>
      </c>
      <c r="C813" s="263" t="s">
        <v>670</v>
      </c>
      <c r="D813" s="157" t="s">
        <v>671</v>
      </c>
      <c r="E813" s="44">
        <v>41551</v>
      </c>
      <c r="F813" s="146" t="str">
        <f t="shared" si="57"/>
        <v>2013-14</v>
      </c>
      <c r="G813" s="1"/>
      <c r="H813" s="161"/>
      <c r="I813" s="37"/>
      <c r="J813" s="135">
        <f t="shared" si="60"/>
        <v>0.76382508261777382</v>
      </c>
      <c r="K813" s="112"/>
      <c r="L813" s="37">
        <v>64.647329494700003</v>
      </c>
      <c r="M813" s="37" t="s">
        <v>288</v>
      </c>
      <c r="N813" s="37">
        <v>3592.3639024390236</v>
      </c>
      <c r="O813" s="130">
        <f t="shared" si="58"/>
        <v>232236.73286584188</v>
      </c>
      <c r="P813" s="132">
        <f t="shared" si="59"/>
        <v>6417.3973635659195</v>
      </c>
      <c r="Q813" s="261">
        <v>3.6177129347569129E-2</v>
      </c>
      <c r="R813" s="92"/>
    </row>
    <row r="814" spans="1:18" x14ac:dyDescent="0.25">
      <c r="A814" s="353">
        <v>44097</v>
      </c>
      <c r="B814" s="353" t="s">
        <v>285</v>
      </c>
      <c r="C814" s="263" t="s">
        <v>673</v>
      </c>
      <c r="D814" s="157" t="s">
        <v>674</v>
      </c>
      <c r="E814" s="44">
        <v>44097</v>
      </c>
      <c r="F814" s="146" t="str">
        <f t="shared" si="57"/>
        <v>2020-21</v>
      </c>
      <c r="G814" s="1"/>
      <c r="H814" s="161"/>
      <c r="I814" s="37"/>
      <c r="J814" s="135">
        <f t="shared" si="60"/>
        <v>0.76382508261777382</v>
      </c>
      <c r="K814" s="112"/>
      <c r="L814" s="37">
        <v>117.846872373</v>
      </c>
      <c r="M814" s="37" t="s">
        <v>288</v>
      </c>
      <c r="N814" s="37">
        <v>3875.3912195121943</v>
      </c>
      <c r="O814" s="130">
        <f t="shared" si="58"/>
        <v>456702.73444129835</v>
      </c>
      <c r="P814" s="132">
        <f t="shared" si="59"/>
        <v>51570.959911914244</v>
      </c>
      <c r="Q814" s="261">
        <v>0.1478351436337077</v>
      </c>
      <c r="R814" s="92"/>
    </row>
    <row r="815" spans="1:18" x14ac:dyDescent="0.25">
      <c r="A815" s="353">
        <v>44097</v>
      </c>
      <c r="B815" s="353" t="s">
        <v>285</v>
      </c>
      <c r="C815" s="263" t="s">
        <v>673</v>
      </c>
      <c r="D815" s="157" t="s">
        <v>675</v>
      </c>
      <c r="E815" s="44">
        <v>44097</v>
      </c>
      <c r="F815" s="146" t="str">
        <f t="shared" si="57"/>
        <v>2020-21</v>
      </c>
      <c r="G815" s="1"/>
      <c r="H815" s="161"/>
      <c r="I815" s="37"/>
      <c r="J815" s="135">
        <f t="shared" si="60"/>
        <v>0.76382508261777382</v>
      </c>
      <c r="K815" s="112"/>
      <c r="L815" s="37">
        <v>119.938520346</v>
      </c>
      <c r="M815" s="37" t="s">
        <v>288</v>
      </c>
      <c r="N815" s="37">
        <v>3592.3639024390236</v>
      </c>
      <c r="O815" s="130">
        <f t="shared" si="58"/>
        <v>430862.81100291881</v>
      </c>
      <c r="P815" s="132">
        <f t="shared" si="59"/>
        <v>48653.110826999502</v>
      </c>
      <c r="Q815" s="261">
        <v>0.1478351436337077</v>
      </c>
      <c r="R815" s="92"/>
    </row>
    <row r="816" spans="1:18" x14ac:dyDescent="0.25">
      <c r="A816" s="353">
        <v>44097</v>
      </c>
      <c r="B816" s="353" t="s">
        <v>285</v>
      </c>
      <c r="C816" s="263" t="s">
        <v>673</v>
      </c>
      <c r="D816" s="157" t="s">
        <v>675</v>
      </c>
      <c r="E816" s="44">
        <v>44097</v>
      </c>
      <c r="F816" s="146" t="str">
        <f t="shared" si="57"/>
        <v>2020-21</v>
      </c>
      <c r="G816" s="1"/>
      <c r="H816" s="161"/>
      <c r="I816" s="37"/>
      <c r="J816" s="135">
        <f t="shared" si="60"/>
        <v>0.76382508261777382</v>
      </c>
      <c r="K816" s="112"/>
      <c r="L816" s="37">
        <v>32.682302174100002</v>
      </c>
      <c r="M816" s="37" t="s">
        <v>288</v>
      </c>
      <c r="N816" s="37">
        <v>3592.3639024390236</v>
      </c>
      <c r="O816" s="130">
        <f t="shared" si="58"/>
        <v>117406.72257884126</v>
      </c>
      <c r="P816" s="132">
        <f t="shared" si="59"/>
        <v>13257.589514785141</v>
      </c>
      <c r="Q816" s="261">
        <v>0.1478351436337077</v>
      </c>
      <c r="R816" s="92"/>
    </row>
    <row r="817" spans="1:18" x14ac:dyDescent="0.25">
      <c r="A817" s="353">
        <v>40848</v>
      </c>
      <c r="B817" s="353" t="s">
        <v>285</v>
      </c>
      <c r="C817" s="263" t="s">
        <v>676</v>
      </c>
      <c r="D817" s="157" t="s">
        <v>671</v>
      </c>
      <c r="E817" s="44">
        <v>40848</v>
      </c>
      <c r="F817" s="146" t="str">
        <f t="shared" si="57"/>
        <v>2011-12</v>
      </c>
      <c r="G817" s="1"/>
      <c r="H817" s="161"/>
      <c r="I817" s="37"/>
      <c r="J817" s="135">
        <f t="shared" si="60"/>
        <v>0.76382508261777382</v>
      </c>
      <c r="K817" s="112"/>
      <c r="L817" s="37">
        <v>75.202387308300004</v>
      </c>
      <c r="M817" s="37" t="s">
        <v>288</v>
      </c>
      <c r="N817" s="37">
        <v>812.22926829268283</v>
      </c>
      <c r="O817" s="130">
        <f t="shared" si="58"/>
        <v>61081.58001728345</v>
      </c>
      <c r="P817" s="132">
        <f t="shared" si="59"/>
        <v>2295.3258281240087</v>
      </c>
      <c r="Q817" s="261">
        <v>4.9197174988885074E-2</v>
      </c>
      <c r="R817" s="92"/>
    </row>
    <row r="818" spans="1:18" x14ac:dyDescent="0.25">
      <c r="A818" s="353">
        <v>41325</v>
      </c>
      <c r="B818" s="353" t="s">
        <v>285</v>
      </c>
      <c r="C818" s="263" t="s">
        <v>672</v>
      </c>
      <c r="D818" s="157" t="s">
        <v>671</v>
      </c>
      <c r="E818" s="44">
        <v>41325</v>
      </c>
      <c r="F818" s="146" t="str">
        <f t="shared" si="57"/>
        <v>2012-13</v>
      </c>
      <c r="G818" s="1"/>
      <c r="H818" s="161"/>
      <c r="I818" s="37"/>
      <c r="J818" s="135">
        <f t="shared" si="60"/>
        <v>0.76382508261777382</v>
      </c>
      <c r="K818" s="112"/>
      <c r="L818" s="37">
        <v>66.085669037900004</v>
      </c>
      <c r="M818" s="37" t="s">
        <v>288</v>
      </c>
      <c r="N818" s="37">
        <v>3875.3912195121943</v>
      </c>
      <c r="O818" s="130">
        <f t="shared" si="58"/>
        <v>256107.82152506657</v>
      </c>
      <c r="P818" s="132">
        <f t="shared" si="59"/>
        <v>36509.816239858592</v>
      </c>
      <c r="Q818" s="261">
        <v>0.18663491331159471</v>
      </c>
      <c r="R818" s="92"/>
    </row>
    <row r="819" spans="1:18" x14ac:dyDescent="0.25">
      <c r="A819" s="353">
        <v>41325</v>
      </c>
      <c r="B819" s="353" t="s">
        <v>285</v>
      </c>
      <c r="C819" s="263" t="s">
        <v>672</v>
      </c>
      <c r="D819" s="157" t="s">
        <v>671</v>
      </c>
      <c r="E819" s="44">
        <v>41325</v>
      </c>
      <c r="F819" s="146" t="str">
        <f t="shared" si="57"/>
        <v>2012-13</v>
      </c>
      <c r="G819" s="1"/>
      <c r="H819" s="161"/>
      <c r="I819" s="37"/>
      <c r="J819" s="135">
        <f t="shared" si="60"/>
        <v>0.76382508261777382</v>
      </c>
      <c r="K819" s="112"/>
      <c r="L819" s="37">
        <v>90.523901567199999</v>
      </c>
      <c r="M819" s="37" t="s">
        <v>288</v>
      </c>
      <c r="N819" s="37">
        <v>1162.6195121951216</v>
      </c>
      <c r="O819" s="130">
        <f t="shared" si="58"/>
        <v>105244.85428205726</v>
      </c>
      <c r="P819" s="132">
        <f t="shared" si="59"/>
        <v>15003.330500207014</v>
      </c>
      <c r="Q819" s="261">
        <v>0.18663491331159471</v>
      </c>
      <c r="R819" s="92"/>
    </row>
    <row r="820" spans="1:18" x14ac:dyDescent="0.25">
      <c r="A820" s="353">
        <v>41325</v>
      </c>
      <c r="B820" s="353" t="s">
        <v>285</v>
      </c>
      <c r="C820" s="263" t="s">
        <v>672</v>
      </c>
      <c r="D820" s="157" t="s">
        <v>671</v>
      </c>
      <c r="E820" s="44">
        <v>41325</v>
      </c>
      <c r="F820" s="146" t="str">
        <f t="shared" si="57"/>
        <v>2012-13</v>
      </c>
      <c r="G820" s="1"/>
      <c r="H820" s="161"/>
      <c r="I820" s="37"/>
      <c r="J820" s="135">
        <f t="shared" si="60"/>
        <v>0.76382508261777382</v>
      </c>
      <c r="K820" s="112"/>
      <c r="L820" s="37">
        <v>22.6810018806</v>
      </c>
      <c r="M820" s="37" t="s">
        <v>288</v>
      </c>
      <c r="N820" s="37">
        <v>3875.3912195121943</v>
      </c>
      <c r="O820" s="130">
        <f t="shared" si="58"/>
        <v>87897.755537816804</v>
      </c>
      <c r="P820" s="132">
        <f t="shared" si="59"/>
        <v>12530.390065684154</v>
      </c>
      <c r="Q820" s="261">
        <v>0.18663491331159471</v>
      </c>
      <c r="R820" s="92"/>
    </row>
    <row r="821" spans="1:18" x14ac:dyDescent="0.25">
      <c r="A821" s="353">
        <v>41325</v>
      </c>
      <c r="B821" s="353" t="s">
        <v>285</v>
      </c>
      <c r="C821" s="263" t="s">
        <v>672</v>
      </c>
      <c r="D821" s="157" t="s">
        <v>671</v>
      </c>
      <c r="E821" s="44">
        <v>41325</v>
      </c>
      <c r="F821" s="146" t="str">
        <f t="shared" si="57"/>
        <v>2012-13</v>
      </c>
      <c r="G821" s="1"/>
      <c r="H821" s="161"/>
      <c r="I821" s="37"/>
      <c r="J821" s="135">
        <f t="shared" si="60"/>
        <v>0.76382508261777382</v>
      </c>
      <c r="K821" s="112"/>
      <c r="L821" s="37">
        <v>10.3605193889</v>
      </c>
      <c r="M821" s="37" t="s">
        <v>288</v>
      </c>
      <c r="N821" s="37">
        <v>3875.3912195121943</v>
      </c>
      <c r="O821" s="130">
        <f t="shared" si="58"/>
        <v>40151.065869328908</v>
      </c>
      <c r="P821" s="132">
        <f t="shared" si="59"/>
        <v>5723.7925339198619</v>
      </c>
      <c r="Q821" s="261">
        <v>0.18663491331159471</v>
      </c>
      <c r="R821" s="92"/>
    </row>
    <row r="822" spans="1:18" x14ac:dyDescent="0.25">
      <c r="A822" s="353">
        <v>41325</v>
      </c>
      <c r="B822" s="353" t="s">
        <v>285</v>
      </c>
      <c r="C822" s="263" t="s">
        <v>672</v>
      </c>
      <c r="D822" s="157" t="s">
        <v>671</v>
      </c>
      <c r="E822" s="44">
        <v>41325</v>
      </c>
      <c r="F822" s="146" t="str">
        <f t="shared" si="57"/>
        <v>2012-13</v>
      </c>
      <c r="G822" s="1"/>
      <c r="H822" s="161"/>
      <c r="I822" s="37"/>
      <c r="J822" s="135">
        <f t="shared" si="60"/>
        <v>0.76382508261777382</v>
      </c>
      <c r="K822" s="112"/>
      <c r="L822" s="37">
        <v>25.009678226599998</v>
      </c>
      <c r="M822" s="37" t="s">
        <v>288</v>
      </c>
      <c r="N822" s="37">
        <v>3336.4019512195118</v>
      </c>
      <c r="O822" s="130">
        <f t="shared" si="58"/>
        <v>83442.339234600382</v>
      </c>
      <c r="P822" s="132">
        <f t="shared" si="59"/>
        <v>11895.241831890051</v>
      </c>
      <c r="Q822" s="261">
        <v>0.18663491331159471</v>
      </c>
      <c r="R822" s="92"/>
    </row>
    <row r="823" spans="1:18" x14ac:dyDescent="0.25">
      <c r="A823" s="353">
        <v>41325</v>
      </c>
      <c r="B823" s="353" t="s">
        <v>285</v>
      </c>
      <c r="C823" s="263" t="s">
        <v>672</v>
      </c>
      <c r="D823" s="157" t="s">
        <v>671</v>
      </c>
      <c r="E823" s="44">
        <v>41325</v>
      </c>
      <c r="F823" s="146" t="str">
        <f t="shared" si="57"/>
        <v>2012-13</v>
      </c>
      <c r="G823" s="1"/>
      <c r="H823" s="161"/>
      <c r="I823" s="37"/>
      <c r="J823" s="135">
        <f t="shared" si="60"/>
        <v>0.76382508261777382</v>
      </c>
      <c r="K823" s="112"/>
      <c r="L823" s="37">
        <v>28.702040392099999</v>
      </c>
      <c r="M823" s="37" t="s">
        <v>288</v>
      </c>
      <c r="N823" s="37">
        <v>3875.3912195121943</v>
      </c>
      <c r="O823" s="130">
        <f t="shared" si="58"/>
        <v>111231.63531762868</v>
      </c>
      <c r="P823" s="132">
        <f t="shared" si="59"/>
        <v>15856.784620332701</v>
      </c>
      <c r="Q823" s="261">
        <v>0.18663491331159471</v>
      </c>
      <c r="R823" s="92"/>
    </row>
    <row r="824" spans="1:18" x14ac:dyDescent="0.25">
      <c r="A824" s="353">
        <v>41325</v>
      </c>
      <c r="B824" s="353" t="s">
        <v>285</v>
      </c>
      <c r="C824" s="263" t="s">
        <v>672</v>
      </c>
      <c r="D824" s="157" t="s">
        <v>671</v>
      </c>
      <c r="E824" s="44">
        <v>41325</v>
      </c>
      <c r="F824" s="146" t="str">
        <f t="shared" si="57"/>
        <v>2012-13</v>
      </c>
      <c r="G824" s="1"/>
      <c r="H824" s="161"/>
      <c r="I824" s="37"/>
      <c r="J824" s="135">
        <f t="shared" si="60"/>
        <v>0.76382508261777382</v>
      </c>
      <c r="K824" s="112"/>
      <c r="L824" s="37">
        <v>36.515505561499999</v>
      </c>
      <c r="M824" s="37" t="s">
        <v>288</v>
      </c>
      <c r="N824" s="37">
        <v>812.22926829268283</v>
      </c>
      <c r="O824" s="130">
        <f t="shared" si="58"/>
        <v>29658.962363554536</v>
      </c>
      <c r="P824" s="132">
        <f t="shared" si="59"/>
        <v>4228.0757350953254</v>
      </c>
      <c r="Q824" s="261">
        <v>0.18663491331159471</v>
      </c>
      <c r="R824" s="92"/>
    </row>
    <row r="825" spans="1:18" x14ac:dyDescent="0.25">
      <c r="A825" s="353">
        <v>41325</v>
      </c>
      <c r="B825" s="353" t="s">
        <v>285</v>
      </c>
      <c r="C825" s="263" t="s">
        <v>672</v>
      </c>
      <c r="D825" s="157" t="s">
        <v>671</v>
      </c>
      <c r="E825" s="44">
        <v>41325</v>
      </c>
      <c r="F825" s="146" t="str">
        <f t="shared" si="57"/>
        <v>2012-13</v>
      </c>
      <c r="G825" s="1"/>
      <c r="H825" s="161"/>
      <c r="I825" s="37"/>
      <c r="J825" s="135">
        <f t="shared" si="60"/>
        <v>0.76382508261777382</v>
      </c>
      <c r="K825" s="112"/>
      <c r="L825" s="37">
        <v>33.066456856099997</v>
      </c>
      <c r="M825" s="37" t="s">
        <v>288</v>
      </c>
      <c r="N825" s="37">
        <v>1162.6195121951216</v>
      </c>
      <c r="O825" s="130">
        <f t="shared" si="58"/>
        <v>38443.707940060012</v>
      </c>
      <c r="P825" s="132">
        <f t="shared" si="59"/>
        <v>5480.397686069924</v>
      </c>
      <c r="Q825" s="261">
        <v>0.18663491331159471</v>
      </c>
      <c r="R825" s="92"/>
    </row>
    <row r="826" spans="1:18" x14ac:dyDescent="0.25">
      <c r="A826" s="353">
        <v>41325</v>
      </c>
      <c r="B826" s="353" t="s">
        <v>285</v>
      </c>
      <c r="C826" s="263" t="s">
        <v>672</v>
      </c>
      <c r="D826" s="157" t="s">
        <v>671</v>
      </c>
      <c r="E826" s="44">
        <v>41325</v>
      </c>
      <c r="F826" s="146" t="str">
        <f t="shared" si="57"/>
        <v>2012-13</v>
      </c>
      <c r="G826" s="1"/>
      <c r="H826" s="161"/>
      <c r="I826" s="37"/>
      <c r="J826" s="135">
        <f t="shared" si="60"/>
        <v>0.76382508261777382</v>
      </c>
      <c r="K826" s="112"/>
      <c r="L826" s="37">
        <v>13.4413651836</v>
      </c>
      <c r="M826" s="37" t="s">
        <v>288</v>
      </c>
      <c r="N826" s="37">
        <v>812.22926829268283</v>
      </c>
      <c r="O826" s="130">
        <f t="shared" si="58"/>
        <v>10917.470207930171</v>
      </c>
      <c r="P826" s="132">
        <f t="shared" si="59"/>
        <v>1556.3555565078625</v>
      </c>
      <c r="Q826" s="261">
        <v>0.18663491331159471</v>
      </c>
      <c r="R826" s="92"/>
    </row>
    <row r="827" spans="1:18" x14ac:dyDescent="0.25">
      <c r="A827" s="353">
        <v>41325</v>
      </c>
      <c r="B827" s="353" t="s">
        <v>285</v>
      </c>
      <c r="C827" s="263" t="s">
        <v>672</v>
      </c>
      <c r="D827" s="157" t="s">
        <v>671</v>
      </c>
      <c r="E827" s="44">
        <v>41325</v>
      </c>
      <c r="F827" s="146" t="str">
        <f t="shared" ref="F827:F890" si="61">IF(E827="","-",IF(OR(E827&lt;$E$15,E827&gt;$E$16),"ERROR - date outside of range",IF(MONTH(E827)&gt;=7,YEAR(E827)&amp;"-"&amp;IF(YEAR(E827)=1999,"00",IF(AND(YEAR(E827)&gt;=2000,YEAR(E827)&lt;2009),"0","")&amp;RIGHT(YEAR(E827),2)+1),RIGHT(YEAR(E827),4)-1&amp;"-"&amp;RIGHT(YEAR(E827),2))))</f>
        <v>2012-13</v>
      </c>
      <c r="G827" s="1"/>
      <c r="H827" s="161"/>
      <c r="I827" s="37"/>
      <c r="J827" s="135">
        <f t="shared" si="60"/>
        <v>0.76382508261777382</v>
      </c>
      <c r="K827" s="112"/>
      <c r="L827" s="37">
        <v>14.8558019043</v>
      </c>
      <c r="M827" s="37" t="s">
        <v>288</v>
      </c>
      <c r="N827" s="37">
        <v>1162.6195121951216</v>
      </c>
      <c r="O827" s="130">
        <f t="shared" si="58"/>
        <v>17271.645163244626</v>
      </c>
      <c r="P827" s="132">
        <f t="shared" si="59"/>
        <v>2462.184041530279</v>
      </c>
      <c r="Q827" s="261">
        <v>0.18663491331159471</v>
      </c>
      <c r="R827" s="92"/>
    </row>
    <row r="828" spans="1:18" x14ac:dyDescent="0.25">
      <c r="A828" s="353">
        <v>41325</v>
      </c>
      <c r="B828" s="353" t="s">
        <v>285</v>
      </c>
      <c r="C828" s="263" t="s">
        <v>672</v>
      </c>
      <c r="D828" s="157" t="s">
        <v>671</v>
      </c>
      <c r="E828" s="44">
        <v>41325</v>
      </c>
      <c r="F828" s="146" t="str">
        <f t="shared" si="61"/>
        <v>2012-13</v>
      </c>
      <c r="G828" s="1"/>
      <c r="H828" s="161"/>
      <c r="I828" s="37"/>
      <c r="J828" s="135">
        <f t="shared" si="60"/>
        <v>0.76382508261777382</v>
      </c>
      <c r="K828" s="112"/>
      <c r="L828" s="37">
        <v>14.941933911</v>
      </c>
      <c r="M828" s="37" t="s">
        <v>288</v>
      </c>
      <c r="N828" s="37">
        <v>812.22926829268283</v>
      </c>
      <c r="O828" s="130">
        <f t="shared" si="58"/>
        <v>12136.276047409154</v>
      </c>
      <c r="P828" s="132">
        <f t="shared" si="59"/>
        <v>1730.1041635065326</v>
      </c>
      <c r="Q828" s="261">
        <v>0.18663491331159471</v>
      </c>
      <c r="R828" s="92"/>
    </row>
    <row r="829" spans="1:18" x14ac:dyDescent="0.25">
      <c r="A829" s="353">
        <v>41325</v>
      </c>
      <c r="B829" s="353" t="s">
        <v>285</v>
      </c>
      <c r="C829" s="263" t="s">
        <v>672</v>
      </c>
      <c r="D829" s="157" t="s">
        <v>671</v>
      </c>
      <c r="E829" s="44">
        <v>41325</v>
      </c>
      <c r="F829" s="146" t="str">
        <f t="shared" si="61"/>
        <v>2012-13</v>
      </c>
      <c r="G829" s="1"/>
      <c r="H829" s="161"/>
      <c r="I829" s="37"/>
      <c r="J829" s="135">
        <f t="shared" si="60"/>
        <v>0.76382508261777382</v>
      </c>
      <c r="K829" s="112"/>
      <c r="L829" s="37">
        <v>18.803505683899999</v>
      </c>
      <c r="M829" s="37" t="s">
        <v>288</v>
      </c>
      <c r="N829" s="37">
        <v>1162.6195121951216</v>
      </c>
      <c r="O829" s="130">
        <f t="shared" si="58"/>
        <v>21861.322605774014</v>
      </c>
      <c r="P829" s="132">
        <f t="shared" si="59"/>
        <v>3116.4720637747355</v>
      </c>
      <c r="Q829" s="261">
        <v>0.18663491331159471</v>
      </c>
      <c r="R829" s="92"/>
    </row>
    <row r="830" spans="1:18" x14ac:dyDescent="0.25">
      <c r="A830" s="353">
        <v>41325</v>
      </c>
      <c r="B830" s="353" t="s">
        <v>285</v>
      </c>
      <c r="C830" s="263" t="s">
        <v>672</v>
      </c>
      <c r="D830" s="157" t="s">
        <v>671</v>
      </c>
      <c r="E830" s="44">
        <v>41325</v>
      </c>
      <c r="F830" s="146" t="str">
        <f t="shared" si="61"/>
        <v>2012-13</v>
      </c>
      <c r="G830" s="1"/>
      <c r="H830" s="161"/>
      <c r="I830" s="37"/>
      <c r="J830" s="135">
        <f t="shared" si="60"/>
        <v>0.76382508261777382</v>
      </c>
      <c r="K830" s="112"/>
      <c r="L830" s="37">
        <v>30.134453171899999</v>
      </c>
      <c r="M830" s="37" t="s">
        <v>288</v>
      </c>
      <c r="N830" s="37">
        <v>1162.6195121951216</v>
      </c>
      <c r="O830" s="130">
        <f t="shared" ref="O830:O893" si="62">IF(N830="","-",L830*N830)</f>
        <v>35034.903246981114</v>
      </c>
      <c r="P830" s="132">
        <f t="shared" ref="P830:P893" si="63">IF(O830="-","-",IF(OR(E830&lt;$E$15,E830&gt;$E$16),0,O830*J830))*Q830</f>
        <v>4994.4506650036528</v>
      </c>
      <c r="Q830" s="261">
        <v>0.18663491331159471</v>
      </c>
      <c r="R830" s="92"/>
    </row>
    <row r="831" spans="1:18" x14ac:dyDescent="0.25">
      <c r="A831" s="353">
        <v>41325</v>
      </c>
      <c r="B831" s="353" t="s">
        <v>285</v>
      </c>
      <c r="C831" s="263" t="s">
        <v>672</v>
      </c>
      <c r="D831" s="157" t="s">
        <v>671</v>
      </c>
      <c r="E831" s="44">
        <v>41325</v>
      </c>
      <c r="F831" s="146" t="str">
        <f t="shared" si="61"/>
        <v>2012-13</v>
      </c>
      <c r="G831" s="1"/>
      <c r="H831" s="161"/>
      <c r="I831" s="37"/>
      <c r="J831" s="135">
        <f t="shared" si="60"/>
        <v>0.76382508261777382</v>
      </c>
      <c r="K831" s="112"/>
      <c r="L831" s="37">
        <v>39.368043617799998</v>
      </c>
      <c r="M831" s="37" t="s">
        <v>288</v>
      </c>
      <c r="N831" s="37">
        <v>812.22926829268283</v>
      </c>
      <c r="O831" s="130">
        <f t="shared" si="62"/>
        <v>31975.877261800113</v>
      </c>
      <c r="P831" s="132">
        <f t="shared" si="63"/>
        <v>4558.3668471536012</v>
      </c>
      <c r="Q831" s="261">
        <v>0.18663491331159471</v>
      </c>
      <c r="R831" s="92"/>
    </row>
    <row r="832" spans="1:18" x14ac:dyDescent="0.25">
      <c r="A832" s="353">
        <v>41325</v>
      </c>
      <c r="B832" s="353" t="s">
        <v>285</v>
      </c>
      <c r="C832" s="263" t="s">
        <v>672</v>
      </c>
      <c r="D832" s="157" t="s">
        <v>671</v>
      </c>
      <c r="E832" s="44">
        <v>41325</v>
      </c>
      <c r="F832" s="146" t="str">
        <f t="shared" si="61"/>
        <v>2012-13</v>
      </c>
      <c r="G832" s="1"/>
      <c r="H832" s="161"/>
      <c r="I832" s="37"/>
      <c r="J832" s="135">
        <f t="shared" si="60"/>
        <v>0.76382508261777382</v>
      </c>
      <c r="K832" s="112"/>
      <c r="L832" s="37">
        <v>30.745459900099998</v>
      </c>
      <c r="M832" s="37" t="s">
        <v>288</v>
      </c>
      <c r="N832" s="37">
        <v>1162.6195121951216</v>
      </c>
      <c r="O832" s="130">
        <f t="shared" si="62"/>
        <v>35745.271591268931</v>
      </c>
      <c r="P832" s="132">
        <f t="shared" si="63"/>
        <v>5095.7182387861367</v>
      </c>
      <c r="Q832" s="261">
        <v>0.18663491331159471</v>
      </c>
      <c r="R832" s="92"/>
    </row>
    <row r="833" spans="1:18" x14ac:dyDescent="0.25">
      <c r="A833" s="353">
        <v>41325</v>
      </c>
      <c r="B833" s="353" t="s">
        <v>285</v>
      </c>
      <c r="C833" s="263" t="s">
        <v>672</v>
      </c>
      <c r="D833" s="157" t="s">
        <v>671</v>
      </c>
      <c r="E833" s="44">
        <v>41325</v>
      </c>
      <c r="F833" s="146" t="str">
        <f t="shared" si="61"/>
        <v>2012-13</v>
      </c>
      <c r="G833" s="1"/>
      <c r="H833" s="161"/>
      <c r="I833" s="37"/>
      <c r="J833" s="135">
        <f t="shared" si="60"/>
        <v>0.76382508261777382</v>
      </c>
      <c r="K833" s="112"/>
      <c r="L833" s="37">
        <v>40.255153025299997</v>
      </c>
      <c r="M833" s="37" t="s">
        <v>288</v>
      </c>
      <c r="N833" s="37">
        <v>812.22926829268283</v>
      </c>
      <c r="O833" s="130">
        <f t="shared" si="62"/>
        <v>32696.413486749396</v>
      </c>
      <c r="P833" s="132">
        <f t="shared" si="63"/>
        <v>4661.0839176843228</v>
      </c>
      <c r="Q833" s="261">
        <v>0.18663491331159471</v>
      </c>
      <c r="R833" s="92"/>
    </row>
    <row r="834" spans="1:18" x14ac:dyDescent="0.25">
      <c r="A834" s="353">
        <v>41325</v>
      </c>
      <c r="B834" s="353" t="s">
        <v>285</v>
      </c>
      <c r="C834" s="263" t="s">
        <v>672</v>
      </c>
      <c r="D834" s="157" t="s">
        <v>671</v>
      </c>
      <c r="E834" s="44">
        <v>41325</v>
      </c>
      <c r="F834" s="146" t="str">
        <f t="shared" si="61"/>
        <v>2012-13</v>
      </c>
      <c r="G834" s="1"/>
      <c r="H834" s="161"/>
      <c r="I834" s="37"/>
      <c r="J834" s="135">
        <f t="shared" si="60"/>
        <v>0.76382508261777382</v>
      </c>
      <c r="K834" s="112"/>
      <c r="L834" s="37">
        <v>19.275085855899999</v>
      </c>
      <c r="M834" s="37" t="s">
        <v>288</v>
      </c>
      <c r="N834" s="37">
        <v>812.22926829268283</v>
      </c>
      <c r="O834" s="130">
        <f t="shared" si="62"/>
        <v>15655.788881016297</v>
      </c>
      <c r="P834" s="132">
        <f t="shared" si="63"/>
        <v>2231.8333416458427</v>
      </c>
      <c r="Q834" s="261">
        <v>0.18663491331159471</v>
      </c>
      <c r="R834" s="92"/>
    </row>
    <row r="835" spans="1:18" x14ac:dyDescent="0.25">
      <c r="A835" s="353">
        <v>41325</v>
      </c>
      <c r="B835" s="353" t="s">
        <v>285</v>
      </c>
      <c r="C835" s="263" t="s">
        <v>672</v>
      </c>
      <c r="D835" s="157" t="s">
        <v>671</v>
      </c>
      <c r="E835" s="44">
        <v>41325</v>
      </c>
      <c r="F835" s="146" t="str">
        <f t="shared" si="61"/>
        <v>2012-13</v>
      </c>
      <c r="G835" s="1"/>
      <c r="H835" s="161"/>
      <c r="I835" s="37"/>
      <c r="J835" s="135">
        <f t="shared" si="60"/>
        <v>0.76382508261777382</v>
      </c>
      <c r="K835" s="112"/>
      <c r="L835" s="37">
        <v>24.427357215000001</v>
      </c>
      <c r="M835" s="37" t="s">
        <v>288</v>
      </c>
      <c r="N835" s="37">
        <v>3875.3912195121943</v>
      </c>
      <c r="O835" s="130">
        <f t="shared" si="62"/>
        <v>94665.565666898852</v>
      </c>
      <c r="P835" s="132">
        <f t="shared" si="63"/>
        <v>13495.18490360696</v>
      </c>
      <c r="Q835" s="261">
        <v>0.18663491331159471</v>
      </c>
      <c r="R835" s="92"/>
    </row>
    <row r="836" spans="1:18" x14ac:dyDescent="0.25">
      <c r="A836" s="353">
        <v>41325</v>
      </c>
      <c r="B836" s="353" t="s">
        <v>285</v>
      </c>
      <c r="C836" s="263" t="s">
        <v>672</v>
      </c>
      <c r="D836" s="157" t="s">
        <v>671</v>
      </c>
      <c r="E836" s="44">
        <v>41325</v>
      </c>
      <c r="F836" s="146" t="str">
        <f t="shared" si="61"/>
        <v>2012-13</v>
      </c>
      <c r="G836" s="1"/>
      <c r="H836" s="161"/>
      <c r="I836" s="37"/>
      <c r="J836" s="135">
        <f t="shared" si="60"/>
        <v>0.76382508261777382</v>
      </c>
      <c r="K836" s="112"/>
      <c r="L836" s="37">
        <v>24.9411312081</v>
      </c>
      <c r="M836" s="37" t="s">
        <v>288</v>
      </c>
      <c r="N836" s="37">
        <v>3336.4019512195118</v>
      </c>
      <c r="O836" s="130">
        <f t="shared" si="62"/>
        <v>83213.638828326701</v>
      </c>
      <c r="P836" s="132">
        <f t="shared" si="63"/>
        <v>11862.639118871322</v>
      </c>
      <c r="Q836" s="261">
        <v>0.18663491331159471</v>
      </c>
      <c r="R836" s="92"/>
    </row>
    <row r="837" spans="1:18" x14ac:dyDescent="0.25">
      <c r="A837" s="353">
        <v>41325</v>
      </c>
      <c r="B837" s="353" t="s">
        <v>285</v>
      </c>
      <c r="C837" s="263" t="s">
        <v>672</v>
      </c>
      <c r="D837" s="157" t="s">
        <v>671</v>
      </c>
      <c r="E837" s="44">
        <v>41325</v>
      </c>
      <c r="F837" s="146" t="str">
        <f t="shared" si="61"/>
        <v>2012-13</v>
      </c>
      <c r="G837" s="1"/>
      <c r="H837" s="161"/>
      <c r="I837" s="37"/>
      <c r="J837" s="135">
        <f t="shared" si="60"/>
        <v>0.76382508261777382</v>
      </c>
      <c r="K837" s="112"/>
      <c r="L837" s="37">
        <v>6.2278808594899999</v>
      </c>
      <c r="M837" s="37" t="s">
        <v>288</v>
      </c>
      <c r="N837" s="37">
        <v>3875.3912195121943</v>
      </c>
      <c r="O837" s="130">
        <f t="shared" si="62"/>
        <v>24135.474799035605</v>
      </c>
      <c r="P837" s="132">
        <f t="shared" si="63"/>
        <v>3440.6670773554733</v>
      </c>
      <c r="Q837" s="261">
        <v>0.18663491331159471</v>
      </c>
      <c r="R837" s="92"/>
    </row>
    <row r="838" spans="1:18" x14ac:dyDescent="0.25">
      <c r="A838" s="353">
        <v>41325</v>
      </c>
      <c r="B838" s="353" t="s">
        <v>285</v>
      </c>
      <c r="C838" s="263" t="s">
        <v>672</v>
      </c>
      <c r="D838" s="157" t="s">
        <v>671</v>
      </c>
      <c r="E838" s="44">
        <v>41325</v>
      </c>
      <c r="F838" s="146" t="str">
        <f t="shared" si="61"/>
        <v>2012-13</v>
      </c>
      <c r="G838" s="1"/>
      <c r="H838" s="161"/>
      <c r="I838" s="37"/>
      <c r="J838" s="135">
        <f t="shared" si="60"/>
        <v>0.76382508261777382</v>
      </c>
      <c r="K838" s="112"/>
      <c r="L838" s="37">
        <v>4.2010820034799998</v>
      </c>
      <c r="M838" s="37" t="s">
        <v>288</v>
      </c>
      <c r="N838" s="37">
        <v>3592.3639024390236</v>
      </c>
      <c r="O838" s="130">
        <f t="shared" si="62"/>
        <v>15091.815340487763</v>
      </c>
      <c r="P838" s="132">
        <f t="shared" si="63"/>
        <v>2151.4352881766949</v>
      </c>
      <c r="Q838" s="261">
        <v>0.18663491331159471</v>
      </c>
      <c r="R838" s="92"/>
    </row>
    <row r="839" spans="1:18" x14ac:dyDescent="0.25">
      <c r="A839" s="353">
        <v>41325</v>
      </c>
      <c r="B839" s="353" t="s">
        <v>285</v>
      </c>
      <c r="C839" s="263" t="s">
        <v>672</v>
      </c>
      <c r="D839" s="157" t="s">
        <v>671</v>
      </c>
      <c r="E839" s="44">
        <v>41325</v>
      </c>
      <c r="F839" s="146" t="str">
        <f t="shared" si="61"/>
        <v>2012-13</v>
      </c>
      <c r="G839" s="1"/>
      <c r="H839" s="161"/>
      <c r="I839" s="37"/>
      <c r="J839" s="135">
        <f t="shared" si="60"/>
        <v>0.76382508261777382</v>
      </c>
      <c r="K839" s="112"/>
      <c r="L839" s="37">
        <v>37.173029596500001</v>
      </c>
      <c r="M839" s="37" t="s">
        <v>288</v>
      </c>
      <c r="N839" s="37">
        <v>3875.3912195121943</v>
      </c>
      <c r="O839" s="130">
        <f t="shared" si="62"/>
        <v>144060.03250094302</v>
      </c>
      <c r="P839" s="132">
        <f t="shared" si="63"/>
        <v>20536.683662364067</v>
      </c>
      <c r="Q839" s="261">
        <v>0.18663491331159471</v>
      </c>
      <c r="R839" s="92"/>
    </row>
    <row r="840" spans="1:18" x14ac:dyDescent="0.25">
      <c r="A840" s="353">
        <v>41325</v>
      </c>
      <c r="B840" s="353" t="s">
        <v>285</v>
      </c>
      <c r="C840" s="263" t="s">
        <v>672</v>
      </c>
      <c r="D840" s="157" t="s">
        <v>671</v>
      </c>
      <c r="E840" s="44">
        <v>41325</v>
      </c>
      <c r="F840" s="146" t="str">
        <f t="shared" si="61"/>
        <v>2012-13</v>
      </c>
      <c r="G840" s="1"/>
      <c r="H840" s="161"/>
      <c r="I840" s="37"/>
      <c r="J840" s="135">
        <f t="shared" si="60"/>
        <v>0.76382508261777382</v>
      </c>
      <c r="K840" s="112"/>
      <c r="L840" s="37">
        <v>27.2630674579</v>
      </c>
      <c r="M840" s="37" t="s">
        <v>288</v>
      </c>
      <c r="N840" s="37">
        <v>3875.3912195121943</v>
      </c>
      <c r="O840" s="130">
        <f t="shared" si="62"/>
        <v>105655.05224331431</v>
      </c>
      <c r="P840" s="132">
        <f t="shared" si="63"/>
        <v>15061.806856369349</v>
      </c>
      <c r="Q840" s="261">
        <v>0.18663491331159471</v>
      </c>
      <c r="R840" s="92"/>
    </row>
    <row r="841" spans="1:18" x14ac:dyDescent="0.25">
      <c r="A841" s="353">
        <v>40848</v>
      </c>
      <c r="B841" s="353" t="s">
        <v>285</v>
      </c>
      <c r="C841" s="263" t="s">
        <v>676</v>
      </c>
      <c r="D841" s="157" t="s">
        <v>671</v>
      </c>
      <c r="E841" s="44">
        <v>40848</v>
      </c>
      <c r="F841" s="146" t="str">
        <f t="shared" si="61"/>
        <v>2011-12</v>
      </c>
      <c r="G841" s="1"/>
      <c r="H841" s="161"/>
      <c r="I841" s="37"/>
      <c r="J841" s="135">
        <f t="shared" si="60"/>
        <v>0.76382508261777382</v>
      </c>
      <c r="K841" s="112"/>
      <c r="L841" s="37">
        <v>31.7048841553</v>
      </c>
      <c r="M841" s="37" t="s">
        <v>288</v>
      </c>
      <c r="N841" s="37">
        <v>950.87219512195099</v>
      </c>
      <c r="O841" s="130">
        <f t="shared" si="62"/>
        <v>30147.292792837274</v>
      </c>
      <c r="P841" s="132">
        <f t="shared" si="63"/>
        <v>1132.876061422055</v>
      </c>
      <c r="Q841" s="261">
        <v>4.9197174988885074E-2</v>
      </c>
      <c r="R841" s="92"/>
    </row>
    <row r="842" spans="1:18" x14ac:dyDescent="0.25">
      <c r="A842" s="353">
        <v>40848</v>
      </c>
      <c r="B842" s="353" t="s">
        <v>285</v>
      </c>
      <c r="C842" s="263" t="s">
        <v>676</v>
      </c>
      <c r="D842" s="157" t="s">
        <v>671</v>
      </c>
      <c r="E842" s="44">
        <v>40848</v>
      </c>
      <c r="F842" s="146" t="str">
        <f t="shared" si="61"/>
        <v>2011-12</v>
      </c>
      <c r="G842" s="1"/>
      <c r="H842" s="161"/>
      <c r="I842" s="37"/>
      <c r="J842" s="135">
        <f t="shared" si="60"/>
        <v>0.76382508261777382</v>
      </c>
      <c r="K842" s="112"/>
      <c r="L842" s="37">
        <v>49.905663428700002</v>
      </c>
      <c r="M842" s="37" t="s">
        <v>288</v>
      </c>
      <c r="N842" s="37">
        <v>812.22926829268283</v>
      </c>
      <c r="O842" s="130">
        <f t="shared" si="62"/>
        <v>40534.840490353905</v>
      </c>
      <c r="P842" s="132">
        <f t="shared" si="63"/>
        <v>1523.2197053525742</v>
      </c>
      <c r="Q842" s="261">
        <v>4.9197174988885074E-2</v>
      </c>
      <c r="R842" s="92"/>
    </row>
    <row r="843" spans="1:18" x14ac:dyDescent="0.25">
      <c r="A843" s="353">
        <v>40848</v>
      </c>
      <c r="B843" s="353" t="s">
        <v>285</v>
      </c>
      <c r="C843" s="263" t="s">
        <v>676</v>
      </c>
      <c r="D843" s="157" t="s">
        <v>671</v>
      </c>
      <c r="E843" s="44">
        <v>40848</v>
      </c>
      <c r="F843" s="146" t="str">
        <f t="shared" si="61"/>
        <v>2011-12</v>
      </c>
      <c r="G843" s="1"/>
      <c r="H843" s="161"/>
      <c r="I843" s="37"/>
      <c r="J843" s="135">
        <f t="shared" si="60"/>
        <v>0.76382508261777382</v>
      </c>
      <c r="K843" s="112"/>
      <c r="L843" s="37">
        <v>30.7626822328</v>
      </c>
      <c r="M843" s="37" t="s">
        <v>288</v>
      </c>
      <c r="N843" s="37">
        <v>950.87219512195099</v>
      </c>
      <c r="O843" s="130">
        <f t="shared" si="62"/>
        <v>29251.379182541576</v>
      </c>
      <c r="P843" s="132">
        <f t="shared" si="63"/>
        <v>1099.2093872970952</v>
      </c>
      <c r="Q843" s="261">
        <v>4.9197174988885074E-2</v>
      </c>
      <c r="R843" s="92"/>
    </row>
    <row r="844" spans="1:18" x14ac:dyDescent="0.25">
      <c r="A844" s="353">
        <v>40848</v>
      </c>
      <c r="B844" s="353" t="s">
        <v>285</v>
      </c>
      <c r="C844" s="263" t="s">
        <v>676</v>
      </c>
      <c r="D844" s="157" t="s">
        <v>671</v>
      </c>
      <c r="E844" s="44">
        <v>40848</v>
      </c>
      <c r="F844" s="146" t="str">
        <f t="shared" si="61"/>
        <v>2011-12</v>
      </c>
      <c r="G844" s="1"/>
      <c r="H844" s="161"/>
      <c r="I844" s="37"/>
      <c r="J844" s="135">
        <f t="shared" si="60"/>
        <v>0.76382508261777382</v>
      </c>
      <c r="K844" s="112"/>
      <c r="L844" s="37">
        <v>67.721081497399993</v>
      </c>
      <c r="M844" s="37" t="s">
        <v>288</v>
      </c>
      <c r="N844" s="37">
        <v>812.22926829268283</v>
      </c>
      <c r="O844" s="130">
        <f t="shared" si="62"/>
        <v>55005.044472622336</v>
      </c>
      <c r="P844" s="132">
        <f t="shared" si="63"/>
        <v>2066.9815551496085</v>
      </c>
      <c r="Q844" s="261">
        <v>4.9197174988885074E-2</v>
      </c>
      <c r="R844" s="92"/>
    </row>
    <row r="845" spans="1:18" x14ac:dyDescent="0.25">
      <c r="A845" s="353">
        <v>41325</v>
      </c>
      <c r="B845" s="353" t="s">
        <v>285</v>
      </c>
      <c r="C845" s="263" t="s">
        <v>672</v>
      </c>
      <c r="D845" s="157" t="s">
        <v>671</v>
      </c>
      <c r="E845" s="44">
        <v>41325</v>
      </c>
      <c r="F845" s="146" t="str">
        <f t="shared" si="61"/>
        <v>2012-13</v>
      </c>
      <c r="G845" s="1"/>
      <c r="H845" s="161"/>
      <c r="I845" s="37"/>
      <c r="J845" s="135">
        <f t="shared" si="60"/>
        <v>0.76382508261777382</v>
      </c>
      <c r="K845" s="112"/>
      <c r="L845" s="37">
        <v>31.3663069702</v>
      </c>
      <c r="M845" s="37" t="s">
        <v>288</v>
      </c>
      <c r="N845" s="37">
        <v>3336.4019512195118</v>
      </c>
      <c r="O845" s="130">
        <f t="shared" si="62"/>
        <v>104650.60777792546</v>
      </c>
      <c r="P845" s="132">
        <f t="shared" si="63"/>
        <v>14918.616841179199</v>
      </c>
      <c r="Q845" s="261">
        <v>0.18663491331159471</v>
      </c>
      <c r="R845" s="92"/>
    </row>
    <row r="846" spans="1:18" x14ac:dyDescent="0.25">
      <c r="A846" s="353">
        <v>41325</v>
      </c>
      <c r="B846" s="353" t="s">
        <v>285</v>
      </c>
      <c r="C846" s="263" t="s">
        <v>672</v>
      </c>
      <c r="D846" s="157" t="s">
        <v>671</v>
      </c>
      <c r="E846" s="44">
        <v>41325</v>
      </c>
      <c r="F846" s="146" t="str">
        <f t="shared" si="61"/>
        <v>2012-13</v>
      </c>
      <c r="G846" s="1"/>
      <c r="H846" s="161"/>
      <c r="I846" s="37"/>
      <c r="J846" s="135">
        <f t="shared" si="60"/>
        <v>0.76382508261777382</v>
      </c>
      <c r="K846" s="112"/>
      <c r="L846" s="37">
        <v>13.2162773881</v>
      </c>
      <c r="M846" s="37" t="s">
        <v>288</v>
      </c>
      <c r="N846" s="37">
        <v>812.22926829268283</v>
      </c>
      <c r="O846" s="130">
        <f t="shared" si="62"/>
        <v>10734.647312489593</v>
      </c>
      <c r="P846" s="132">
        <f t="shared" si="63"/>
        <v>1530.2929775626853</v>
      </c>
      <c r="Q846" s="261">
        <v>0.18663491331159471</v>
      </c>
      <c r="R846" s="92"/>
    </row>
    <row r="847" spans="1:18" x14ac:dyDescent="0.25">
      <c r="A847" s="353">
        <v>41325</v>
      </c>
      <c r="B847" s="353" t="s">
        <v>285</v>
      </c>
      <c r="C847" s="263" t="s">
        <v>672</v>
      </c>
      <c r="D847" s="157" t="s">
        <v>671</v>
      </c>
      <c r="E847" s="44">
        <v>41325</v>
      </c>
      <c r="F847" s="146" t="str">
        <f t="shared" si="61"/>
        <v>2012-13</v>
      </c>
      <c r="G847" s="1"/>
      <c r="H847" s="161"/>
      <c r="I847" s="37"/>
      <c r="J847" s="135">
        <f t="shared" si="60"/>
        <v>0.76382508261777382</v>
      </c>
      <c r="K847" s="112"/>
      <c r="L847" s="37">
        <v>4.9331321693200003</v>
      </c>
      <c r="M847" s="37" t="s">
        <v>288</v>
      </c>
      <c r="N847" s="37">
        <v>3336.4019512195118</v>
      </c>
      <c r="O847" s="130">
        <f t="shared" si="62"/>
        <v>16458.911795342992</v>
      </c>
      <c r="P847" s="132">
        <f t="shared" si="63"/>
        <v>2346.3236756211272</v>
      </c>
      <c r="Q847" s="261">
        <v>0.18663491331159471</v>
      </c>
      <c r="R847" s="92"/>
    </row>
    <row r="848" spans="1:18" x14ac:dyDescent="0.25">
      <c r="A848" s="353">
        <v>41325</v>
      </c>
      <c r="B848" s="353" t="s">
        <v>285</v>
      </c>
      <c r="C848" s="263" t="s">
        <v>672</v>
      </c>
      <c r="D848" s="157" t="s">
        <v>671</v>
      </c>
      <c r="E848" s="44">
        <v>41325</v>
      </c>
      <c r="F848" s="146" t="str">
        <f t="shared" si="61"/>
        <v>2012-13</v>
      </c>
      <c r="G848" s="1"/>
      <c r="H848" s="161"/>
      <c r="I848" s="37"/>
      <c r="J848" s="135">
        <f t="shared" si="60"/>
        <v>0.76382508261777382</v>
      </c>
      <c r="K848" s="112"/>
      <c r="L848" s="37">
        <v>9.8888339581199993</v>
      </c>
      <c r="M848" s="37" t="s">
        <v>288</v>
      </c>
      <c r="N848" s="37">
        <v>812.22926829268283</v>
      </c>
      <c r="O848" s="130">
        <f t="shared" si="62"/>
        <v>8032.0003700716416</v>
      </c>
      <c r="P848" s="132">
        <f t="shared" si="63"/>
        <v>1145.0132830913572</v>
      </c>
      <c r="Q848" s="261">
        <v>0.18663491331159471</v>
      </c>
      <c r="R848" s="92"/>
    </row>
    <row r="849" spans="1:18" x14ac:dyDescent="0.25">
      <c r="A849" s="353">
        <v>40848</v>
      </c>
      <c r="B849" s="353" t="s">
        <v>285</v>
      </c>
      <c r="C849" s="263" t="s">
        <v>676</v>
      </c>
      <c r="D849" s="157" t="s">
        <v>671</v>
      </c>
      <c r="E849" s="44">
        <v>40848</v>
      </c>
      <c r="F849" s="146" t="str">
        <f t="shared" si="61"/>
        <v>2011-12</v>
      </c>
      <c r="G849" s="1"/>
      <c r="H849" s="161"/>
      <c r="I849" s="37"/>
      <c r="J849" s="135">
        <f t="shared" si="60"/>
        <v>0.76382508261777382</v>
      </c>
      <c r="K849" s="112"/>
      <c r="L849" s="37">
        <v>26.5275387768</v>
      </c>
      <c r="M849" s="37" t="s">
        <v>288</v>
      </c>
      <c r="N849" s="37">
        <v>3592.3639024390236</v>
      </c>
      <c r="O849" s="130">
        <f t="shared" si="62"/>
        <v>95296.572722327764</v>
      </c>
      <c r="P849" s="132">
        <f t="shared" si="63"/>
        <v>3581.058064302917</v>
      </c>
      <c r="Q849" s="261">
        <v>4.9197174988885074E-2</v>
      </c>
      <c r="R849" s="92"/>
    </row>
    <row r="850" spans="1:18" x14ac:dyDescent="0.25">
      <c r="A850" s="353">
        <v>40848</v>
      </c>
      <c r="B850" s="353" t="s">
        <v>285</v>
      </c>
      <c r="C850" s="263" t="s">
        <v>676</v>
      </c>
      <c r="D850" s="157" t="s">
        <v>671</v>
      </c>
      <c r="E850" s="44">
        <v>40848</v>
      </c>
      <c r="F850" s="146" t="str">
        <f t="shared" si="61"/>
        <v>2011-12</v>
      </c>
      <c r="G850" s="1"/>
      <c r="H850" s="161"/>
      <c r="I850" s="37"/>
      <c r="J850" s="135">
        <f t="shared" si="60"/>
        <v>0.76382508261777382</v>
      </c>
      <c r="K850" s="112"/>
      <c r="L850" s="37">
        <v>52.922595996600002</v>
      </c>
      <c r="M850" s="37" t="s">
        <v>288</v>
      </c>
      <c r="N850" s="37">
        <v>812.22926829268283</v>
      </c>
      <c r="O850" s="130">
        <f t="shared" si="62"/>
        <v>42985.281422467684</v>
      </c>
      <c r="P850" s="132">
        <f t="shared" si="63"/>
        <v>1615.3024635291231</v>
      </c>
      <c r="Q850" s="261">
        <v>4.9197174988885074E-2</v>
      </c>
      <c r="R850" s="92"/>
    </row>
    <row r="851" spans="1:18" x14ac:dyDescent="0.25">
      <c r="A851" s="353">
        <v>40848</v>
      </c>
      <c r="B851" s="353" t="s">
        <v>285</v>
      </c>
      <c r="C851" s="263" t="s">
        <v>676</v>
      </c>
      <c r="D851" s="157" t="s">
        <v>671</v>
      </c>
      <c r="E851" s="44">
        <v>40848</v>
      </c>
      <c r="F851" s="146" t="str">
        <f t="shared" si="61"/>
        <v>2011-12</v>
      </c>
      <c r="G851" s="1"/>
      <c r="H851" s="161"/>
      <c r="I851" s="37"/>
      <c r="J851" s="135">
        <f t="shared" si="60"/>
        <v>0.76382508261777382</v>
      </c>
      <c r="K851" s="112"/>
      <c r="L851" s="37">
        <v>28.600851605700001</v>
      </c>
      <c r="M851" s="37" t="s">
        <v>288</v>
      </c>
      <c r="N851" s="37">
        <v>3592.3639024390236</v>
      </c>
      <c r="O851" s="130">
        <f t="shared" si="62"/>
        <v>102744.66688733187</v>
      </c>
      <c r="P851" s="132">
        <f t="shared" si="63"/>
        <v>3860.9428168321783</v>
      </c>
      <c r="Q851" s="261">
        <v>4.9197174988885074E-2</v>
      </c>
      <c r="R851" s="92"/>
    </row>
    <row r="852" spans="1:18" x14ac:dyDescent="0.25">
      <c r="A852" s="353">
        <v>40848</v>
      </c>
      <c r="B852" s="353" t="s">
        <v>285</v>
      </c>
      <c r="C852" s="263" t="s">
        <v>676</v>
      </c>
      <c r="D852" s="157" t="s">
        <v>671</v>
      </c>
      <c r="E852" s="44">
        <v>40848</v>
      </c>
      <c r="F852" s="146" t="str">
        <f t="shared" si="61"/>
        <v>2011-12</v>
      </c>
      <c r="G852" s="1"/>
      <c r="H852" s="161"/>
      <c r="I852" s="37"/>
      <c r="J852" s="135">
        <f t="shared" si="60"/>
        <v>0.76382508261777382</v>
      </c>
      <c r="K852" s="112"/>
      <c r="L852" s="37">
        <v>2.5595407791200002</v>
      </c>
      <c r="M852" s="37" t="s">
        <v>288</v>
      </c>
      <c r="N852" s="37">
        <v>950.87219512195099</v>
      </c>
      <c r="O852" s="130">
        <f t="shared" si="62"/>
        <v>2433.7961591459834</v>
      </c>
      <c r="P852" s="132">
        <f t="shared" si="63"/>
        <v>91.457280294584535</v>
      </c>
      <c r="Q852" s="261">
        <v>4.9197174988885074E-2</v>
      </c>
      <c r="R852" s="92"/>
    </row>
    <row r="853" spans="1:18" x14ac:dyDescent="0.25">
      <c r="A853" s="353">
        <v>40848</v>
      </c>
      <c r="B853" s="353" t="s">
        <v>285</v>
      </c>
      <c r="C853" s="263" t="s">
        <v>676</v>
      </c>
      <c r="D853" s="157" t="s">
        <v>671</v>
      </c>
      <c r="E853" s="44">
        <v>40848</v>
      </c>
      <c r="F853" s="146" t="str">
        <f t="shared" si="61"/>
        <v>2011-12</v>
      </c>
      <c r="G853" s="1"/>
      <c r="H853" s="161"/>
      <c r="I853" s="37"/>
      <c r="J853" s="135">
        <f t="shared" si="60"/>
        <v>0.76382508261777382</v>
      </c>
      <c r="K853" s="112"/>
      <c r="L853" s="37">
        <v>12.8006477961</v>
      </c>
      <c r="M853" s="37" t="s">
        <v>288</v>
      </c>
      <c r="N853" s="37">
        <v>950.87219512195099</v>
      </c>
      <c r="O853" s="130">
        <f t="shared" si="62"/>
        <v>12171.780068860571</v>
      </c>
      <c r="P853" s="132">
        <f t="shared" si="63"/>
        <v>457.39159266010131</v>
      </c>
      <c r="Q853" s="261">
        <v>4.9197174988885074E-2</v>
      </c>
      <c r="R853" s="92"/>
    </row>
    <row r="854" spans="1:18" x14ac:dyDescent="0.25">
      <c r="A854" s="353">
        <v>40848</v>
      </c>
      <c r="B854" s="353" t="s">
        <v>285</v>
      </c>
      <c r="C854" s="263" t="s">
        <v>676</v>
      </c>
      <c r="D854" s="157" t="s">
        <v>671</v>
      </c>
      <c r="E854" s="44">
        <v>40848</v>
      </c>
      <c r="F854" s="146" t="str">
        <f t="shared" si="61"/>
        <v>2011-12</v>
      </c>
      <c r="G854" s="1"/>
      <c r="H854" s="161"/>
      <c r="I854" s="37"/>
      <c r="J854" s="135">
        <f t="shared" si="60"/>
        <v>0.76382508261777382</v>
      </c>
      <c r="K854" s="112"/>
      <c r="L854" s="37">
        <v>5.4532054793500002</v>
      </c>
      <c r="M854" s="37" t="s">
        <v>288</v>
      </c>
      <c r="N854" s="37">
        <v>950.87219512195099</v>
      </c>
      <c r="O854" s="130">
        <f t="shared" si="62"/>
        <v>5185.3014646005859</v>
      </c>
      <c r="P854" s="132">
        <f t="shared" si="63"/>
        <v>194.85344640625269</v>
      </c>
      <c r="Q854" s="261">
        <v>4.9197174988885074E-2</v>
      </c>
      <c r="R854" s="92"/>
    </row>
    <row r="855" spans="1:18" x14ac:dyDescent="0.25">
      <c r="A855" s="353">
        <v>40848</v>
      </c>
      <c r="B855" s="353" t="s">
        <v>285</v>
      </c>
      <c r="C855" s="263" t="s">
        <v>676</v>
      </c>
      <c r="D855" s="157" t="s">
        <v>671</v>
      </c>
      <c r="E855" s="44">
        <v>40848</v>
      </c>
      <c r="F855" s="146" t="str">
        <f t="shared" si="61"/>
        <v>2011-12</v>
      </c>
      <c r="G855" s="1"/>
      <c r="H855" s="161"/>
      <c r="I855" s="37"/>
      <c r="J855" s="135">
        <f t="shared" si="60"/>
        <v>0.76382508261777382</v>
      </c>
      <c r="K855" s="112"/>
      <c r="L855" s="37">
        <v>33.762723305900003</v>
      </c>
      <c r="M855" s="37" t="s">
        <v>288</v>
      </c>
      <c r="N855" s="37">
        <v>812.22926829268283</v>
      </c>
      <c r="O855" s="130">
        <f t="shared" si="62"/>
        <v>27423.07204631947</v>
      </c>
      <c r="P855" s="132">
        <f t="shared" si="63"/>
        <v>1030.5051954551914</v>
      </c>
      <c r="Q855" s="261">
        <v>4.9197174988885074E-2</v>
      </c>
      <c r="R855" s="92"/>
    </row>
    <row r="856" spans="1:18" x14ac:dyDescent="0.25">
      <c r="A856" s="353">
        <v>40848</v>
      </c>
      <c r="B856" s="353" t="s">
        <v>285</v>
      </c>
      <c r="C856" s="263" t="s">
        <v>676</v>
      </c>
      <c r="D856" s="157" t="s">
        <v>671</v>
      </c>
      <c r="E856" s="44">
        <v>40848</v>
      </c>
      <c r="F856" s="146" t="str">
        <f t="shared" si="61"/>
        <v>2011-12</v>
      </c>
      <c r="G856" s="1"/>
      <c r="H856" s="161"/>
      <c r="I856" s="37"/>
      <c r="J856" s="135">
        <f t="shared" si="60"/>
        <v>0.76382508261777382</v>
      </c>
      <c r="K856" s="112"/>
      <c r="L856" s="37">
        <v>59.979090862699998</v>
      </c>
      <c r="M856" s="37" t="s">
        <v>288</v>
      </c>
      <c r="N856" s="37">
        <v>950.87219512195099</v>
      </c>
      <c r="O856" s="130">
        <f t="shared" si="62"/>
        <v>57032.449790034501</v>
      </c>
      <c r="P856" s="132">
        <f t="shared" si="63"/>
        <v>2143.1674656616701</v>
      </c>
      <c r="Q856" s="261">
        <v>4.9197174988885074E-2</v>
      </c>
      <c r="R856" s="92"/>
    </row>
    <row r="857" spans="1:18" x14ac:dyDescent="0.25">
      <c r="A857" s="353">
        <v>40848</v>
      </c>
      <c r="B857" s="353" t="s">
        <v>285</v>
      </c>
      <c r="C857" s="263" t="s">
        <v>676</v>
      </c>
      <c r="D857" s="157" t="s">
        <v>671</v>
      </c>
      <c r="E857" s="44">
        <v>40848</v>
      </c>
      <c r="F857" s="146" t="str">
        <f t="shared" si="61"/>
        <v>2011-12</v>
      </c>
      <c r="G857" s="1"/>
      <c r="H857" s="161"/>
      <c r="I857" s="37"/>
      <c r="J857" s="135">
        <f t="shared" ref="J857:J920" si="64">J856</f>
        <v>0.76382508261777382</v>
      </c>
      <c r="K857" s="112"/>
      <c r="L857" s="37">
        <v>58.091866146100003</v>
      </c>
      <c r="M857" s="37" t="s">
        <v>288</v>
      </c>
      <c r="N857" s="37">
        <v>812.22926829268283</v>
      </c>
      <c r="O857" s="130">
        <f t="shared" si="62"/>
        <v>47183.913933603275</v>
      </c>
      <c r="P857" s="132">
        <f t="shared" si="63"/>
        <v>1773.0788282348783</v>
      </c>
      <c r="Q857" s="261">
        <v>4.9197174988885074E-2</v>
      </c>
      <c r="R857" s="92"/>
    </row>
    <row r="858" spans="1:18" x14ac:dyDescent="0.25">
      <c r="A858" s="353">
        <v>40848</v>
      </c>
      <c r="B858" s="353" t="s">
        <v>285</v>
      </c>
      <c r="C858" s="263" t="s">
        <v>676</v>
      </c>
      <c r="D858" s="157" t="s">
        <v>671</v>
      </c>
      <c r="E858" s="44">
        <v>40848</v>
      </c>
      <c r="F858" s="146" t="str">
        <f t="shared" si="61"/>
        <v>2011-12</v>
      </c>
      <c r="G858" s="1"/>
      <c r="H858" s="161"/>
      <c r="I858" s="37"/>
      <c r="J858" s="135">
        <f t="shared" si="64"/>
        <v>0.76382508261777382</v>
      </c>
      <c r="K858" s="112"/>
      <c r="L858" s="37">
        <v>43.146562160999999</v>
      </c>
      <c r="M858" s="37" t="s">
        <v>288</v>
      </c>
      <c r="N858" s="37">
        <v>3592.3639024390236</v>
      </c>
      <c r="O858" s="130">
        <f t="shared" si="62"/>
        <v>154998.15242151788</v>
      </c>
      <c r="P858" s="132">
        <f t="shared" si="63"/>
        <v>5824.5261904479876</v>
      </c>
      <c r="Q858" s="261">
        <v>4.9197174988885074E-2</v>
      </c>
      <c r="R858" s="92"/>
    </row>
    <row r="859" spans="1:18" x14ac:dyDescent="0.25">
      <c r="A859" s="353">
        <v>40848</v>
      </c>
      <c r="B859" s="353" t="s">
        <v>285</v>
      </c>
      <c r="C859" s="263" t="s">
        <v>676</v>
      </c>
      <c r="D859" s="157" t="s">
        <v>671</v>
      </c>
      <c r="E859" s="44">
        <v>40848</v>
      </c>
      <c r="F859" s="146" t="str">
        <f t="shared" si="61"/>
        <v>2011-12</v>
      </c>
      <c r="G859" s="1"/>
      <c r="H859" s="161"/>
      <c r="I859" s="37"/>
      <c r="J859" s="135">
        <f t="shared" si="64"/>
        <v>0.76382508261777382</v>
      </c>
      <c r="K859" s="112"/>
      <c r="L859" s="37">
        <v>36.2995551104</v>
      </c>
      <c r="M859" s="37" t="s">
        <v>288</v>
      </c>
      <c r="N859" s="37">
        <v>950.87219512195099</v>
      </c>
      <c r="O859" s="130">
        <f t="shared" si="62"/>
        <v>34516.237649776282</v>
      </c>
      <c r="P859" s="132">
        <f t="shared" si="63"/>
        <v>1297.0524296323097</v>
      </c>
      <c r="Q859" s="261">
        <v>4.9197174988885074E-2</v>
      </c>
      <c r="R859" s="92"/>
    </row>
    <row r="860" spans="1:18" x14ac:dyDescent="0.25">
      <c r="A860" s="353">
        <v>40848</v>
      </c>
      <c r="B860" s="353" t="s">
        <v>285</v>
      </c>
      <c r="C860" s="263" t="s">
        <v>676</v>
      </c>
      <c r="D860" s="157" t="s">
        <v>671</v>
      </c>
      <c r="E860" s="44">
        <v>40848</v>
      </c>
      <c r="F860" s="146" t="str">
        <f t="shared" si="61"/>
        <v>2011-12</v>
      </c>
      <c r="G860" s="1"/>
      <c r="H860" s="161"/>
      <c r="I860" s="37"/>
      <c r="J860" s="135">
        <f t="shared" si="64"/>
        <v>0.76382508261777382</v>
      </c>
      <c r="K860" s="112"/>
      <c r="L860" s="37">
        <v>21.3757580485</v>
      </c>
      <c r="M860" s="37" t="s">
        <v>288</v>
      </c>
      <c r="N860" s="37">
        <v>3592.3639024390236</v>
      </c>
      <c r="O860" s="130">
        <f t="shared" si="62"/>
        <v>76789.501600701828</v>
      </c>
      <c r="P860" s="132">
        <f t="shared" si="63"/>
        <v>2885.5986748048713</v>
      </c>
      <c r="Q860" s="261">
        <v>4.9197174988885074E-2</v>
      </c>
      <c r="R860" s="92"/>
    </row>
    <row r="861" spans="1:18" x14ac:dyDescent="0.25">
      <c r="A861" s="353">
        <v>40848</v>
      </c>
      <c r="B861" s="353" t="s">
        <v>285</v>
      </c>
      <c r="C861" s="263" t="s">
        <v>676</v>
      </c>
      <c r="D861" s="157" t="s">
        <v>671</v>
      </c>
      <c r="E861" s="44">
        <v>40848</v>
      </c>
      <c r="F861" s="146" t="str">
        <f t="shared" si="61"/>
        <v>2011-12</v>
      </c>
      <c r="G861" s="1"/>
      <c r="H861" s="161"/>
      <c r="I861" s="37"/>
      <c r="J861" s="135">
        <f t="shared" si="64"/>
        <v>0.76382508261777382</v>
      </c>
      <c r="K861" s="112"/>
      <c r="L861" s="37">
        <v>23.284432929899999</v>
      </c>
      <c r="M861" s="37" t="s">
        <v>288</v>
      </c>
      <c r="N861" s="37">
        <v>812.22926829268283</v>
      </c>
      <c r="O861" s="130">
        <f t="shared" si="62"/>
        <v>18912.297921262725</v>
      </c>
      <c r="P861" s="132">
        <f t="shared" si="63"/>
        <v>710.68701686444933</v>
      </c>
      <c r="Q861" s="261">
        <v>4.9197174988885074E-2</v>
      </c>
      <c r="R861" s="92"/>
    </row>
    <row r="862" spans="1:18" x14ac:dyDescent="0.25">
      <c r="A862" s="353">
        <v>40848</v>
      </c>
      <c r="B862" s="353" t="s">
        <v>285</v>
      </c>
      <c r="C862" s="263" t="s">
        <v>676</v>
      </c>
      <c r="D862" s="157" t="s">
        <v>671</v>
      </c>
      <c r="E862" s="44">
        <v>40848</v>
      </c>
      <c r="F862" s="146" t="str">
        <f t="shared" si="61"/>
        <v>2011-12</v>
      </c>
      <c r="G862" s="1"/>
      <c r="H862" s="161"/>
      <c r="I862" s="37"/>
      <c r="J862" s="135">
        <f t="shared" si="64"/>
        <v>0.76382508261777382</v>
      </c>
      <c r="K862" s="112"/>
      <c r="L862" s="37">
        <v>4.9780640815500004</v>
      </c>
      <c r="M862" s="37" t="s">
        <v>288</v>
      </c>
      <c r="N862" s="37">
        <v>812.22926829268283</v>
      </c>
      <c r="O862" s="130">
        <f t="shared" si="62"/>
        <v>4043.3293464714429</v>
      </c>
      <c r="P862" s="132">
        <f t="shared" si="63"/>
        <v>151.9403767541969</v>
      </c>
      <c r="Q862" s="261">
        <v>4.9197174988885074E-2</v>
      </c>
      <c r="R862" s="92"/>
    </row>
    <row r="863" spans="1:18" x14ac:dyDescent="0.25">
      <c r="A863" s="353">
        <v>40848</v>
      </c>
      <c r="B863" s="353" t="s">
        <v>285</v>
      </c>
      <c r="C863" s="263" t="s">
        <v>676</v>
      </c>
      <c r="D863" s="157" t="s">
        <v>671</v>
      </c>
      <c r="E863" s="44">
        <v>40848</v>
      </c>
      <c r="F863" s="146" t="str">
        <f t="shared" si="61"/>
        <v>2011-12</v>
      </c>
      <c r="G863" s="1"/>
      <c r="H863" s="161"/>
      <c r="I863" s="37"/>
      <c r="J863" s="135">
        <f t="shared" si="64"/>
        <v>0.76382508261777382</v>
      </c>
      <c r="K863" s="112"/>
      <c r="L863" s="37">
        <v>31.201082561300002</v>
      </c>
      <c r="M863" s="37" t="s">
        <v>288</v>
      </c>
      <c r="N863" s="37">
        <v>950.87219512195099</v>
      </c>
      <c r="O863" s="130">
        <f t="shared" si="62"/>
        <v>29668.241865244556</v>
      </c>
      <c r="P863" s="132">
        <f t="shared" si="63"/>
        <v>1114.874268299166</v>
      </c>
      <c r="Q863" s="261">
        <v>4.9197174988885074E-2</v>
      </c>
      <c r="R863" s="92"/>
    </row>
    <row r="864" spans="1:18" x14ac:dyDescent="0.25">
      <c r="A864" s="353">
        <v>40848</v>
      </c>
      <c r="B864" s="353" t="s">
        <v>285</v>
      </c>
      <c r="C864" s="263" t="s">
        <v>676</v>
      </c>
      <c r="D864" s="157" t="s">
        <v>671</v>
      </c>
      <c r="E864" s="44">
        <v>40848</v>
      </c>
      <c r="F864" s="146" t="str">
        <f t="shared" si="61"/>
        <v>2011-12</v>
      </c>
      <c r="G864" s="1"/>
      <c r="H864" s="161"/>
      <c r="I864" s="37"/>
      <c r="J864" s="135">
        <f t="shared" si="64"/>
        <v>0.76382508261777382</v>
      </c>
      <c r="K864" s="112"/>
      <c r="L864" s="37">
        <v>25.068133656099999</v>
      </c>
      <c r="M864" s="37" t="s">
        <v>288</v>
      </c>
      <c r="N864" s="37">
        <v>812.22926829268283</v>
      </c>
      <c r="O864" s="130">
        <f t="shared" si="62"/>
        <v>20361.071856957278</v>
      </c>
      <c r="P864" s="132">
        <f t="shared" si="63"/>
        <v>765.12909633868082</v>
      </c>
      <c r="Q864" s="261">
        <v>4.9197174988885074E-2</v>
      </c>
      <c r="R864" s="92"/>
    </row>
    <row r="865" spans="1:18" x14ac:dyDescent="0.25">
      <c r="A865" s="353">
        <v>40848</v>
      </c>
      <c r="B865" s="353" t="s">
        <v>285</v>
      </c>
      <c r="C865" s="263" t="s">
        <v>676</v>
      </c>
      <c r="D865" s="157" t="s">
        <v>671</v>
      </c>
      <c r="E865" s="44">
        <v>40848</v>
      </c>
      <c r="F865" s="146" t="str">
        <f t="shared" si="61"/>
        <v>2011-12</v>
      </c>
      <c r="G865" s="1"/>
      <c r="H865" s="161"/>
      <c r="I865" s="37"/>
      <c r="J865" s="135">
        <f t="shared" si="64"/>
        <v>0.76382508261777382</v>
      </c>
      <c r="K865" s="112"/>
      <c r="L865" s="37">
        <v>27.494207917299999</v>
      </c>
      <c r="M865" s="37" t="s">
        <v>288</v>
      </c>
      <c r="N865" s="37">
        <v>812.22926829268283</v>
      </c>
      <c r="O865" s="130">
        <f t="shared" si="62"/>
        <v>22331.600378955467</v>
      </c>
      <c r="P865" s="132">
        <f t="shared" si="63"/>
        <v>839.17768857086708</v>
      </c>
      <c r="Q865" s="261">
        <v>4.9197174988885074E-2</v>
      </c>
      <c r="R865" s="92"/>
    </row>
    <row r="866" spans="1:18" x14ac:dyDescent="0.25">
      <c r="A866" s="353">
        <v>40848</v>
      </c>
      <c r="B866" s="353" t="s">
        <v>285</v>
      </c>
      <c r="C866" s="263" t="s">
        <v>676</v>
      </c>
      <c r="D866" s="157" t="s">
        <v>671</v>
      </c>
      <c r="E866" s="44">
        <v>40848</v>
      </c>
      <c r="F866" s="146" t="str">
        <f t="shared" si="61"/>
        <v>2011-12</v>
      </c>
      <c r="G866" s="1"/>
      <c r="H866" s="161"/>
      <c r="I866" s="37"/>
      <c r="J866" s="135">
        <f t="shared" si="64"/>
        <v>0.76382508261777382</v>
      </c>
      <c r="K866" s="112"/>
      <c r="L866" s="37">
        <v>28.4672520178</v>
      </c>
      <c r="M866" s="37" t="s">
        <v>288</v>
      </c>
      <c r="N866" s="37">
        <v>812.22926829268283</v>
      </c>
      <c r="O866" s="130">
        <f t="shared" si="62"/>
        <v>23121.935276721091</v>
      </c>
      <c r="P866" s="132">
        <f t="shared" si="63"/>
        <v>868.87692200909623</v>
      </c>
      <c r="Q866" s="261">
        <v>4.9197174988885074E-2</v>
      </c>
      <c r="R866" s="92"/>
    </row>
    <row r="867" spans="1:18" x14ac:dyDescent="0.25">
      <c r="A867" s="353">
        <v>40848</v>
      </c>
      <c r="B867" s="353" t="s">
        <v>285</v>
      </c>
      <c r="C867" s="263" t="s">
        <v>676</v>
      </c>
      <c r="D867" s="157" t="s">
        <v>671</v>
      </c>
      <c r="E867" s="44">
        <v>40848</v>
      </c>
      <c r="F867" s="146" t="str">
        <f t="shared" si="61"/>
        <v>2011-12</v>
      </c>
      <c r="G867" s="1"/>
      <c r="H867" s="161"/>
      <c r="I867" s="37"/>
      <c r="J867" s="135">
        <f t="shared" si="64"/>
        <v>0.76382508261777382</v>
      </c>
      <c r="K867" s="112"/>
      <c r="L867" s="37">
        <v>22.961240471699998</v>
      </c>
      <c r="M867" s="37" t="s">
        <v>288</v>
      </c>
      <c r="N867" s="37">
        <v>812.22926829268283</v>
      </c>
      <c r="O867" s="130">
        <f t="shared" si="62"/>
        <v>18649.791547421224</v>
      </c>
      <c r="P867" s="132">
        <f t="shared" si="63"/>
        <v>700.82254283226018</v>
      </c>
      <c r="Q867" s="261">
        <v>4.9197174988885074E-2</v>
      </c>
      <c r="R867" s="92"/>
    </row>
    <row r="868" spans="1:18" x14ac:dyDescent="0.25">
      <c r="A868" s="353">
        <v>40848</v>
      </c>
      <c r="B868" s="353" t="s">
        <v>285</v>
      </c>
      <c r="C868" s="263" t="s">
        <v>676</v>
      </c>
      <c r="D868" s="157" t="s">
        <v>671</v>
      </c>
      <c r="E868" s="44">
        <v>40848</v>
      </c>
      <c r="F868" s="146" t="str">
        <f t="shared" si="61"/>
        <v>2011-12</v>
      </c>
      <c r="G868" s="1"/>
      <c r="H868" s="161"/>
      <c r="I868" s="37"/>
      <c r="J868" s="135">
        <f t="shared" si="64"/>
        <v>0.76382508261777382</v>
      </c>
      <c r="K868" s="112"/>
      <c r="L868" s="37">
        <v>8.4355734837699998</v>
      </c>
      <c r="M868" s="37" t="s">
        <v>288</v>
      </c>
      <c r="N868" s="37">
        <v>812.22926829268283</v>
      </c>
      <c r="O868" s="130">
        <f t="shared" si="62"/>
        <v>6851.6196783516643</v>
      </c>
      <c r="P868" s="132">
        <f t="shared" si="63"/>
        <v>257.47041264736953</v>
      </c>
      <c r="Q868" s="261">
        <v>4.9197174988885074E-2</v>
      </c>
      <c r="R868" s="92"/>
    </row>
    <row r="869" spans="1:18" x14ac:dyDescent="0.25">
      <c r="A869" s="353">
        <v>40848</v>
      </c>
      <c r="B869" s="353" t="s">
        <v>285</v>
      </c>
      <c r="C869" s="263" t="s">
        <v>676</v>
      </c>
      <c r="D869" s="157" t="s">
        <v>671</v>
      </c>
      <c r="E869" s="44">
        <v>40848</v>
      </c>
      <c r="F869" s="146" t="str">
        <f t="shared" si="61"/>
        <v>2011-12</v>
      </c>
      <c r="G869" s="1"/>
      <c r="H869" s="161"/>
      <c r="I869" s="37"/>
      <c r="J869" s="135">
        <f t="shared" si="64"/>
        <v>0.76382508261777382</v>
      </c>
      <c r="K869" s="112"/>
      <c r="L869" s="37">
        <v>19.629659473499999</v>
      </c>
      <c r="M869" s="37" t="s">
        <v>288</v>
      </c>
      <c r="N869" s="37">
        <v>3336.4019512195118</v>
      </c>
      <c r="O869" s="130">
        <f t="shared" si="62"/>
        <v>65492.434169159969</v>
      </c>
      <c r="P869" s="132">
        <f t="shared" si="63"/>
        <v>2461.0770653386558</v>
      </c>
      <c r="Q869" s="261">
        <v>4.9197174988885074E-2</v>
      </c>
      <c r="R869" s="92"/>
    </row>
    <row r="870" spans="1:18" x14ac:dyDescent="0.25">
      <c r="A870" s="353">
        <v>40848</v>
      </c>
      <c r="B870" s="353" t="s">
        <v>285</v>
      </c>
      <c r="C870" s="263" t="s">
        <v>676</v>
      </c>
      <c r="D870" s="157" t="s">
        <v>671</v>
      </c>
      <c r="E870" s="44">
        <v>40848</v>
      </c>
      <c r="F870" s="146" t="str">
        <f t="shared" si="61"/>
        <v>2011-12</v>
      </c>
      <c r="G870" s="1"/>
      <c r="H870" s="161"/>
      <c r="I870" s="37"/>
      <c r="J870" s="135">
        <f t="shared" si="64"/>
        <v>0.76382508261777382</v>
      </c>
      <c r="K870" s="112"/>
      <c r="L870" s="37">
        <v>16.894940455699999</v>
      </c>
      <c r="M870" s="37" t="s">
        <v>288</v>
      </c>
      <c r="N870" s="37">
        <v>812.22926829268283</v>
      </c>
      <c r="O870" s="130">
        <f t="shared" si="62"/>
        <v>13722.565124181656</v>
      </c>
      <c r="P870" s="132">
        <f t="shared" si="63"/>
        <v>515.66704968560725</v>
      </c>
      <c r="Q870" s="261">
        <v>4.9197174988885074E-2</v>
      </c>
      <c r="R870" s="92"/>
    </row>
    <row r="871" spans="1:18" x14ac:dyDescent="0.25">
      <c r="A871" s="353">
        <v>40848</v>
      </c>
      <c r="B871" s="353" t="s">
        <v>285</v>
      </c>
      <c r="C871" s="263" t="s">
        <v>676</v>
      </c>
      <c r="D871" s="157" t="s">
        <v>671</v>
      </c>
      <c r="E871" s="44">
        <v>40848</v>
      </c>
      <c r="F871" s="146" t="str">
        <f t="shared" si="61"/>
        <v>2011-12</v>
      </c>
      <c r="G871" s="1"/>
      <c r="H871" s="161"/>
      <c r="I871" s="37"/>
      <c r="J871" s="135">
        <f t="shared" si="64"/>
        <v>0.76382508261777382</v>
      </c>
      <c r="K871" s="112"/>
      <c r="L871" s="37">
        <v>31.9591634055</v>
      </c>
      <c r="M871" s="37" t="s">
        <v>288</v>
      </c>
      <c r="N871" s="37">
        <v>950.87219512195099</v>
      </c>
      <c r="O871" s="130">
        <f t="shared" si="62"/>
        <v>30389.079861648912</v>
      </c>
      <c r="P871" s="132">
        <f t="shared" si="63"/>
        <v>1141.9619446587481</v>
      </c>
      <c r="Q871" s="261">
        <v>4.9197174988885074E-2</v>
      </c>
      <c r="R871" s="92"/>
    </row>
    <row r="872" spans="1:18" x14ac:dyDescent="0.25">
      <c r="A872" s="353">
        <v>40848</v>
      </c>
      <c r="B872" s="353" t="s">
        <v>285</v>
      </c>
      <c r="C872" s="263" t="s">
        <v>676</v>
      </c>
      <c r="D872" s="157" t="s">
        <v>671</v>
      </c>
      <c r="E872" s="44">
        <v>40848</v>
      </c>
      <c r="F872" s="146" t="str">
        <f t="shared" si="61"/>
        <v>2011-12</v>
      </c>
      <c r="G872" s="1"/>
      <c r="H872" s="161"/>
      <c r="I872" s="37"/>
      <c r="J872" s="135">
        <f t="shared" si="64"/>
        <v>0.76382508261777382</v>
      </c>
      <c r="K872" s="112"/>
      <c r="L872" s="37">
        <v>31.5732277394</v>
      </c>
      <c r="M872" s="37" t="s">
        <v>288</v>
      </c>
      <c r="N872" s="37">
        <v>950.87219512195099</v>
      </c>
      <c r="O872" s="130">
        <f t="shared" si="62"/>
        <v>30022.104367648553</v>
      </c>
      <c r="P872" s="132">
        <f t="shared" si="63"/>
        <v>1128.1717262421771</v>
      </c>
      <c r="Q872" s="261">
        <v>4.9197174988885074E-2</v>
      </c>
      <c r="R872" s="92"/>
    </row>
    <row r="873" spans="1:18" x14ac:dyDescent="0.25">
      <c r="A873" s="353">
        <v>40848</v>
      </c>
      <c r="B873" s="353" t="s">
        <v>285</v>
      </c>
      <c r="C873" s="263" t="s">
        <v>676</v>
      </c>
      <c r="D873" s="157" t="s">
        <v>671</v>
      </c>
      <c r="E873" s="44">
        <v>40848</v>
      </c>
      <c r="F873" s="146" t="str">
        <f t="shared" si="61"/>
        <v>2011-12</v>
      </c>
      <c r="G873" s="1"/>
      <c r="H873" s="161"/>
      <c r="I873" s="37"/>
      <c r="J873" s="135">
        <f t="shared" si="64"/>
        <v>0.76382508261777382</v>
      </c>
      <c r="K873" s="112"/>
      <c r="L873" s="37">
        <v>59.8447512272</v>
      </c>
      <c r="M873" s="37" t="s">
        <v>288</v>
      </c>
      <c r="N873" s="37">
        <v>812.22926829268283</v>
      </c>
      <c r="O873" s="130">
        <f t="shared" si="62"/>
        <v>48607.658500426289</v>
      </c>
      <c r="P873" s="132">
        <f t="shared" si="63"/>
        <v>1826.5803531783292</v>
      </c>
      <c r="Q873" s="261">
        <v>4.9197174988885074E-2</v>
      </c>
      <c r="R873" s="92"/>
    </row>
    <row r="874" spans="1:18" x14ac:dyDescent="0.25">
      <c r="A874" s="353">
        <v>40848</v>
      </c>
      <c r="B874" s="353" t="s">
        <v>285</v>
      </c>
      <c r="C874" s="263" t="s">
        <v>676</v>
      </c>
      <c r="D874" s="157" t="s">
        <v>671</v>
      </c>
      <c r="E874" s="44">
        <v>40848</v>
      </c>
      <c r="F874" s="146" t="str">
        <f t="shared" si="61"/>
        <v>2011-12</v>
      </c>
      <c r="G874" s="1"/>
      <c r="H874" s="161"/>
      <c r="I874" s="37"/>
      <c r="J874" s="135">
        <f t="shared" si="64"/>
        <v>0.76382508261777382</v>
      </c>
      <c r="K874" s="112"/>
      <c r="L874" s="37">
        <v>57.398491914499999</v>
      </c>
      <c r="M874" s="37" t="s">
        <v>288</v>
      </c>
      <c r="N874" s="37">
        <v>812.22926829268283</v>
      </c>
      <c r="O874" s="130">
        <f t="shared" si="62"/>
        <v>46620.735088817804</v>
      </c>
      <c r="P874" s="132">
        <f t="shared" si="63"/>
        <v>1751.9156731900455</v>
      </c>
      <c r="Q874" s="261">
        <v>4.9197174988885074E-2</v>
      </c>
      <c r="R874" s="92"/>
    </row>
    <row r="875" spans="1:18" x14ac:dyDescent="0.25">
      <c r="A875" s="353">
        <v>40848</v>
      </c>
      <c r="B875" s="353" t="s">
        <v>285</v>
      </c>
      <c r="C875" s="263" t="s">
        <v>676</v>
      </c>
      <c r="D875" s="157" t="s">
        <v>671</v>
      </c>
      <c r="E875" s="44">
        <v>40848</v>
      </c>
      <c r="F875" s="146" t="str">
        <f t="shared" si="61"/>
        <v>2011-12</v>
      </c>
      <c r="G875" s="1"/>
      <c r="H875" s="161"/>
      <c r="I875" s="37"/>
      <c r="J875" s="135">
        <f t="shared" si="64"/>
        <v>0.76382508261777382</v>
      </c>
      <c r="K875" s="112"/>
      <c r="L875" s="37">
        <v>59.532576433199999</v>
      </c>
      <c r="M875" s="37" t="s">
        <v>288</v>
      </c>
      <c r="N875" s="37">
        <v>812.22926829268283</v>
      </c>
      <c r="O875" s="130">
        <f t="shared" si="62"/>
        <v>48354.100995916247</v>
      </c>
      <c r="P875" s="132">
        <f t="shared" si="63"/>
        <v>1817.0521600822783</v>
      </c>
      <c r="Q875" s="261">
        <v>4.9197174988885074E-2</v>
      </c>
      <c r="R875" s="92"/>
    </row>
    <row r="876" spans="1:18" x14ac:dyDescent="0.25">
      <c r="A876" s="353">
        <v>40848</v>
      </c>
      <c r="B876" s="353" t="s">
        <v>285</v>
      </c>
      <c r="C876" s="263" t="s">
        <v>676</v>
      </c>
      <c r="D876" s="157" t="s">
        <v>671</v>
      </c>
      <c r="E876" s="44">
        <v>40848</v>
      </c>
      <c r="F876" s="146" t="str">
        <f t="shared" si="61"/>
        <v>2011-12</v>
      </c>
      <c r="G876" s="1"/>
      <c r="H876" s="161"/>
      <c r="I876" s="37"/>
      <c r="J876" s="135">
        <f t="shared" si="64"/>
        <v>0.76382508261777382</v>
      </c>
      <c r="K876" s="112"/>
      <c r="L876" s="37">
        <v>20.234196055200002</v>
      </c>
      <c r="M876" s="37" t="s">
        <v>288</v>
      </c>
      <c r="N876" s="37">
        <v>812.22926829268283</v>
      </c>
      <c r="O876" s="130">
        <f t="shared" si="62"/>
        <v>16434.806256405787</v>
      </c>
      <c r="P876" s="132">
        <f t="shared" si="63"/>
        <v>617.58774527227695</v>
      </c>
      <c r="Q876" s="261">
        <v>4.9197174988885074E-2</v>
      </c>
      <c r="R876" s="92"/>
    </row>
    <row r="877" spans="1:18" x14ac:dyDescent="0.25">
      <c r="A877" s="353">
        <v>40848</v>
      </c>
      <c r="B877" s="353" t="s">
        <v>285</v>
      </c>
      <c r="C877" s="263" t="s">
        <v>676</v>
      </c>
      <c r="D877" s="157" t="s">
        <v>671</v>
      </c>
      <c r="E877" s="44">
        <v>40848</v>
      </c>
      <c r="F877" s="146" t="str">
        <f t="shared" si="61"/>
        <v>2011-12</v>
      </c>
      <c r="G877" s="1"/>
      <c r="H877" s="161"/>
      <c r="I877" s="37"/>
      <c r="J877" s="135">
        <f t="shared" si="64"/>
        <v>0.76382508261777382</v>
      </c>
      <c r="K877" s="112"/>
      <c r="L877" s="37">
        <v>63.648589659300001</v>
      </c>
      <c r="M877" s="37" t="s">
        <v>288</v>
      </c>
      <c r="N877" s="37">
        <v>812.22926829268283</v>
      </c>
      <c r="O877" s="130">
        <f t="shared" si="62"/>
        <v>51697.24740683446</v>
      </c>
      <c r="P877" s="132">
        <f t="shared" si="63"/>
        <v>1942.6810371023123</v>
      </c>
      <c r="Q877" s="261">
        <v>4.9197174988885074E-2</v>
      </c>
      <c r="R877" s="92"/>
    </row>
    <row r="878" spans="1:18" x14ac:dyDescent="0.25">
      <c r="A878" s="353">
        <v>40848</v>
      </c>
      <c r="B878" s="353" t="s">
        <v>285</v>
      </c>
      <c r="C878" s="263" t="s">
        <v>676</v>
      </c>
      <c r="D878" s="157" t="s">
        <v>671</v>
      </c>
      <c r="E878" s="44">
        <v>40848</v>
      </c>
      <c r="F878" s="146" t="str">
        <f t="shared" si="61"/>
        <v>2011-12</v>
      </c>
      <c r="G878" s="1"/>
      <c r="H878" s="161"/>
      <c r="I878" s="37"/>
      <c r="J878" s="135">
        <f t="shared" si="64"/>
        <v>0.76382508261777382</v>
      </c>
      <c r="K878" s="112"/>
      <c r="L878" s="37">
        <v>67.872640910499996</v>
      </c>
      <c r="M878" s="37" t="s">
        <v>288</v>
      </c>
      <c r="N878" s="37">
        <v>812.22926829268283</v>
      </c>
      <c r="O878" s="130">
        <f t="shared" si="62"/>
        <v>55128.145463827423</v>
      </c>
      <c r="P878" s="132">
        <f t="shared" si="63"/>
        <v>2071.6074486595789</v>
      </c>
      <c r="Q878" s="261">
        <v>4.9197174988885074E-2</v>
      </c>
      <c r="R878" s="92"/>
    </row>
    <row r="879" spans="1:18" x14ac:dyDescent="0.25">
      <c r="A879" s="353">
        <v>40848</v>
      </c>
      <c r="B879" s="353" t="s">
        <v>285</v>
      </c>
      <c r="C879" s="263" t="s">
        <v>676</v>
      </c>
      <c r="D879" s="157" t="s">
        <v>671</v>
      </c>
      <c r="E879" s="44">
        <v>40848</v>
      </c>
      <c r="F879" s="146" t="str">
        <f t="shared" si="61"/>
        <v>2011-12</v>
      </c>
      <c r="G879" s="1"/>
      <c r="H879" s="161"/>
      <c r="I879" s="37"/>
      <c r="J879" s="135">
        <f t="shared" si="64"/>
        <v>0.76382508261777382</v>
      </c>
      <c r="K879" s="112"/>
      <c r="L879" s="37">
        <v>7.0036908127100004</v>
      </c>
      <c r="M879" s="37" t="s">
        <v>288</v>
      </c>
      <c r="N879" s="37">
        <v>812.22926829268283</v>
      </c>
      <c r="O879" s="130">
        <f t="shared" si="62"/>
        <v>5688.6026641556291</v>
      </c>
      <c r="P879" s="132">
        <f t="shared" si="63"/>
        <v>213.76651712802516</v>
      </c>
      <c r="Q879" s="261">
        <v>4.9197174988885074E-2</v>
      </c>
      <c r="R879" s="92"/>
    </row>
    <row r="880" spans="1:18" x14ac:dyDescent="0.25">
      <c r="A880" s="353">
        <v>40848</v>
      </c>
      <c r="B880" s="353" t="s">
        <v>285</v>
      </c>
      <c r="C880" s="263" t="s">
        <v>676</v>
      </c>
      <c r="D880" s="157" t="s">
        <v>671</v>
      </c>
      <c r="E880" s="44">
        <v>40848</v>
      </c>
      <c r="F880" s="146" t="str">
        <f t="shared" si="61"/>
        <v>2011-12</v>
      </c>
      <c r="G880" s="1"/>
      <c r="H880" s="161"/>
      <c r="I880" s="37"/>
      <c r="J880" s="135">
        <f t="shared" si="64"/>
        <v>0.76382508261777382</v>
      </c>
      <c r="K880" s="112"/>
      <c r="L880" s="37">
        <v>19.6463467596</v>
      </c>
      <c r="M880" s="37" t="s">
        <v>288</v>
      </c>
      <c r="N880" s="37">
        <v>812.22926829268283</v>
      </c>
      <c r="O880" s="130">
        <f t="shared" si="62"/>
        <v>15957.337853174229</v>
      </c>
      <c r="P880" s="132">
        <f t="shared" si="63"/>
        <v>599.64542030719883</v>
      </c>
      <c r="Q880" s="261">
        <v>4.9197174988885074E-2</v>
      </c>
      <c r="R880" s="92"/>
    </row>
    <row r="881" spans="1:18" x14ac:dyDescent="0.25">
      <c r="A881" s="353">
        <v>40848</v>
      </c>
      <c r="B881" s="353" t="s">
        <v>285</v>
      </c>
      <c r="C881" s="263" t="s">
        <v>676</v>
      </c>
      <c r="D881" s="157" t="s">
        <v>671</v>
      </c>
      <c r="E881" s="44">
        <v>40848</v>
      </c>
      <c r="F881" s="146" t="str">
        <f t="shared" si="61"/>
        <v>2011-12</v>
      </c>
      <c r="G881" s="1"/>
      <c r="H881" s="161"/>
      <c r="I881" s="37"/>
      <c r="J881" s="135">
        <f t="shared" si="64"/>
        <v>0.76382508261777382</v>
      </c>
      <c r="K881" s="112"/>
      <c r="L881" s="37">
        <v>36.969412734499997</v>
      </c>
      <c r="M881" s="37" t="s">
        <v>288</v>
      </c>
      <c r="N881" s="37">
        <v>812.22926829268283</v>
      </c>
      <c r="O881" s="130">
        <f t="shared" si="62"/>
        <v>30027.639054553125</v>
      </c>
      <c r="P881" s="132">
        <f t="shared" si="63"/>
        <v>1128.3797089073119</v>
      </c>
      <c r="Q881" s="261">
        <v>4.9197174988885074E-2</v>
      </c>
      <c r="R881" s="92"/>
    </row>
    <row r="882" spans="1:18" x14ac:dyDescent="0.25">
      <c r="A882" s="353">
        <v>40848</v>
      </c>
      <c r="B882" s="353" t="s">
        <v>285</v>
      </c>
      <c r="C882" s="263" t="s">
        <v>676</v>
      </c>
      <c r="D882" s="157" t="s">
        <v>671</v>
      </c>
      <c r="E882" s="44">
        <v>40848</v>
      </c>
      <c r="F882" s="146" t="str">
        <f t="shared" si="61"/>
        <v>2011-12</v>
      </c>
      <c r="G882" s="1"/>
      <c r="H882" s="161"/>
      <c r="I882" s="37"/>
      <c r="J882" s="135">
        <f t="shared" si="64"/>
        <v>0.76382508261777382</v>
      </c>
      <c r="K882" s="112"/>
      <c r="L882" s="37">
        <v>49.548541581099997</v>
      </c>
      <c r="M882" s="37" t="s">
        <v>288</v>
      </c>
      <c r="N882" s="37">
        <v>812.22926829268283</v>
      </c>
      <c r="O882" s="130">
        <f t="shared" si="62"/>
        <v>40244.775673386423</v>
      </c>
      <c r="P882" s="132">
        <f t="shared" si="63"/>
        <v>1512.3196391455911</v>
      </c>
      <c r="Q882" s="261">
        <v>4.9197174988885074E-2</v>
      </c>
      <c r="R882" s="92"/>
    </row>
    <row r="883" spans="1:18" x14ac:dyDescent="0.25">
      <c r="A883" s="353">
        <v>40848</v>
      </c>
      <c r="B883" s="353" t="s">
        <v>285</v>
      </c>
      <c r="C883" s="263" t="s">
        <v>676</v>
      </c>
      <c r="D883" s="157" t="s">
        <v>671</v>
      </c>
      <c r="E883" s="44">
        <v>40848</v>
      </c>
      <c r="F883" s="146" t="str">
        <f t="shared" si="61"/>
        <v>2011-12</v>
      </c>
      <c r="G883" s="1"/>
      <c r="H883" s="161"/>
      <c r="I883" s="37"/>
      <c r="J883" s="135">
        <f t="shared" si="64"/>
        <v>0.76382508261777382</v>
      </c>
      <c r="K883" s="112"/>
      <c r="L883" s="37">
        <v>21.5232440399</v>
      </c>
      <c r="M883" s="37" t="s">
        <v>288</v>
      </c>
      <c r="N883" s="37">
        <v>812.22926829268283</v>
      </c>
      <c r="O883" s="130">
        <f t="shared" si="62"/>
        <v>17481.808757812825</v>
      </c>
      <c r="P883" s="132">
        <f t="shared" si="63"/>
        <v>656.93204322445854</v>
      </c>
      <c r="Q883" s="261">
        <v>4.9197174988885074E-2</v>
      </c>
      <c r="R883" s="92"/>
    </row>
    <row r="884" spans="1:18" x14ac:dyDescent="0.25">
      <c r="A884" s="353">
        <v>40848</v>
      </c>
      <c r="B884" s="353" t="s">
        <v>285</v>
      </c>
      <c r="C884" s="263" t="s">
        <v>676</v>
      </c>
      <c r="D884" s="157" t="s">
        <v>671</v>
      </c>
      <c r="E884" s="44">
        <v>40848</v>
      </c>
      <c r="F884" s="146" t="str">
        <f t="shared" si="61"/>
        <v>2011-12</v>
      </c>
      <c r="G884" s="1"/>
      <c r="H884" s="161"/>
      <c r="I884" s="37"/>
      <c r="J884" s="135">
        <f t="shared" si="64"/>
        <v>0.76382508261777382</v>
      </c>
      <c r="K884" s="112"/>
      <c r="L884" s="37">
        <v>16.6294701309</v>
      </c>
      <c r="M884" s="37" t="s">
        <v>288</v>
      </c>
      <c r="N884" s="37">
        <v>812.22926829268283</v>
      </c>
      <c r="O884" s="130">
        <f t="shared" si="62"/>
        <v>13506.942356515932</v>
      </c>
      <c r="P884" s="132">
        <f t="shared" si="63"/>
        <v>507.56436950584322</v>
      </c>
      <c r="Q884" s="261">
        <v>4.9197174988885074E-2</v>
      </c>
      <c r="R884" s="92"/>
    </row>
    <row r="885" spans="1:18" x14ac:dyDescent="0.25">
      <c r="A885" s="353">
        <v>40848</v>
      </c>
      <c r="B885" s="353" t="s">
        <v>285</v>
      </c>
      <c r="C885" s="263" t="s">
        <v>676</v>
      </c>
      <c r="D885" s="157" t="s">
        <v>671</v>
      </c>
      <c r="E885" s="44">
        <v>40848</v>
      </c>
      <c r="F885" s="146" t="str">
        <f t="shared" si="61"/>
        <v>2011-12</v>
      </c>
      <c r="G885" s="1"/>
      <c r="H885" s="161"/>
      <c r="I885" s="37"/>
      <c r="J885" s="135">
        <f t="shared" si="64"/>
        <v>0.76382508261777382</v>
      </c>
      <c r="K885" s="112"/>
      <c r="L885" s="37">
        <v>34.190050020000001</v>
      </c>
      <c r="M885" s="37" t="s">
        <v>288</v>
      </c>
      <c r="N885" s="37">
        <v>3336.4019512195118</v>
      </c>
      <c r="O885" s="130">
        <f t="shared" si="62"/>
        <v>114071.74959902071</v>
      </c>
      <c r="P885" s="132">
        <f t="shared" si="63"/>
        <v>4286.5923415838242</v>
      </c>
      <c r="Q885" s="261">
        <v>4.9197174988885074E-2</v>
      </c>
      <c r="R885" s="92"/>
    </row>
    <row r="886" spans="1:18" x14ac:dyDescent="0.25">
      <c r="A886" s="353">
        <v>40848</v>
      </c>
      <c r="B886" s="353" t="s">
        <v>285</v>
      </c>
      <c r="C886" s="263" t="s">
        <v>676</v>
      </c>
      <c r="D886" s="157" t="s">
        <v>671</v>
      </c>
      <c r="E886" s="44">
        <v>40848</v>
      </c>
      <c r="F886" s="146" t="str">
        <f t="shared" si="61"/>
        <v>2011-12</v>
      </c>
      <c r="G886" s="1"/>
      <c r="H886" s="161"/>
      <c r="I886" s="37"/>
      <c r="J886" s="135">
        <f t="shared" si="64"/>
        <v>0.76382508261777382</v>
      </c>
      <c r="K886" s="112"/>
      <c r="L886" s="37">
        <v>26.002839575700001</v>
      </c>
      <c r="M886" s="37" t="s">
        <v>288</v>
      </c>
      <c r="N886" s="37">
        <v>812.22926829268283</v>
      </c>
      <c r="O886" s="130">
        <f t="shared" si="62"/>
        <v>21120.267362102826</v>
      </c>
      <c r="P886" s="132">
        <f t="shared" si="63"/>
        <v>793.65817255221612</v>
      </c>
      <c r="Q886" s="261">
        <v>4.9197174988885074E-2</v>
      </c>
      <c r="R886" s="92"/>
    </row>
    <row r="887" spans="1:18" x14ac:dyDescent="0.25">
      <c r="A887" s="353">
        <v>40848</v>
      </c>
      <c r="B887" s="353" t="s">
        <v>285</v>
      </c>
      <c r="C887" s="263" t="s">
        <v>676</v>
      </c>
      <c r="D887" s="157" t="s">
        <v>671</v>
      </c>
      <c r="E887" s="44">
        <v>40848</v>
      </c>
      <c r="F887" s="146" t="str">
        <f t="shared" si="61"/>
        <v>2011-12</v>
      </c>
      <c r="G887" s="1"/>
      <c r="H887" s="161"/>
      <c r="I887" s="37"/>
      <c r="J887" s="135">
        <f t="shared" si="64"/>
        <v>0.76382508261777382</v>
      </c>
      <c r="K887" s="112"/>
      <c r="L887" s="37">
        <v>54.397642756099998</v>
      </c>
      <c r="M887" s="37" t="s">
        <v>288</v>
      </c>
      <c r="N887" s="37">
        <v>812.22926829268283</v>
      </c>
      <c r="O887" s="130">
        <f t="shared" si="62"/>
        <v>44183.35757263386</v>
      </c>
      <c r="P887" s="132">
        <f t="shared" si="63"/>
        <v>1660.3238125308626</v>
      </c>
      <c r="Q887" s="261">
        <v>4.9197174988885074E-2</v>
      </c>
      <c r="R887" s="92"/>
    </row>
    <row r="888" spans="1:18" x14ac:dyDescent="0.25">
      <c r="A888" s="353">
        <v>40848</v>
      </c>
      <c r="B888" s="353" t="s">
        <v>285</v>
      </c>
      <c r="C888" s="263" t="s">
        <v>676</v>
      </c>
      <c r="D888" s="157" t="s">
        <v>671</v>
      </c>
      <c r="E888" s="44">
        <v>40848</v>
      </c>
      <c r="F888" s="146" t="str">
        <f t="shared" si="61"/>
        <v>2011-12</v>
      </c>
      <c r="G888" s="1"/>
      <c r="H888" s="161"/>
      <c r="I888" s="37"/>
      <c r="J888" s="135">
        <f t="shared" si="64"/>
        <v>0.76382508261777382</v>
      </c>
      <c r="K888" s="112"/>
      <c r="L888" s="37">
        <v>41.9394620996</v>
      </c>
      <c r="M888" s="37" t="s">
        <v>288</v>
      </c>
      <c r="N888" s="37">
        <v>812.22926829268283</v>
      </c>
      <c r="O888" s="130">
        <f t="shared" si="62"/>
        <v>34064.458613746814</v>
      </c>
      <c r="P888" s="132">
        <f t="shared" si="63"/>
        <v>1280.0754606392027</v>
      </c>
      <c r="Q888" s="261">
        <v>4.9197174988885074E-2</v>
      </c>
      <c r="R888" s="92"/>
    </row>
    <row r="889" spans="1:18" x14ac:dyDescent="0.25">
      <c r="A889" s="353">
        <v>40848</v>
      </c>
      <c r="B889" s="353" t="s">
        <v>285</v>
      </c>
      <c r="C889" s="263" t="s">
        <v>676</v>
      </c>
      <c r="D889" s="157" t="s">
        <v>671</v>
      </c>
      <c r="E889" s="44">
        <v>40848</v>
      </c>
      <c r="F889" s="146" t="str">
        <f t="shared" si="61"/>
        <v>2011-12</v>
      </c>
      <c r="G889" s="1"/>
      <c r="H889" s="161"/>
      <c r="I889" s="37"/>
      <c r="J889" s="135">
        <f t="shared" si="64"/>
        <v>0.76382508261777382</v>
      </c>
      <c r="K889" s="112"/>
      <c r="L889" s="37">
        <v>6.4737405724999997</v>
      </c>
      <c r="M889" s="37" t="s">
        <v>288</v>
      </c>
      <c r="N889" s="37">
        <v>812.22926829268283</v>
      </c>
      <c r="O889" s="130">
        <f t="shared" si="62"/>
        <v>5258.1615683183281</v>
      </c>
      <c r="P889" s="132">
        <f t="shared" si="63"/>
        <v>197.59138602496927</v>
      </c>
      <c r="Q889" s="261">
        <v>4.9197174988885074E-2</v>
      </c>
      <c r="R889" s="92"/>
    </row>
    <row r="890" spans="1:18" x14ac:dyDescent="0.25">
      <c r="A890" s="353">
        <v>40848</v>
      </c>
      <c r="B890" s="353" t="s">
        <v>285</v>
      </c>
      <c r="C890" s="263" t="s">
        <v>676</v>
      </c>
      <c r="D890" s="157" t="s">
        <v>671</v>
      </c>
      <c r="E890" s="44">
        <v>40848</v>
      </c>
      <c r="F890" s="146" t="str">
        <f t="shared" si="61"/>
        <v>2011-12</v>
      </c>
      <c r="G890" s="1"/>
      <c r="H890" s="161"/>
      <c r="I890" s="37"/>
      <c r="J890" s="135">
        <f t="shared" si="64"/>
        <v>0.76382508261777382</v>
      </c>
      <c r="K890" s="112"/>
      <c r="L890" s="37">
        <v>6.6175817335299998</v>
      </c>
      <c r="M890" s="37" t="s">
        <v>288</v>
      </c>
      <c r="N890" s="37">
        <v>812.22926829268283</v>
      </c>
      <c r="O890" s="130">
        <f t="shared" si="62"/>
        <v>5374.9935692920953</v>
      </c>
      <c r="P890" s="132">
        <f t="shared" si="63"/>
        <v>201.98170319277367</v>
      </c>
      <c r="Q890" s="261">
        <v>4.9197174988885074E-2</v>
      </c>
      <c r="R890" s="92"/>
    </row>
    <row r="891" spans="1:18" x14ac:dyDescent="0.25">
      <c r="A891" s="353">
        <v>40848</v>
      </c>
      <c r="B891" s="353" t="s">
        <v>285</v>
      </c>
      <c r="C891" s="263" t="s">
        <v>676</v>
      </c>
      <c r="D891" s="157" t="s">
        <v>671</v>
      </c>
      <c r="E891" s="44">
        <v>40848</v>
      </c>
      <c r="F891" s="146" t="str">
        <f t="shared" ref="F891:F954" si="65">IF(E891="","-",IF(OR(E891&lt;$E$15,E891&gt;$E$16),"ERROR - date outside of range",IF(MONTH(E891)&gt;=7,YEAR(E891)&amp;"-"&amp;IF(YEAR(E891)=1999,"00",IF(AND(YEAR(E891)&gt;=2000,YEAR(E891)&lt;2009),"0","")&amp;RIGHT(YEAR(E891),2)+1),RIGHT(YEAR(E891),4)-1&amp;"-"&amp;RIGHT(YEAR(E891),2))))</f>
        <v>2011-12</v>
      </c>
      <c r="G891" s="1"/>
      <c r="H891" s="161"/>
      <c r="I891" s="37"/>
      <c r="J891" s="135">
        <f t="shared" si="64"/>
        <v>0.76382508261777382</v>
      </c>
      <c r="K891" s="112"/>
      <c r="L891" s="37">
        <v>67.798819559799995</v>
      </c>
      <c r="M891" s="37" t="s">
        <v>288</v>
      </c>
      <c r="N891" s="37">
        <v>812.22926829268283</v>
      </c>
      <c r="O891" s="130">
        <f t="shared" si="62"/>
        <v>55068.185602163983</v>
      </c>
      <c r="P891" s="132">
        <f t="shared" si="63"/>
        <v>2069.3542748044183</v>
      </c>
      <c r="Q891" s="261">
        <v>4.9197174988885074E-2</v>
      </c>
      <c r="R891" s="92"/>
    </row>
    <row r="892" spans="1:18" x14ac:dyDescent="0.25">
      <c r="A892" s="353">
        <v>40848</v>
      </c>
      <c r="B892" s="353" t="s">
        <v>285</v>
      </c>
      <c r="C892" s="263" t="s">
        <v>676</v>
      </c>
      <c r="D892" s="157" t="s">
        <v>671</v>
      </c>
      <c r="E892" s="44">
        <v>40848</v>
      </c>
      <c r="F892" s="146" t="str">
        <f t="shared" si="65"/>
        <v>2011-12</v>
      </c>
      <c r="G892" s="1"/>
      <c r="H892" s="161"/>
      <c r="I892" s="37"/>
      <c r="J892" s="135">
        <f t="shared" si="64"/>
        <v>0.76382508261777382</v>
      </c>
      <c r="K892" s="112"/>
      <c r="L892" s="37">
        <v>40.405725785800001</v>
      </c>
      <c r="M892" s="37" t="s">
        <v>288</v>
      </c>
      <c r="N892" s="37">
        <v>950.87219512195099</v>
      </c>
      <c r="O892" s="130">
        <f t="shared" si="62"/>
        <v>38420.681173439269</v>
      </c>
      <c r="P892" s="132">
        <f t="shared" si="63"/>
        <v>1443.7737499023374</v>
      </c>
      <c r="Q892" s="261">
        <v>4.9197174988885074E-2</v>
      </c>
      <c r="R892" s="92"/>
    </row>
    <row r="893" spans="1:18" x14ac:dyDescent="0.25">
      <c r="A893" s="353">
        <v>40848</v>
      </c>
      <c r="B893" s="353" t="s">
        <v>285</v>
      </c>
      <c r="C893" s="263" t="s">
        <v>676</v>
      </c>
      <c r="D893" s="157" t="s">
        <v>671</v>
      </c>
      <c r="E893" s="44">
        <v>40848</v>
      </c>
      <c r="F893" s="146" t="str">
        <f t="shared" si="65"/>
        <v>2011-12</v>
      </c>
      <c r="G893" s="1"/>
      <c r="H893" s="161"/>
      <c r="I893" s="37"/>
      <c r="J893" s="135">
        <f t="shared" si="64"/>
        <v>0.76382508261777382</v>
      </c>
      <c r="K893" s="112"/>
      <c r="L893" s="37">
        <v>24.818367179399999</v>
      </c>
      <c r="M893" s="37" t="s">
        <v>288</v>
      </c>
      <c r="N893" s="37">
        <v>3592.3639024390236</v>
      </c>
      <c r="O893" s="130">
        <f t="shared" si="62"/>
        <v>89156.606372753959</v>
      </c>
      <c r="P893" s="132">
        <f t="shared" si="63"/>
        <v>3350.3301862421126</v>
      </c>
      <c r="Q893" s="261">
        <v>4.9197174988885074E-2</v>
      </c>
      <c r="R893" s="92"/>
    </row>
    <row r="894" spans="1:18" x14ac:dyDescent="0.25">
      <c r="A894" s="353">
        <v>40848</v>
      </c>
      <c r="B894" s="353" t="s">
        <v>285</v>
      </c>
      <c r="C894" s="263" t="s">
        <v>676</v>
      </c>
      <c r="D894" s="157" t="s">
        <v>671</v>
      </c>
      <c r="E894" s="44">
        <v>40848</v>
      </c>
      <c r="F894" s="146" t="str">
        <f t="shared" si="65"/>
        <v>2011-12</v>
      </c>
      <c r="G894" s="1"/>
      <c r="H894" s="161"/>
      <c r="I894" s="37"/>
      <c r="J894" s="135">
        <f t="shared" si="64"/>
        <v>0.76382508261777382</v>
      </c>
      <c r="K894" s="112"/>
      <c r="L894" s="37">
        <v>32.101019128700003</v>
      </c>
      <c r="M894" s="37" t="s">
        <v>288</v>
      </c>
      <c r="N894" s="37">
        <v>950.87219512195099</v>
      </c>
      <c r="O894" s="130">
        <f t="shared" ref="O894:O957" si="66">IF(N894="","-",L894*N894)</f>
        <v>30523.966524558709</v>
      </c>
      <c r="P894" s="132">
        <f t="shared" ref="P894:P957" si="67">IF(O894="-","-",IF(OR(E894&lt;$E$15,E894&gt;$E$16),0,O894*J894))*Q894</f>
        <v>1147.0307205672741</v>
      </c>
      <c r="Q894" s="261">
        <v>4.9197174988885074E-2</v>
      </c>
      <c r="R894" s="92"/>
    </row>
    <row r="895" spans="1:18" x14ac:dyDescent="0.25">
      <c r="A895" s="353">
        <v>40848</v>
      </c>
      <c r="B895" s="353" t="s">
        <v>285</v>
      </c>
      <c r="C895" s="263" t="s">
        <v>676</v>
      </c>
      <c r="D895" s="157" t="s">
        <v>671</v>
      </c>
      <c r="E895" s="44">
        <v>40848</v>
      </c>
      <c r="F895" s="146" t="str">
        <f t="shared" si="65"/>
        <v>2011-12</v>
      </c>
      <c r="G895" s="1"/>
      <c r="H895" s="161"/>
      <c r="I895" s="37"/>
      <c r="J895" s="135">
        <f t="shared" si="64"/>
        <v>0.76382508261777382</v>
      </c>
      <c r="K895" s="112"/>
      <c r="L895" s="37">
        <v>12.177402432399999</v>
      </c>
      <c r="M895" s="37" t="s">
        <v>288</v>
      </c>
      <c r="N895" s="37">
        <v>950.87219512195099</v>
      </c>
      <c r="O895" s="130">
        <f t="shared" si="66"/>
        <v>11579.153381779573</v>
      </c>
      <c r="P895" s="132">
        <f t="shared" si="67"/>
        <v>435.12184552998968</v>
      </c>
      <c r="Q895" s="261">
        <v>4.9197174988885074E-2</v>
      </c>
      <c r="R895" s="92"/>
    </row>
    <row r="896" spans="1:18" x14ac:dyDescent="0.25">
      <c r="A896" s="353">
        <v>40848</v>
      </c>
      <c r="B896" s="353" t="s">
        <v>285</v>
      </c>
      <c r="C896" s="263" t="s">
        <v>676</v>
      </c>
      <c r="D896" s="157" t="s">
        <v>671</v>
      </c>
      <c r="E896" s="44">
        <v>40848</v>
      </c>
      <c r="F896" s="146" t="str">
        <f t="shared" si="65"/>
        <v>2011-12</v>
      </c>
      <c r="G896" s="1"/>
      <c r="H896" s="161"/>
      <c r="I896" s="37"/>
      <c r="J896" s="135">
        <f t="shared" si="64"/>
        <v>0.76382508261777382</v>
      </c>
      <c r="K896" s="112"/>
      <c r="L896" s="37">
        <v>25.563662032500002</v>
      </c>
      <c r="M896" s="37" t="s">
        <v>288</v>
      </c>
      <c r="N896" s="37">
        <v>812.22926829268283</v>
      </c>
      <c r="O896" s="130">
        <f t="shared" si="66"/>
        <v>20763.554507538913</v>
      </c>
      <c r="P896" s="132">
        <f t="shared" si="67"/>
        <v>780.2536039724132</v>
      </c>
      <c r="Q896" s="261">
        <v>4.9197174988885074E-2</v>
      </c>
      <c r="R896" s="92"/>
    </row>
    <row r="897" spans="1:18" x14ac:dyDescent="0.25">
      <c r="A897" s="353">
        <v>40848</v>
      </c>
      <c r="B897" s="353" t="s">
        <v>285</v>
      </c>
      <c r="C897" s="263" t="s">
        <v>676</v>
      </c>
      <c r="D897" s="157" t="s">
        <v>671</v>
      </c>
      <c r="E897" s="44">
        <v>40848</v>
      </c>
      <c r="F897" s="146" t="str">
        <f t="shared" si="65"/>
        <v>2011-12</v>
      </c>
      <c r="G897" s="1"/>
      <c r="H897" s="161"/>
      <c r="I897" s="37"/>
      <c r="J897" s="135">
        <f t="shared" si="64"/>
        <v>0.76382508261777382</v>
      </c>
      <c r="K897" s="112"/>
      <c r="L897" s="37">
        <v>88.9648131079</v>
      </c>
      <c r="M897" s="37" t="s">
        <v>288</v>
      </c>
      <c r="N897" s="37">
        <v>812.22926829268283</v>
      </c>
      <c r="O897" s="130">
        <f t="shared" si="66"/>
        <v>72259.825054424902</v>
      </c>
      <c r="P897" s="132">
        <f t="shared" si="67"/>
        <v>2715.382325346081</v>
      </c>
      <c r="Q897" s="261">
        <v>4.9197174988885074E-2</v>
      </c>
      <c r="R897" s="92"/>
    </row>
    <row r="898" spans="1:18" x14ac:dyDescent="0.25">
      <c r="A898" s="353">
        <v>40848</v>
      </c>
      <c r="B898" s="353" t="s">
        <v>285</v>
      </c>
      <c r="C898" s="263" t="s">
        <v>676</v>
      </c>
      <c r="D898" s="157" t="s">
        <v>671</v>
      </c>
      <c r="E898" s="44">
        <v>40848</v>
      </c>
      <c r="F898" s="146" t="str">
        <f t="shared" si="65"/>
        <v>2011-12</v>
      </c>
      <c r="G898" s="1"/>
      <c r="H898" s="161"/>
      <c r="I898" s="37"/>
      <c r="J898" s="135">
        <f t="shared" si="64"/>
        <v>0.76382508261777382</v>
      </c>
      <c r="K898" s="112"/>
      <c r="L898" s="37">
        <v>6.0755900125000002</v>
      </c>
      <c r="M898" s="37" t="s">
        <v>288</v>
      </c>
      <c r="N898" s="37">
        <v>812.22926829268283</v>
      </c>
      <c r="O898" s="130">
        <f t="shared" si="66"/>
        <v>4934.7720302992066</v>
      </c>
      <c r="P898" s="132">
        <f t="shared" si="67"/>
        <v>185.43904224227168</v>
      </c>
      <c r="Q898" s="261">
        <v>4.9197174988885074E-2</v>
      </c>
      <c r="R898" s="92"/>
    </row>
    <row r="899" spans="1:18" x14ac:dyDescent="0.25">
      <c r="A899" s="353">
        <v>40848</v>
      </c>
      <c r="B899" s="353" t="s">
        <v>285</v>
      </c>
      <c r="C899" s="263" t="s">
        <v>676</v>
      </c>
      <c r="D899" s="157" t="s">
        <v>671</v>
      </c>
      <c r="E899" s="44">
        <v>40848</v>
      </c>
      <c r="F899" s="146" t="str">
        <f t="shared" si="65"/>
        <v>2011-12</v>
      </c>
      <c r="G899" s="1"/>
      <c r="H899" s="161"/>
      <c r="I899" s="37"/>
      <c r="J899" s="135">
        <f t="shared" si="64"/>
        <v>0.76382508261777382</v>
      </c>
      <c r="K899" s="112"/>
      <c r="L899" s="37">
        <v>56.145213017800003</v>
      </c>
      <c r="M899" s="37" t="s">
        <v>288</v>
      </c>
      <c r="N899" s="37">
        <v>950.87219512195099</v>
      </c>
      <c r="O899" s="130">
        <f t="shared" si="66"/>
        <v>53386.921947825031</v>
      </c>
      <c r="P899" s="132">
        <f t="shared" si="67"/>
        <v>2006.1756882551119</v>
      </c>
      <c r="Q899" s="261">
        <v>4.9197174988885074E-2</v>
      </c>
      <c r="R899" s="92"/>
    </row>
    <row r="900" spans="1:18" x14ac:dyDescent="0.25">
      <c r="A900" s="353">
        <v>40848</v>
      </c>
      <c r="B900" s="353" t="s">
        <v>285</v>
      </c>
      <c r="C900" s="263" t="s">
        <v>676</v>
      </c>
      <c r="D900" s="157" t="s">
        <v>671</v>
      </c>
      <c r="E900" s="44">
        <v>40848</v>
      </c>
      <c r="F900" s="146" t="str">
        <f t="shared" si="65"/>
        <v>2011-12</v>
      </c>
      <c r="G900" s="1"/>
      <c r="H900" s="161"/>
      <c r="I900" s="37"/>
      <c r="J900" s="135">
        <f t="shared" si="64"/>
        <v>0.76382508261777382</v>
      </c>
      <c r="K900" s="112"/>
      <c r="L900" s="37">
        <v>35.740381878199997</v>
      </c>
      <c r="M900" s="37" t="s">
        <v>288</v>
      </c>
      <c r="N900" s="37">
        <v>3336.4019512195118</v>
      </c>
      <c r="O900" s="130">
        <f t="shared" si="66"/>
        <v>119244.27983575696</v>
      </c>
      <c r="P900" s="132">
        <f t="shared" si="67"/>
        <v>4480.9658703264276</v>
      </c>
      <c r="Q900" s="261">
        <v>4.9197174988885074E-2</v>
      </c>
      <c r="R900" s="92"/>
    </row>
    <row r="901" spans="1:18" x14ac:dyDescent="0.25">
      <c r="A901" s="353">
        <v>40848</v>
      </c>
      <c r="B901" s="353" t="s">
        <v>285</v>
      </c>
      <c r="C901" s="263" t="s">
        <v>676</v>
      </c>
      <c r="D901" s="157" t="s">
        <v>671</v>
      </c>
      <c r="E901" s="44">
        <v>40848</v>
      </c>
      <c r="F901" s="146" t="str">
        <f t="shared" si="65"/>
        <v>2011-12</v>
      </c>
      <c r="G901" s="1"/>
      <c r="H901" s="161"/>
      <c r="I901" s="37"/>
      <c r="J901" s="135">
        <f t="shared" si="64"/>
        <v>0.76382508261777382</v>
      </c>
      <c r="K901" s="112"/>
      <c r="L901" s="37">
        <v>5.5467208330700002</v>
      </c>
      <c r="M901" s="37" t="s">
        <v>288</v>
      </c>
      <c r="N901" s="37">
        <v>812.22926829268283</v>
      </c>
      <c r="O901" s="130">
        <f t="shared" si="66"/>
        <v>4505.2090036682266</v>
      </c>
      <c r="P901" s="132">
        <f t="shared" si="67"/>
        <v>169.2969072556813</v>
      </c>
      <c r="Q901" s="261">
        <v>4.9197174988885074E-2</v>
      </c>
      <c r="R901" s="92"/>
    </row>
    <row r="902" spans="1:18" x14ac:dyDescent="0.25">
      <c r="A902" s="353">
        <v>40848</v>
      </c>
      <c r="B902" s="353" t="s">
        <v>285</v>
      </c>
      <c r="C902" s="263" t="s">
        <v>676</v>
      </c>
      <c r="D902" s="157" t="s">
        <v>671</v>
      </c>
      <c r="E902" s="44">
        <v>40848</v>
      </c>
      <c r="F902" s="146" t="str">
        <f t="shared" si="65"/>
        <v>2011-12</v>
      </c>
      <c r="G902" s="1"/>
      <c r="H902" s="161"/>
      <c r="I902" s="37"/>
      <c r="J902" s="135">
        <f t="shared" si="64"/>
        <v>0.76382508261777382</v>
      </c>
      <c r="K902" s="112"/>
      <c r="L902" s="37">
        <v>23.4758108069</v>
      </c>
      <c r="M902" s="37" t="s">
        <v>288</v>
      </c>
      <c r="N902" s="37">
        <v>950.87219512195099</v>
      </c>
      <c r="O902" s="130">
        <f t="shared" si="66"/>
        <v>22322.495754224623</v>
      </c>
      <c r="P902" s="132">
        <f t="shared" si="67"/>
        <v>838.83555465268466</v>
      </c>
      <c r="Q902" s="261">
        <v>4.9197174988885074E-2</v>
      </c>
      <c r="R902" s="92"/>
    </row>
    <row r="903" spans="1:18" x14ac:dyDescent="0.25">
      <c r="A903" s="353">
        <v>40848</v>
      </c>
      <c r="B903" s="353" t="s">
        <v>285</v>
      </c>
      <c r="C903" s="263" t="s">
        <v>676</v>
      </c>
      <c r="D903" s="157" t="s">
        <v>671</v>
      </c>
      <c r="E903" s="44">
        <v>40848</v>
      </c>
      <c r="F903" s="146" t="str">
        <f t="shared" si="65"/>
        <v>2011-12</v>
      </c>
      <c r="G903" s="1"/>
      <c r="H903" s="161"/>
      <c r="I903" s="37"/>
      <c r="J903" s="135">
        <f t="shared" si="64"/>
        <v>0.76382508261777382</v>
      </c>
      <c r="K903" s="112"/>
      <c r="L903" s="37">
        <v>7.0696342903999998</v>
      </c>
      <c r="M903" s="37" t="s">
        <v>288</v>
      </c>
      <c r="N903" s="37">
        <v>950.87219512195099</v>
      </c>
      <c r="O903" s="130">
        <f t="shared" si="66"/>
        <v>6722.3186764220645</v>
      </c>
      <c r="P903" s="132">
        <f t="shared" si="67"/>
        <v>252.61153490963997</v>
      </c>
      <c r="Q903" s="261">
        <v>4.9197174988885074E-2</v>
      </c>
      <c r="R903" s="92"/>
    </row>
    <row r="904" spans="1:18" x14ac:dyDescent="0.25">
      <c r="A904" s="353">
        <v>40848</v>
      </c>
      <c r="B904" s="353" t="s">
        <v>285</v>
      </c>
      <c r="C904" s="263" t="s">
        <v>676</v>
      </c>
      <c r="D904" s="157" t="s">
        <v>671</v>
      </c>
      <c r="E904" s="44">
        <v>40848</v>
      </c>
      <c r="F904" s="146" t="str">
        <f t="shared" si="65"/>
        <v>2011-12</v>
      </c>
      <c r="G904" s="1"/>
      <c r="H904" s="161"/>
      <c r="I904" s="37"/>
      <c r="J904" s="135">
        <f t="shared" si="64"/>
        <v>0.76382508261777382</v>
      </c>
      <c r="K904" s="112"/>
      <c r="L904" s="37">
        <v>6.4415595937600001</v>
      </c>
      <c r="M904" s="37" t="s">
        <v>288</v>
      </c>
      <c r="N904" s="37">
        <v>812.22926829268283</v>
      </c>
      <c r="O904" s="130">
        <f t="shared" si="66"/>
        <v>5232.0232355033959</v>
      </c>
      <c r="P904" s="132">
        <f t="shared" si="67"/>
        <v>196.60915880692352</v>
      </c>
      <c r="Q904" s="261">
        <v>4.9197174988885074E-2</v>
      </c>
      <c r="R904" s="92"/>
    </row>
    <row r="905" spans="1:18" x14ac:dyDescent="0.25">
      <c r="A905" s="353">
        <v>40848</v>
      </c>
      <c r="B905" s="353" t="s">
        <v>285</v>
      </c>
      <c r="C905" s="263" t="s">
        <v>676</v>
      </c>
      <c r="D905" s="157" t="s">
        <v>671</v>
      </c>
      <c r="E905" s="44">
        <v>40848</v>
      </c>
      <c r="F905" s="146" t="str">
        <f t="shared" si="65"/>
        <v>2011-12</v>
      </c>
      <c r="G905" s="1"/>
      <c r="H905" s="161"/>
      <c r="I905" s="37"/>
      <c r="J905" s="135">
        <f t="shared" si="64"/>
        <v>0.76382508261777382</v>
      </c>
      <c r="K905" s="112"/>
      <c r="L905" s="37">
        <v>36.470543415199998</v>
      </c>
      <c r="M905" s="37" t="s">
        <v>288</v>
      </c>
      <c r="N905" s="37">
        <v>950.87219512195099</v>
      </c>
      <c r="O905" s="130">
        <f t="shared" si="66"/>
        <v>34678.825674501641</v>
      </c>
      <c r="P905" s="132">
        <f t="shared" si="67"/>
        <v>1303.1621683193277</v>
      </c>
      <c r="Q905" s="261">
        <v>4.9197174988885074E-2</v>
      </c>
      <c r="R905" s="92"/>
    </row>
    <row r="906" spans="1:18" x14ac:dyDescent="0.25">
      <c r="A906" s="353">
        <v>40848</v>
      </c>
      <c r="B906" s="353" t="s">
        <v>285</v>
      </c>
      <c r="C906" s="263" t="s">
        <v>676</v>
      </c>
      <c r="D906" s="157" t="s">
        <v>671</v>
      </c>
      <c r="E906" s="44">
        <v>40848</v>
      </c>
      <c r="F906" s="146" t="str">
        <f t="shared" si="65"/>
        <v>2011-12</v>
      </c>
      <c r="G906" s="1"/>
      <c r="H906" s="161"/>
      <c r="I906" s="37"/>
      <c r="J906" s="135">
        <f t="shared" si="64"/>
        <v>0.76382508261777382</v>
      </c>
      <c r="K906" s="112"/>
      <c r="L906" s="37">
        <v>16.4645861025</v>
      </c>
      <c r="M906" s="37" t="s">
        <v>288</v>
      </c>
      <c r="N906" s="37">
        <v>3592.3639024390236</v>
      </c>
      <c r="O906" s="130">
        <f t="shared" si="66"/>
        <v>59146.784783220217</v>
      </c>
      <c r="P906" s="132">
        <f t="shared" si="67"/>
        <v>2222.6200226811902</v>
      </c>
      <c r="Q906" s="261">
        <v>4.9197174988885074E-2</v>
      </c>
      <c r="R906" s="92"/>
    </row>
    <row r="907" spans="1:18" x14ac:dyDescent="0.25">
      <c r="A907" s="353">
        <v>40848</v>
      </c>
      <c r="B907" s="353" t="s">
        <v>285</v>
      </c>
      <c r="C907" s="263" t="s">
        <v>676</v>
      </c>
      <c r="D907" s="157" t="s">
        <v>671</v>
      </c>
      <c r="E907" s="44">
        <v>40848</v>
      </c>
      <c r="F907" s="146" t="str">
        <f t="shared" si="65"/>
        <v>2011-12</v>
      </c>
      <c r="G907" s="1"/>
      <c r="H907" s="161"/>
      <c r="I907" s="37"/>
      <c r="J907" s="135">
        <f t="shared" si="64"/>
        <v>0.76382508261777382</v>
      </c>
      <c r="K907" s="112"/>
      <c r="L907" s="37">
        <v>74.777689816700004</v>
      </c>
      <c r="M907" s="37" t="s">
        <v>288</v>
      </c>
      <c r="N907" s="37">
        <v>812.22926829268283</v>
      </c>
      <c r="O907" s="130">
        <f t="shared" si="66"/>
        <v>60736.628284435443</v>
      </c>
      <c r="P907" s="132">
        <f t="shared" si="67"/>
        <v>2282.3632194023921</v>
      </c>
      <c r="Q907" s="261">
        <v>4.9197174988885074E-2</v>
      </c>
      <c r="R907" s="92"/>
    </row>
    <row r="908" spans="1:18" x14ac:dyDescent="0.25">
      <c r="A908" s="353">
        <v>40848</v>
      </c>
      <c r="B908" s="353" t="s">
        <v>285</v>
      </c>
      <c r="C908" s="263" t="s">
        <v>676</v>
      </c>
      <c r="D908" s="157" t="s">
        <v>671</v>
      </c>
      <c r="E908" s="44">
        <v>40848</v>
      </c>
      <c r="F908" s="146" t="str">
        <f t="shared" si="65"/>
        <v>2011-12</v>
      </c>
      <c r="G908" s="1"/>
      <c r="H908" s="161"/>
      <c r="I908" s="37"/>
      <c r="J908" s="135">
        <f t="shared" si="64"/>
        <v>0.76382508261777382</v>
      </c>
      <c r="K908" s="112"/>
      <c r="L908" s="37">
        <v>98.867290058899997</v>
      </c>
      <c r="M908" s="37" t="s">
        <v>288</v>
      </c>
      <c r="N908" s="37">
        <v>812.22926829268283</v>
      </c>
      <c r="O908" s="130">
        <f t="shared" si="66"/>
        <v>80302.906662620779</v>
      </c>
      <c r="P908" s="132">
        <f t="shared" si="67"/>
        <v>3017.6255375841629</v>
      </c>
      <c r="Q908" s="261">
        <v>4.9197174988885074E-2</v>
      </c>
      <c r="R908" s="92"/>
    </row>
    <row r="909" spans="1:18" x14ac:dyDescent="0.25">
      <c r="A909" s="353">
        <v>40848</v>
      </c>
      <c r="B909" s="353" t="s">
        <v>285</v>
      </c>
      <c r="C909" s="263" t="s">
        <v>676</v>
      </c>
      <c r="D909" s="157" t="s">
        <v>671</v>
      </c>
      <c r="E909" s="44">
        <v>40848</v>
      </c>
      <c r="F909" s="146" t="str">
        <f t="shared" si="65"/>
        <v>2011-12</v>
      </c>
      <c r="G909" s="1"/>
      <c r="H909" s="161"/>
      <c r="I909" s="37"/>
      <c r="J909" s="135">
        <f t="shared" si="64"/>
        <v>0.76382508261777382</v>
      </c>
      <c r="K909" s="112"/>
      <c r="L909" s="37">
        <v>10.3067417257</v>
      </c>
      <c r="M909" s="37" t="s">
        <v>288</v>
      </c>
      <c r="N909" s="37">
        <v>812.22926829268283</v>
      </c>
      <c r="O909" s="130">
        <f t="shared" si="66"/>
        <v>8371.4372903469739</v>
      </c>
      <c r="P909" s="132">
        <f t="shared" si="67"/>
        <v>314.58217396499583</v>
      </c>
      <c r="Q909" s="261">
        <v>4.9197174988885074E-2</v>
      </c>
      <c r="R909" s="92"/>
    </row>
    <row r="910" spans="1:18" x14ac:dyDescent="0.25">
      <c r="A910" s="353">
        <v>40848</v>
      </c>
      <c r="B910" s="353" t="s">
        <v>285</v>
      </c>
      <c r="C910" s="263" t="s">
        <v>676</v>
      </c>
      <c r="D910" s="157" t="s">
        <v>671</v>
      </c>
      <c r="E910" s="44">
        <v>40848</v>
      </c>
      <c r="F910" s="146" t="str">
        <f t="shared" si="65"/>
        <v>2011-12</v>
      </c>
      <c r="G910" s="1"/>
      <c r="H910" s="161"/>
      <c r="I910" s="37"/>
      <c r="J910" s="135">
        <f t="shared" si="64"/>
        <v>0.76382508261777382</v>
      </c>
      <c r="K910" s="112"/>
      <c r="L910" s="37">
        <v>43.016461441300002</v>
      </c>
      <c r="M910" s="37" t="s">
        <v>288</v>
      </c>
      <c r="N910" s="37">
        <v>3336.4019512195118</v>
      </c>
      <c r="O910" s="130">
        <f t="shared" si="66"/>
        <v>143520.20588731222</v>
      </c>
      <c r="P910" s="132">
        <f t="shared" si="67"/>
        <v>5393.2074995049234</v>
      </c>
      <c r="Q910" s="261">
        <v>4.9197174988885074E-2</v>
      </c>
      <c r="R910" s="92"/>
    </row>
    <row r="911" spans="1:18" x14ac:dyDescent="0.25">
      <c r="A911" s="353">
        <v>44097</v>
      </c>
      <c r="B911" s="353" t="s">
        <v>285</v>
      </c>
      <c r="C911" s="263" t="s">
        <v>673</v>
      </c>
      <c r="D911" s="157" t="s">
        <v>677</v>
      </c>
      <c r="E911" s="44">
        <v>44097</v>
      </c>
      <c r="F911" s="146" t="str">
        <f t="shared" si="65"/>
        <v>2020-21</v>
      </c>
      <c r="G911" s="1"/>
      <c r="H911" s="161"/>
      <c r="I911" s="37"/>
      <c r="J911" s="135">
        <f t="shared" si="64"/>
        <v>0.76382508261777382</v>
      </c>
      <c r="K911" s="112"/>
      <c r="L911" s="37">
        <v>118.68244796</v>
      </c>
      <c r="M911" s="37" t="s">
        <v>288</v>
      </c>
      <c r="N911" s="37">
        <v>4137.5668292682922</v>
      </c>
      <c r="O911" s="130">
        <f t="shared" si="66"/>
        <v>491056.5598956563</v>
      </c>
      <c r="P911" s="132">
        <f t="shared" si="67"/>
        <v>55450.200436924308</v>
      </c>
      <c r="Q911" s="261">
        <v>0.1478351436337077</v>
      </c>
      <c r="R911" s="92"/>
    </row>
    <row r="912" spans="1:18" x14ac:dyDescent="0.25">
      <c r="A912" s="353">
        <v>44097</v>
      </c>
      <c r="B912" s="353" t="s">
        <v>285</v>
      </c>
      <c r="C912" s="263" t="s">
        <v>673</v>
      </c>
      <c r="D912" s="157" t="s">
        <v>674</v>
      </c>
      <c r="E912" s="44">
        <v>44097</v>
      </c>
      <c r="F912" s="146" t="str">
        <f t="shared" si="65"/>
        <v>2020-21</v>
      </c>
      <c r="G912" s="1"/>
      <c r="H912" s="161"/>
      <c r="I912" s="37"/>
      <c r="J912" s="135">
        <f t="shared" si="64"/>
        <v>0.76382508261777382</v>
      </c>
      <c r="K912" s="112"/>
      <c r="L912" s="37">
        <v>108.51907355900001</v>
      </c>
      <c r="M912" s="37" t="s">
        <v>288</v>
      </c>
      <c r="N912" s="37">
        <v>3875.3912195121943</v>
      </c>
      <c r="O912" s="130">
        <f t="shared" si="66"/>
        <v>420553.86482014653</v>
      </c>
      <c r="P912" s="132">
        <f t="shared" si="67"/>
        <v>47489.022657095695</v>
      </c>
      <c r="Q912" s="261">
        <v>0.1478351436337077</v>
      </c>
      <c r="R912" s="92"/>
    </row>
    <row r="913" spans="1:18" x14ac:dyDescent="0.25">
      <c r="A913" s="353">
        <v>44097</v>
      </c>
      <c r="B913" s="353" t="s">
        <v>285</v>
      </c>
      <c r="C913" s="263" t="s">
        <v>673</v>
      </c>
      <c r="D913" s="157" t="s">
        <v>674</v>
      </c>
      <c r="E913" s="44">
        <v>44097</v>
      </c>
      <c r="F913" s="146" t="str">
        <f t="shared" si="65"/>
        <v>2020-21</v>
      </c>
      <c r="G913" s="1"/>
      <c r="H913" s="161"/>
      <c r="I913" s="37"/>
      <c r="J913" s="135">
        <f t="shared" si="64"/>
        <v>0.76382508261777382</v>
      </c>
      <c r="K913" s="112"/>
      <c r="L913" s="37">
        <v>9.1359402132100005</v>
      </c>
      <c r="M913" s="37" t="s">
        <v>288</v>
      </c>
      <c r="N913" s="37">
        <v>3875.3912195121943</v>
      </c>
      <c r="O913" s="130">
        <f t="shared" si="66"/>
        <v>35405.342484262401</v>
      </c>
      <c r="P913" s="132">
        <f t="shared" si="67"/>
        <v>3997.9780286561399</v>
      </c>
      <c r="Q913" s="261">
        <v>0.1478351436337077</v>
      </c>
      <c r="R913" s="92"/>
    </row>
    <row r="914" spans="1:18" x14ac:dyDescent="0.25">
      <c r="A914" s="353">
        <v>44097</v>
      </c>
      <c r="B914" s="353" t="s">
        <v>285</v>
      </c>
      <c r="C914" s="263" t="s">
        <v>673</v>
      </c>
      <c r="D914" s="157" t="s">
        <v>674</v>
      </c>
      <c r="E914" s="44">
        <v>44097</v>
      </c>
      <c r="F914" s="146" t="str">
        <f t="shared" si="65"/>
        <v>2020-21</v>
      </c>
      <c r="G914" s="1"/>
      <c r="H914" s="161"/>
      <c r="I914" s="37"/>
      <c r="J914" s="135">
        <f t="shared" si="64"/>
        <v>0.76382508261777382</v>
      </c>
      <c r="K914" s="112"/>
      <c r="L914" s="37">
        <v>7.1765766211999997</v>
      </c>
      <c r="M914" s="37" t="s">
        <v>288</v>
      </c>
      <c r="N914" s="37">
        <v>3875.3912195121943</v>
      </c>
      <c r="O914" s="130">
        <f t="shared" si="66"/>
        <v>27812.042023954971</v>
      </c>
      <c r="P914" s="132">
        <f t="shared" si="67"/>
        <v>3140.5410918778089</v>
      </c>
      <c r="Q914" s="261">
        <v>0.1478351436337077</v>
      </c>
      <c r="R914" s="92"/>
    </row>
    <row r="915" spans="1:18" x14ac:dyDescent="0.25">
      <c r="A915" s="353">
        <v>44097</v>
      </c>
      <c r="B915" s="353" t="s">
        <v>285</v>
      </c>
      <c r="C915" s="263" t="s">
        <v>673</v>
      </c>
      <c r="D915" s="157" t="s">
        <v>674</v>
      </c>
      <c r="E915" s="44">
        <v>44097</v>
      </c>
      <c r="F915" s="146" t="str">
        <f t="shared" si="65"/>
        <v>2020-21</v>
      </c>
      <c r="G915" s="1"/>
      <c r="H915" s="161"/>
      <c r="I915" s="37"/>
      <c r="J915" s="135">
        <f t="shared" si="64"/>
        <v>0.76382508261777382</v>
      </c>
      <c r="K915" s="112"/>
      <c r="L915" s="37">
        <v>115.753646331</v>
      </c>
      <c r="M915" s="37" t="s">
        <v>288</v>
      </c>
      <c r="N915" s="37">
        <v>3875.3912195121943</v>
      </c>
      <c r="O915" s="130">
        <f t="shared" si="66"/>
        <v>448590.66461767734</v>
      </c>
      <c r="P915" s="132">
        <f t="shared" si="67"/>
        <v>50654.943439649433</v>
      </c>
      <c r="Q915" s="261">
        <v>0.1478351436337077</v>
      </c>
      <c r="R915" s="92"/>
    </row>
    <row r="916" spans="1:18" x14ac:dyDescent="0.25">
      <c r="A916" s="353">
        <v>44097</v>
      </c>
      <c r="B916" s="353" t="s">
        <v>285</v>
      </c>
      <c r="C916" s="263" t="s">
        <v>673</v>
      </c>
      <c r="D916" s="157" t="s">
        <v>674</v>
      </c>
      <c r="E916" s="44">
        <v>44097</v>
      </c>
      <c r="F916" s="146" t="str">
        <f t="shared" si="65"/>
        <v>2020-21</v>
      </c>
      <c r="G916" s="1"/>
      <c r="H916" s="161"/>
      <c r="I916" s="37"/>
      <c r="J916" s="135">
        <f t="shared" si="64"/>
        <v>0.76382508261777382</v>
      </c>
      <c r="K916" s="112"/>
      <c r="L916" s="37">
        <v>37.201511716600002</v>
      </c>
      <c r="M916" s="37" t="s">
        <v>288</v>
      </c>
      <c r="N916" s="37">
        <v>3875.3912195121943</v>
      </c>
      <c r="O916" s="130">
        <f t="shared" si="66"/>
        <v>144170.41185909166</v>
      </c>
      <c r="P916" s="132">
        <f t="shared" si="67"/>
        <v>16279.750414818307</v>
      </c>
      <c r="Q916" s="261">
        <v>0.1478351436337077</v>
      </c>
      <c r="R916" s="92"/>
    </row>
    <row r="917" spans="1:18" x14ac:dyDescent="0.25">
      <c r="A917" s="353">
        <v>44097</v>
      </c>
      <c r="B917" s="353" t="s">
        <v>285</v>
      </c>
      <c r="C917" s="263" t="s">
        <v>673</v>
      </c>
      <c r="D917" s="157" t="s">
        <v>674</v>
      </c>
      <c r="E917" s="44">
        <v>44097</v>
      </c>
      <c r="F917" s="146" t="str">
        <f t="shared" si="65"/>
        <v>2020-21</v>
      </c>
      <c r="G917" s="1"/>
      <c r="H917" s="161"/>
      <c r="I917" s="37"/>
      <c r="J917" s="135">
        <f t="shared" si="64"/>
        <v>0.76382508261777382</v>
      </c>
      <c r="K917" s="112"/>
      <c r="L917" s="37">
        <v>35.786145545399997</v>
      </c>
      <c r="M917" s="37" t="s">
        <v>288</v>
      </c>
      <c r="N917" s="37">
        <v>3875.3912195121943</v>
      </c>
      <c r="O917" s="130">
        <f t="shared" si="66"/>
        <v>138685.31422682857</v>
      </c>
      <c r="P917" s="132">
        <f t="shared" si="67"/>
        <v>15660.372143627477</v>
      </c>
      <c r="Q917" s="261">
        <v>0.1478351436337077</v>
      </c>
      <c r="R917" s="92"/>
    </row>
    <row r="918" spans="1:18" x14ac:dyDescent="0.25">
      <c r="A918" s="353">
        <v>41508</v>
      </c>
      <c r="B918" s="353" t="s">
        <v>285</v>
      </c>
      <c r="C918" s="263" t="s">
        <v>678</v>
      </c>
      <c r="D918" s="157" t="s">
        <v>674</v>
      </c>
      <c r="E918" s="44">
        <v>41508</v>
      </c>
      <c r="F918" s="146" t="str">
        <f t="shared" si="65"/>
        <v>2013-14</v>
      </c>
      <c r="G918" s="1"/>
      <c r="H918" s="161"/>
      <c r="I918" s="37"/>
      <c r="J918" s="135">
        <f t="shared" si="64"/>
        <v>0.76382508261777382</v>
      </c>
      <c r="K918" s="112"/>
      <c r="L918" s="37">
        <v>179.80160260599999</v>
      </c>
      <c r="M918" s="37" t="s">
        <v>288</v>
      </c>
      <c r="N918" s="37">
        <v>4137.5668292682922</v>
      </c>
      <c r="O918" s="130">
        <f t="shared" si="66"/>
        <v>743941.14679186489</v>
      </c>
      <c r="P918" s="132">
        <f t="shared" si="67"/>
        <v>29108.977443452008</v>
      </c>
      <c r="Q918" s="261">
        <v>5.1226472853672503E-2</v>
      </c>
      <c r="R918" s="92"/>
    </row>
    <row r="919" spans="1:18" x14ac:dyDescent="0.25">
      <c r="A919" s="353">
        <v>41508</v>
      </c>
      <c r="B919" s="353" t="s">
        <v>285</v>
      </c>
      <c r="C919" s="263" t="s">
        <v>678</v>
      </c>
      <c r="D919" s="157" t="s">
        <v>674</v>
      </c>
      <c r="E919" s="44">
        <v>41508</v>
      </c>
      <c r="F919" s="146" t="str">
        <f t="shared" si="65"/>
        <v>2013-14</v>
      </c>
      <c r="G919" s="1"/>
      <c r="H919" s="161"/>
      <c r="I919" s="37"/>
      <c r="J919" s="135">
        <f t="shared" si="64"/>
        <v>0.76382508261777382</v>
      </c>
      <c r="K919" s="112"/>
      <c r="L919" s="37">
        <v>45.815649771700002</v>
      </c>
      <c r="M919" s="37" t="s">
        <v>288</v>
      </c>
      <c r="N919" s="37">
        <v>1361.4565853658535</v>
      </c>
      <c r="O919" s="130">
        <f t="shared" si="66"/>
        <v>62376.018094496532</v>
      </c>
      <c r="P919" s="132">
        <f t="shared" si="67"/>
        <v>2440.6528816896312</v>
      </c>
      <c r="Q919" s="261">
        <v>5.1226472853672503E-2</v>
      </c>
      <c r="R919" s="92"/>
    </row>
    <row r="920" spans="1:18" x14ac:dyDescent="0.25">
      <c r="A920" s="353">
        <v>41508</v>
      </c>
      <c r="B920" s="353" t="s">
        <v>285</v>
      </c>
      <c r="C920" s="263" t="s">
        <v>678</v>
      </c>
      <c r="D920" s="157" t="s">
        <v>674</v>
      </c>
      <c r="E920" s="44">
        <v>41508</v>
      </c>
      <c r="F920" s="146" t="str">
        <f t="shared" si="65"/>
        <v>2013-14</v>
      </c>
      <c r="G920" s="1"/>
      <c r="H920" s="161"/>
      <c r="I920" s="37"/>
      <c r="J920" s="135">
        <f t="shared" si="64"/>
        <v>0.76382508261777382</v>
      </c>
      <c r="K920" s="112"/>
      <c r="L920" s="37">
        <v>123.881904754</v>
      </c>
      <c r="M920" s="37" t="s">
        <v>288</v>
      </c>
      <c r="N920" s="37">
        <v>4137.5668292682922</v>
      </c>
      <c r="O920" s="130">
        <f t="shared" si="66"/>
        <v>512569.65985672438</v>
      </c>
      <c r="P920" s="132">
        <f t="shared" si="67"/>
        <v>20055.858895974721</v>
      </c>
      <c r="Q920" s="261">
        <v>5.1226472853672503E-2</v>
      </c>
      <c r="R920" s="92"/>
    </row>
    <row r="921" spans="1:18" x14ac:dyDescent="0.25">
      <c r="A921" s="353">
        <v>41508</v>
      </c>
      <c r="B921" s="353" t="s">
        <v>285</v>
      </c>
      <c r="C921" s="263" t="s">
        <v>678</v>
      </c>
      <c r="D921" s="157" t="s">
        <v>674</v>
      </c>
      <c r="E921" s="44">
        <v>41508</v>
      </c>
      <c r="F921" s="146" t="str">
        <f t="shared" si="65"/>
        <v>2013-14</v>
      </c>
      <c r="G921" s="1"/>
      <c r="H921" s="161"/>
      <c r="I921" s="37"/>
      <c r="J921" s="135">
        <f t="shared" ref="J921:J985" si="68">J920</f>
        <v>0.76382508261777382</v>
      </c>
      <c r="K921" s="112"/>
      <c r="L921" s="37">
        <v>30.527801116399999</v>
      </c>
      <c r="M921" s="37" t="s">
        <v>288</v>
      </c>
      <c r="N921" s="37">
        <v>1361.4565853658535</v>
      </c>
      <c r="O921" s="130">
        <f t="shared" si="66"/>
        <v>41562.275866661832</v>
      </c>
      <c r="P921" s="132">
        <f t="shared" si="67"/>
        <v>1626.2514258263886</v>
      </c>
      <c r="Q921" s="261">
        <v>5.1226472853672503E-2</v>
      </c>
      <c r="R921" s="92"/>
    </row>
    <row r="922" spans="1:18" x14ac:dyDescent="0.25">
      <c r="A922" s="353">
        <v>41508</v>
      </c>
      <c r="B922" s="353" t="s">
        <v>285</v>
      </c>
      <c r="C922" s="263" t="s">
        <v>678</v>
      </c>
      <c r="D922" s="157" t="s">
        <v>675</v>
      </c>
      <c r="E922" s="44">
        <v>41508</v>
      </c>
      <c r="F922" s="146" t="str">
        <f t="shared" si="65"/>
        <v>2013-14</v>
      </c>
      <c r="G922" s="1"/>
      <c r="H922" s="161"/>
      <c r="I922" s="37"/>
      <c r="J922" s="135">
        <f t="shared" si="68"/>
        <v>0.76382508261777382</v>
      </c>
      <c r="K922" s="112"/>
      <c r="L922" s="37">
        <v>54.113416986899999</v>
      </c>
      <c r="M922" s="37" t="s">
        <v>288</v>
      </c>
      <c r="N922" s="37">
        <v>950.87219512195099</v>
      </c>
      <c r="O922" s="130">
        <f t="shared" si="66"/>
        <v>51454.943595883073</v>
      </c>
      <c r="P922" s="132">
        <f t="shared" si="67"/>
        <v>2013.3323703705569</v>
      </c>
      <c r="Q922" s="261">
        <v>5.1226472853672503E-2</v>
      </c>
      <c r="R922" s="92"/>
    </row>
    <row r="923" spans="1:18" x14ac:dyDescent="0.25">
      <c r="A923" s="353">
        <v>41508</v>
      </c>
      <c r="B923" s="353" t="s">
        <v>285</v>
      </c>
      <c r="C923" s="263" t="s">
        <v>678</v>
      </c>
      <c r="D923" s="157" t="s">
        <v>675</v>
      </c>
      <c r="E923" s="44">
        <v>41508</v>
      </c>
      <c r="F923" s="146" t="str">
        <f t="shared" si="65"/>
        <v>2013-14</v>
      </c>
      <c r="G923" s="1"/>
      <c r="H923" s="161"/>
      <c r="I923" s="37"/>
      <c r="J923" s="135">
        <f t="shared" si="68"/>
        <v>0.76382508261777382</v>
      </c>
      <c r="K923" s="112"/>
      <c r="L923" s="37">
        <v>23.014615483099998</v>
      </c>
      <c r="M923" s="37" t="s">
        <v>288</v>
      </c>
      <c r="N923" s="37">
        <v>3592.3639024390236</v>
      </c>
      <c r="O923" s="130">
        <f t="shared" si="66"/>
        <v>82676.87389000268</v>
      </c>
      <c r="P923" s="132">
        <f t="shared" si="67"/>
        <v>3234.9860839630751</v>
      </c>
      <c r="Q923" s="261">
        <v>5.1226472853672503E-2</v>
      </c>
      <c r="R923" s="92"/>
    </row>
    <row r="924" spans="1:18" x14ac:dyDescent="0.25">
      <c r="A924" s="353">
        <v>41508</v>
      </c>
      <c r="B924" s="353" t="s">
        <v>285</v>
      </c>
      <c r="C924" s="263" t="s">
        <v>678</v>
      </c>
      <c r="D924" s="157" t="s">
        <v>675</v>
      </c>
      <c r="E924" s="44">
        <v>41508</v>
      </c>
      <c r="F924" s="146" t="str">
        <f t="shared" si="65"/>
        <v>2013-14</v>
      </c>
      <c r="G924" s="1"/>
      <c r="H924" s="161"/>
      <c r="I924" s="37"/>
      <c r="J924" s="135">
        <f t="shared" si="68"/>
        <v>0.76382508261777382</v>
      </c>
      <c r="K924" s="112"/>
      <c r="L924" s="37">
        <v>63.689166590600003</v>
      </c>
      <c r="M924" s="37" t="s">
        <v>288</v>
      </c>
      <c r="N924" s="37">
        <v>950.87219512195099</v>
      </c>
      <c r="O924" s="130">
        <f t="shared" si="66"/>
        <v>60560.257641491451</v>
      </c>
      <c r="P924" s="132">
        <f t="shared" si="67"/>
        <v>2369.6056889148181</v>
      </c>
      <c r="Q924" s="261">
        <v>5.1226472853672503E-2</v>
      </c>
      <c r="R924" s="92"/>
    </row>
    <row r="925" spans="1:18" x14ac:dyDescent="0.25">
      <c r="A925" s="353">
        <v>41508</v>
      </c>
      <c r="B925" s="353" t="s">
        <v>285</v>
      </c>
      <c r="C925" s="263" t="s">
        <v>678</v>
      </c>
      <c r="D925" s="157" t="s">
        <v>674</v>
      </c>
      <c r="E925" s="44">
        <v>41508</v>
      </c>
      <c r="F925" s="146" t="str">
        <f t="shared" si="65"/>
        <v>2013-14</v>
      </c>
      <c r="G925" s="1"/>
      <c r="H925" s="161"/>
      <c r="I925" s="37"/>
      <c r="J925" s="135">
        <f t="shared" si="68"/>
        <v>0.76382508261777382</v>
      </c>
      <c r="K925" s="112"/>
      <c r="L925" s="37">
        <v>54.641283852000001</v>
      </c>
      <c r="M925" s="37" t="s">
        <v>288</v>
      </c>
      <c r="N925" s="37">
        <v>1361.4565853658535</v>
      </c>
      <c r="O925" s="130">
        <f t="shared" si="66"/>
        <v>74391.735733150272</v>
      </c>
      <c r="P925" s="132">
        <f t="shared" si="67"/>
        <v>2910.8046607903984</v>
      </c>
      <c r="Q925" s="261">
        <v>5.1226472853672503E-2</v>
      </c>
      <c r="R925" s="92"/>
    </row>
    <row r="926" spans="1:18" x14ac:dyDescent="0.25">
      <c r="A926" s="353">
        <v>41508</v>
      </c>
      <c r="B926" s="353" t="s">
        <v>285</v>
      </c>
      <c r="C926" s="263" t="s">
        <v>678</v>
      </c>
      <c r="D926" s="157" t="s">
        <v>675</v>
      </c>
      <c r="E926" s="44">
        <v>41508</v>
      </c>
      <c r="F926" s="146" t="str">
        <f t="shared" si="65"/>
        <v>2013-14</v>
      </c>
      <c r="G926" s="1"/>
      <c r="H926" s="161"/>
      <c r="I926" s="37"/>
      <c r="J926" s="135">
        <f t="shared" si="68"/>
        <v>0.76382508261777382</v>
      </c>
      <c r="K926" s="112"/>
      <c r="L926" s="37">
        <v>115.695201754</v>
      </c>
      <c r="M926" s="37" t="s">
        <v>288</v>
      </c>
      <c r="N926" s="37">
        <v>950.87219512195099</v>
      </c>
      <c r="O926" s="130">
        <f t="shared" si="66"/>
        <v>110011.35045690298</v>
      </c>
      <c r="P926" s="132">
        <f t="shared" si="67"/>
        <v>4304.5312559779768</v>
      </c>
      <c r="Q926" s="261">
        <v>5.1226472853672503E-2</v>
      </c>
      <c r="R926" s="92"/>
    </row>
    <row r="927" spans="1:18" x14ac:dyDescent="0.25">
      <c r="A927" s="353">
        <v>39365</v>
      </c>
      <c r="B927" s="353" t="s">
        <v>285</v>
      </c>
      <c r="C927" s="263" t="s">
        <v>679</v>
      </c>
      <c r="D927" s="157" t="s">
        <v>680</v>
      </c>
      <c r="E927" s="44">
        <v>39365</v>
      </c>
      <c r="F927" s="146" t="str">
        <f t="shared" si="65"/>
        <v>2007-08</v>
      </c>
      <c r="G927" s="1"/>
      <c r="H927" s="161"/>
      <c r="I927" s="37"/>
      <c r="J927" s="135">
        <f t="shared" si="68"/>
        <v>0.76382508261777382</v>
      </c>
      <c r="K927" s="112"/>
      <c r="L927" s="37">
        <v>17.325422362600001</v>
      </c>
      <c r="M927" s="37" t="s">
        <v>288</v>
      </c>
      <c r="N927" s="37">
        <v>4641.6565853658531</v>
      </c>
      <c r="O927" s="130">
        <f t="shared" si="66"/>
        <v>80418.660803607112</v>
      </c>
      <c r="P927" s="132">
        <f t="shared" si="67"/>
        <v>6653.3220279675224</v>
      </c>
      <c r="Q927" s="261">
        <v>0.10831479746216022</v>
      </c>
      <c r="R927" s="92"/>
    </row>
    <row r="928" spans="1:18" x14ac:dyDescent="0.25">
      <c r="A928" s="353">
        <v>39365</v>
      </c>
      <c r="B928" s="353" t="s">
        <v>285</v>
      </c>
      <c r="C928" s="263" t="s">
        <v>679</v>
      </c>
      <c r="D928" s="157" t="s">
        <v>681</v>
      </c>
      <c r="E928" s="44">
        <v>39365</v>
      </c>
      <c r="F928" s="146" t="str">
        <f t="shared" si="65"/>
        <v>2007-08</v>
      </c>
      <c r="G928" s="1"/>
      <c r="H928" s="161"/>
      <c r="I928" s="37"/>
      <c r="J928" s="135">
        <f t="shared" si="68"/>
        <v>0.76382508261777382</v>
      </c>
      <c r="K928" s="112"/>
      <c r="L928" s="37">
        <v>20.8256473922</v>
      </c>
      <c r="M928" s="37" t="s">
        <v>288</v>
      </c>
      <c r="N928" s="37">
        <v>3336.4019512195118</v>
      </c>
      <c r="O928" s="130">
        <f t="shared" si="66"/>
        <v>69482.730594745619</v>
      </c>
      <c r="P928" s="132">
        <f t="shared" si="67"/>
        <v>5748.5535994976217</v>
      </c>
      <c r="Q928" s="261">
        <v>0.10831479746216022</v>
      </c>
      <c r="R928" s="92"/>
    </row>
    <row r="929" spans="1:18" x14ac:dyDescent="0.25">
      <c r="A929" s="353">
        <v>39365</v>
      </c>
      <c r="B929" s="353" t="s">
        <v>285</v>
      </c>
      <c r="C929" s="263" t="s">
        <v>679</v>
      </c>
      <c r="D929" s="157" t="s">
        <v>681</v>
      </c>
      <c r="E929" s="44">
        <v>39365</v>
      </c>
      <c r="F929" s="146" t="str">
        <f t="shared" si="65"/>
        <v>2007-08</v>
      </c>
      <c r="G929" s="1"/>
      <c r="H929" s="161"/>
      <c r="I929" s="37"/>
      <c r="J929" s="135">
        <f t="shared" si="68"/>
        <v>0.76382508261777382</v>
      </c>
      <c r="K929" s="112"/>
      <c r="L929" s="37">
        <v>35.735465926700002</v>
      </c>
      <c r="M929" s="37" t="s">
        <v>288</v>
      </c>
      <c r="N929" s="37">
        <v>812.22926829268283</v>
      </c>
      <c r="O929" s="130">
        <f t="shared" si="66"/>
        <v>29025.391341741641</v>
      </c>
      <c r="P929" s="132">
        <f t="shared" si="67"/>
        <v>2401.3739305607219</v>
      </c>
      <c r="Q929" s="261">
        <v>0.10831479746216022</v>
      </c>
      <c r="R929" s="92"/>
    </row>
    <row r="930" spans="1:18" x14ac:dyDescent="0.25">
      <c r="A930" s="353">
        <v>39365</v>
      </c>
      <c r="B930" s="353" t="s">
        <v>285</v>
      </c>
      <c r="C930" s="263" t="s">
        <v>679</v>
      </c>
      <c r="D930" s="157" t="s">
        <v>681</v>
      </c>
      <c r="E930" s="44">
        <v>39365</v>
      </c>
      <c r="F930" s="146" t="str">
        <f t="shared" si="65"/>
        <v>2007-08</v>
      </c>
      <c r="G930" s="1"/>
      <c r="H930" s="161"/>
      <c r="I930" s="37"/>
      <c r="J930" s="135">
        <f t="shared" si="68"/>
        <v>0.76382508261777382</v>
      </c>
      <c r="K930" s="112"/>
      <c r="L930" s="37">
        <v>112.88260064799999</v>
      </c>
      <c r="M930" s="37" t="s">
        <v>288</v>
      </c>
      <c r="N930" s="37">
        <v>812.22926829268283</v>
      </c>
      <c r="O930" s="130">
        <f t="shared" si="66"/>
        <v>91686.552127300165</v>
      </c>
      <c r="P930" s="132">
        <f t="shared" si="67"/>
        <v>7585.5547809569689</v>
      </c>
      <c r="Q930" s="261">
        <v>0.10831479746216022</v>
      </c>
      <c r="R930" s="92"/>
    </row>
    <row r="931" spans="1:18" x14ac:dyDescent="0.25">
      <c r="A931" s="353">
        <v>39365</v>
      </c>
      <c r="B931" s="353" t="s">
        <v>285</v>
      </c>
      <c r="C931" s="263" t="s">
        <v>679</v>
      </c>
      <c r="D931" s="157" t="s">
        <v>681</v>
      </c>
      <c r="E931" s="44">
        <v>39365</v>
      </c>
      <c r="F931" s="146" t="str">
        <f t="shared" si="65"/>
        <v>2007-08</v>
      </c>
      <c r="G931" s="1"/>
      <c r="H931" s="161"/>
      <c r="I931" s="37"/>
      <c r="J931" s="135">
        <f t="shared" si="68"/>
        <v>0.76382508261777382</v>
      </c>
      <c r="K931" s="112"/>
      <c r="L931" s="37">
        <v>77.767448272500005</v>
      </c>
      <c r="M931" s="37" t="s">
        <v>288</v>
      </c>
      <c r="N931" s="37">
        <v>812.22926829268283</v>
      </c>
      <c r="O931" s="130">
        <f t="shared" si="66"/>
        <v>63164.997607361744</v>
      </c>
      <c r="P931" s="132">
        <f t="shared" si="67"/>
        <v>5225.8650638798681</v>
      </c>
      <c r="Q931" s="261">
        <v>0.10831479746216022</v>
      </c>
      <c r="R931" s="92"/>
    </row>
    <row r="932" spans="1:18" x14ac:dyDescent="0.25">
      <c r="A932" s="353">
        <v>39365</v>
      </c>
      <c r="B932" s="353" t="s">
        <v>285</v>
      </c>
      <c r="C932" s="263" t="s">
        <v>679</v>
      </c>
      <c r="D932" s="157" t="s">
        <v>681</v>
      </c>
      <c r="E932" s="44">
        <v>39365</v>
      </c>
      <c r="F932" s="146" t="str">
        <f t="shared" si="65"/>
        <v>2007-08</v>
      </c>
      <c r="G932" s="1"/>
      <c r="H932" s="161"/>
      <c r="I932" s="37"/>
      <c r="J932" s="135">
        <f t="shared" si="68"/>
        <v>0.76382508261777382</v>
      </c>
      <c r="K932" s="112"/>
      <c r="L932" s="37">
        <v>49.819472598600001</v>
      </c>
      <c r="M932" s="37" t="s">
        <v>288</v>
      </c>
      <c r="N932" s="37">
        <v>3336.4019512195118</v>
      </c>
      <c r="O932" s="130">
        <f t="shared" si="66"/>
        <v>166217.78558669606</v>
      </c>
      <c r="P932" s="132">
        <f t="shared" si="67"/>
        <v>13751.788990675946</v>
      </c>
      <c r="Q932" s="261">
        <v>0.10831479746216022</v>
      </c>
      <c r="R932" s="92"/>
    </row>
    <row r="933" spans="1:18" x14ac:dyDescent="0.25">
      <c r="A933" s="353">
        <v>39365</v>
      </c>
      <c r="B933" s="353" t="s">
        <v>285</v>
      </c>
      <c r="C933" s="263" t="s">
        <v>679</v>
      </c>
      <c r="D933" s="157" t="s">
        <v>681</v>
      </c>
      <c r="E933" s="44">
        <v>39365</v>
      </c>
      <c r="F933" s="146" t="str">
        <f t="shared" si="65"/>
        <v>2007-08</v>
      </c>
      <c r="G933" s="1"/>
      <c r="H933" s="161"/>
      <c r="I933" s="37"/>
      <c r="J933" s="135">
        <f t="shared" si="68"/>
        <v>0.76382508261777382</v>
      </c>
      <c r="K933" s="112"/>
      <c r="L933" s="37">
        <v>81.874123836500004</v>
      </c>
      <c r="M933" s="37" t="s">
        <v>288</v>
      </c>
      <c r="N933" s="37">
        <v>812.22926829268283</v>
      </c>
      <c r="O933" s="130">
        <f t="shared" si="66"/>
        <v>66500.559695824893</v>
      </c>
      <c r="P933" s="132">
        <f t="shared" si="67"/>
        <v>5501.8279871250388</v>
      </c>
      <c r="Q933" s="261">
        <v>0.10831479746216022</v>
      </c>
      <c r="R933" s="92"/>
    </row>
    <row r="934" spans="1:18" x14ac:dyDescent="0.25">
      <c r="A934" s="353">
        <v>39365</v>
      </c>
      <c r="B934" s="353" t="s">
        <v>285</v>
      </c>
      <c r="C934" s="263" t="s">
        <v>679</v>
      </c>
      <c r="D934" s="157" t="s">
        <v>681</v>
      </c>
      <c r="E934" s="44">
        <v>39365</v>
      </c>
      <c r="F934" s="146" t="str">
        <f t="shared" si="65"/>
        <v>2007-08</v>
      </c>
      <c r="G934" s="1"/>
      <c r="H934" s="161"/>
      <c r="I934" s="37"/>
      <c r="J934" s="135">
        <f t="shared" si="68"/>
        <v>0.76382508261777382</v>
      </c>
      <c r="K934" s="112"/>
      <c r="L934" s="37">
        <v>3.6288359015</v>
      </c>
      <c r="M934" s="37" t="s">
        <v>288</v>
      </c>
      <c r="N934" s="37">
        <v>812.22926829268283</v>
      </c>
      <c r="O934" s="130">
        <f t="shared" si="66"/>
        <v>2947.4467290295629</v>
      </c>
      <c r="P934" s="132">
        <f t="shared" si="67"/>
        <v>243.8527582099901</v>
      </c>
      <c r="Q934" s="261">
        <v>0.10831479746216022</v>
      </c>
      <c r="R934" s="92"/>
    </row>
    <row r="935" spans="1:18" x14ac:dyDescent="0.25">
      <c r="A935" s="353">
        <v>39365</v>
      </c>
      <c r="B935" s="353" t="s">
        <v>285</v>
      </c>
      <c r="C935" s="263" t="s">
        <v>679</v>
      </c>
      <c r="D935" s="157" t="s">
        <v>681</v>
      </c>
      <c r="E935" s="44">
        <v>39365</v>
      </c>
      <c r="F935" s="146" t="str">
        <f t="shared" si="65"/>
        <v>2007-08</v>
      </c>
      <c r="G935" s="1"/>
      <c r="H935" s="161"/>
      <c r="I935" s="37"/>
      <c r="J935" s="135">
        <f t="shared" si="68"/>
        <v>0.76382508261777382</v>
      </c>
      <c r="K935" s="112"/>
      <c r="L935" s="37">
        <v>61.522084839900003</v>
      </c>
      <c r="M935" s="37" t="s">
        <v>288</v>
      </c>
      <c r="N935" s="37">
        <v>3336.4019512195118</v>
      </c>
      <c r="O935" s="130">
        <f t="shared" si="66"/>
        <v>205262.40390293472</v>
      </c>
      <c r="P935" s="132">
        <f t="shared" si="67"/>
        <v>16982.089228470541</v>
      </c>
      <c r="Q935" s="261">
        <v>0.10831479746216022</v>
      </c>
      <c r="R935" s="92"/>
    </row>
    <row r="936" spans="1:18" x14ac:dyDescent="0.25">
      <c r="A936" s="353">
        <v>39365</v>
      </c>
      <c r="B936" s="353" t="s">
        <v>285</v>
      </c>
      <c r="C936" s="263" t="s">
        <v>679</v>
      </c>
      <c r="D936" s="157" t="s">
        <v>680</v>
      </c>
      <c r="E936" s="44">
        <v>39365</v>
      </c>
      <c r="F936" s="146" t="str">
        <f t="shared" si="65"/>
        <v>2007-08</v>
      </c>
      <c r="G936" s="1"/>
      <c r="H936" s="161"/>
      <c r="I936" s="37"/>
      <c r="J936" s="135">
        <f t="shared" si="68"/>
        <v>0.76382508261777382</v>
      </c>
      <c r="K936" s="112"/>
      <c r="L936" s="37">
        <v>23.665442932400001</v>
      </c>
      <c r="M936" s="37" t="s">
        <v>288</v>
      </c>
      <c r="N936" s="37">
        <v>4641.6565853658531</v>
      </c>
      <c r="O936" s="130">
        <f t="shared" si="66"/>
        <v>109846.85903277426</v>
      </c>
      <c r="P936" s="132">
        <f t="shared" si="67"/>
        <v>9088.0216059631111</v>
      </c>
      <c r="Q936" s="261">
        <v>0.10831479746216022</v>
      </c>
      <c r="R936" s="92"/>
    </row>
    <row r="937" spans="1:18" x14ac:dyDescent="0.25">
      <c r="A937" s="353">
        <v>39365</v>
      </c>
      <c r="B937" s="353" t="s">
        <v>285</v>
      </c>
      <c r="C937" s="263" t="s">
        <v>679</v>
      </c>
      <c r="D937" s="157" t="s">
        <v>681</v>
      </c>
      <c r="E937" s="44">
        <v>39365</v>
      </c>
      <c r="F937" s="146" t="str">
        <f t="shared" si="65"/>
        <v>2007-08</v>
      </c>
      <c r="G937" s="1"/>
      <c r="H937" s="161"/>
      <c r="I937" s="37"/>
      <c r="J937" s="135">
        <f t="shared" si="68"/>
        <v>0.76382508261777382</v>
      </c>
      <c r="K937" s="112"/>
      <c r="L937" s="37">
        <v>13.9213235721</v>
      </c>
      <c r="M937" s="37" t="s">
        <v>288</v>
      </c>
      <c r="N937" s="37">
        <v>3592.3639024390236</v>
      </c>
      <c r="O937" s="130">
        <f t="shared" si="66"/>
        <v>50010.460274585523</v>
      </c>
      <c r="P937" s="132">
        <f t="shared" si="67"/>
        <v>4137.543371758934</v>
      </c>
      <c r="Q937" s="261">
        <v>0.10831479746216022</v>
      </c>
      <c r="R937" s="92"/>
    </row>
    <row r="938" spans="1:18" x14ac:dyDescent="0.25">
      <c r="A938" s="353">
        <v>39365</v>
      </c>
      <c r="B938" s="353" t="s">
        <v>285</v>
      </c>
      <c r="C938" s="263" t="s">
        <v>679</v>
      </c>
      <c r="D938" s="157" t="s">
        <v>680</v>
      </c>
      <c r="E938" s="44">
        <v>39365</v>
      </c>
      <c r="F938" s="146" t="str">
        <f t="shared" si="65"/>
        <v>2007-08</v>
      </c>
      <c r="G938" s="1"/>
      <c r="H938" s="161"/>
      <c r="I938" s="37"/>
      <c r="J938" s="135">
        <f t="shared" si="68"/>
        <v>0.76382508261777382</v>
      </c>
      <c r="K938" s="112"/>
      <c r="L938" s="37">
        <v>58.794628224100002</v>
      </c>
      <c r="M938" s="37" t="s">
        <v>288</v>
      </c>
      <c r="N938" s="37">
        <v>4641.6565853658531</v>
      </c>
      <c r="O938" s="130">
        <f t="shared" si="66"/>
        <v>272904.47328053083</v>
      </c>
      <c r="P938" s="132">
        <f t="shared" si="67"/>
        <v>22578.35837433875</v>
      </c>
      <c r="Q938" s="261">
        <v>0.10831479746216022</v>
      </c>
      <c r="R938" s="92"/>
    </row>
    <row r="939" spans="1:18" x14ac:dyDescent="0.25">
      <c r="A939" s="353">
        <v>39365</v>
      </c>
      <c r="B939" s="353" t="s">
        <v>285</v>
      </c>
      <c r="C939" s="263" t="s">
        <v>679</v>
      </c>
      <c r="D939" s="157" t="s">
        <v>681</v>
      </c>
      <c r="E939" s="44">
        <v>39365</v>
      </c>
      <c r="F939" s="146" t="str">
        <f t="shared" si="65"/>
        <v>2007-08</v>
      </c>
      <c r="G939" s="1"/>
      <c r="H939" s="161"/>
      <c r="I939" s="37"/>
      <c r="J939" s="135">
        <f t="shared" si="68"/>
        <v>0.76382508261777382</v>
      </c>
      <c r="K939" s="112"/>
      <c r="L939" s="37">
        <v>43.756134610499998</v>
      </c>
      <c r="M939" s="37" t="s">
        <v>288</v>
      </c>
      <c r="N939" s="37">
        <v>3592.3639024390236</v>
      </c>
      <c r="O939" s="130">
        <f t="shared" si="66"/>
        <v>157187.958485023</v>
      </c>
      <c r="P939" s="132">
        <f t="shared" si="67"/>
        <v>13004.719256313934</v>
      </c>
      <c r="Q939" s="261">
        <v>0.10831479746216022</v>
      </c>
      <c r="R939" s="92"/>
    </row>
    <row r="940" spans="1:18" x14ac:dyDescent="0.25">
      <c r="A940" s="353">
        <v>39365</v>
      </c>
      <c r="B940" s="353" t="s">
        <v>285</v>
      </c>
      <c r="C940" s="263" t="s">
        <v>679</v>
      </c>
      <c r="D940" s="157" t="s">
        <v>681</v>
      </c>
      <c r="E940" s="44">
        <v>39365</v>
      </c>
      <c r="F940" s="146" t="str">
        <f t="shared" si="65"/>
        <v>2007-08</v>
      </c>
      <c r="G940" s="1"/>
      <c r="H940" s="161"/>
      <c r="I940" s="37"/>
      <c r="J940" s="135">
        <f t="shared" si="68"/>
        <v>0.76382508261777382</v>
      </c>
      <c r="K940" s="112"/>
      <c r="L940" s="37">
        <v>32.456274627200003</v>
      </c>
      <c r="M940" s="37" t="s">
        <v>288</v>
      </c>
      <c r="N940" s="37">
        <v>3592.3639024390236</v>
      </c>
      <c r="O940" s="130">
        <f t="shared" si="66"/>
        <v>116594.74937840087</v>
      </c>
      <c r="P940" s="132">
        <f t="shared" si="67"/>
        <v>9646.2985908100563</v>
      </c>
      <c r="Q940" s="261">
        <v>0.10831479746216022</v>
      </c>
      <c r="R940" s="92"/>
    </row>
    <row r="941" spans="1:18" x14ac:dyDescent="0.25">
      <c r="A941" s="353">
        <v>39365</v>
      </c>
      <c r="B941" s="353" t="s">
        <v>285</v>
      </c>
      <c r="C941" s="263" t="s">
        <v>679</v>
      </c>
      <c r="D941" s="157" t="s">
        <v>681</v>
      </c>
      <c r="E941" s="44">
        <v>39365</v>
      </c>
      <c r="F941" s="146" t="str">
        <f t="shared" si="65"/>
        <v>2007-08</v>
      </c>
      <c r="G941" s="1"/>
      <c r="H941" s="161"/>
      <c r="I941" s="37"/>
      <c r="J941" s="135">
        <f t="shared" si="68"/>
        <v>0.76382508261777382</v>
      </c>
      <c r="K941" s="112"/>
      <c r="L941" s="37">
        <v>25.565842544300001</v>
      </c>
      <c r="M941" s="37" t="s">
        <v>288</v>
      </c>
      <c r="N941" s="37">
        <v>812.22926829268283</v>
      </c>
      <c r="O941" s="130">
        <f t="shared" si="66"/>
        <v>20765.32558304273</v>
      </c>
      <c r="P941" s="132">
        <f t="shared" si="67"/>
        <v>1717.989291776154</v>
      </c>
      <c r="Q941" s="261">
        <v>0.10831479746216022</v>
      </c>
      <c r="R941" s="92"/>
    </row>
    <row r="942" spans="1:18" x14ac:dyDescent="0.25">
      <c r="A942" s="353">
        <v>39365</v>
      </c>
      <c r="B942" s="353" t="s">
        <v>285</v>
      </c>
      <c r="C942" s="263" t="s">
        <v>679</v>
      </c>
      <c r="D942" s="157" t="s">
        <v>681</v>
      </c>
      <c r="E942" s="44">
        <v>39365</v>
      </c>
      <c r="F942" s="146" t="str">
        <f t="shared" si="65"/>
        <v>2007-08</v>
      </c>
      <c r="G942" s="1"/>
      <c r="H942" s="161"/>
      <c r="I942" s="37"/>
      <c r="J942" s="135">
        <f t="shared" si="68"/>
        <v>0.76382508261777382</v>
      </c>
      <c r="K942" s="112"/>
      <c r="L942" s="37">
        <v>6.6187720915600003</v>
      </c>
      <c r="M942" s="37" t="s">
        <v>288</v>
      </c>
      <c r="N942" s="37">
        <v>3336.4019512195118</v>
      </c>
      <c r="O942" s="130">
        <f t="shared" si="66"/>
        <v>22082.884120958035</v>
      </c>
      <c r="P942" s="132">
        <f t="shared" si="67"/>
        <v>1826.995598967176</v>
      </c>
      <c r="Q942" s="261">
        <v>0.10831479746216022</v>
      </c>
      <c r="R942" s="92"/>
    </row>
    <row r="943" spans="1:18" x14ac:dyDescent="0.25">
      <c r="A943" s="353">
        <v>39365</v>
      </c>
      <c r="B943" s="353" t="s">
        <v>285</v>
      </c>
      <c r="C943" s="263" t="s">
        <v>679</v>
      </c>
      <c r="D943" s="157" t="s">
        <v>681</v>
      </c>
      <c r="E943" s="44">
        <v>39365</v>
      </c>
      <c r="F943" s="146" t="str">
        <f t="shared" si="65"/>
        <v>2007-08</v>
      </c>
      <c r="G943" s="1"/>
      <c r="H943" s="161"/>
      <c r="I943" s="37"/>
      <c r="J943" s="135">
        <f t="shared" si="68"/>
        <v>0.76382508261777382</v>
      </c>
      <c r="K943" s="112"/>
      <c r="L943" s="37">
        <v>97.812254472500001</v>
      </c>
      <c r="M943" s="37" t="s">
        <v>288</v>
      </c>
      <c r="N943" s="37">
        <v>812.22926829268283</v>
      </c>
      <c r="O943" s="130">
        <f t="shared" si="66"/>
        <v>79445.975880256374</v>
      </c>
      <c r="P943" s="132">
        <f t="shared" si="67"/>
        <v>6572.8483423560965</v>
      </c>
      <c r="Q943" s="261">
        <v>0.10831479746216022</v>
      </c>
      <c r="R943" s="92"/>
    </row>
    <row r="944" spans="1:18" x14ac:dyDescent="0.25">
      <c r="A944" s="353">
        <v>39365</v>
      </c>
      <c r="B944" s="353" t="s">
        <v>285</v>
      </c>
      <c r="C944" s="263" t="s">
        <v>679</v>
      </c>
      <c r="D944" s="157" t="s">
        <v>681</v>
      </c>
      <c r="E944" s="44">
        <v>39365</v>
      </c>
      <c r="F944" s="146" t="str">
        <f t="shared" si="65"/>
        <v>2007-08</v>
      </c>
      <c r="G944" s="1"/>
      <c r="H944" s="161"/>
      <c r="I944" s="37"/>
      <c r="J944" s="135">
        <f t="shared" si="68"/>
        <v>0.76382508261777382</v>
      </c>
      <c r="K944" s="112"/>
      <c r="L944" s="37">
        <v>51.545707328500001</v>
      </c>
      <c r="M944" s="37" t="s">
        <v>288</v>
      </c>
      <c r="N944" s="37">
        <v>812.22926829268283</v>
      </c>
      <c r="O944" s="130">
        <f t="shared" si="66"/>
        <v>41866.932147056337</v>
      </c>
      <c r="P944" s="132">
        <f t="shared" si="67"/>
        <v>3463.800305972482</v>
      </c>
      <c r="Q944" s="261">
        <v>0.10831479746216022</v>
      </c>
      <c r="R944" s="92"/>
    </row>
    <row r="945" spans="1:18" x14ac:dyDescent="0.25">
      <c r="A945" s="353">
        <v>39365</v>
      </c>
      <c r="B945" s="353" t="s">
        <v>285</v>
      </c>
      <c r="C945" s="263" t="s">
        <v>679</v>
      </c>
      <c r="D945" s="157" t="s">
        <v>681</v>
      </c>
      <c r="E945" s="44">
        <v>39365</v>
      </c>
      <c r="F945" s="146" t="str">
        <f t="shared" si="65"/>
        <v>2007-08</v>
      </c>
      <c r="G945" s="1"/>
      <c r="H945" s="161"/>
      <c r="I945" s="37"/>
      <c r="J945" s="135">
        <f t="shared" si="68"/>
        <v>0.76382508261777382</v>
      </c>
      <c r="K945" s="112"/>
      <c r="L945" s="37">
        <v>17.681936686899999</v>
      </c>
      <c r="M945" s="37" t="s">
        <v>288</v>
      </c>
      <c r="N945" s="37">
        <v>812.22926829268283</v>
      </c>
      <c r="O945" s="130">
        <f t="shared" si="66"/>
        <v>14361.786497198331</v>
      </c>
      <c r="P945" s="132">
        <f t="shared" si="67"/>
        <v>1188.201712238538</v>
      </c>
      <c r="Q945" s="261">
        <v>0.10831479746216022</v>
      </c>
      <c r="R945" s="92"/>
    </row>
    <row r="946" spans="1:18" x14ac:dyDescent="0.25">
      <c r="A946" s="353">
        <v>39365</v>
      </c>
      <c r="B946" s="353" t="s">
        <v>285</v>
      </c>
      <c r="C946" s="263" t="s">
        <v>679</v>
      </c>
      <c r="D946" s="157" t="s">
        <v>681</v>
      </c>
      <c r="E946" s="44">
        <v>39365</v>
      </c>
      <c r="F946" s="146" t="str">
        <f t="shared" si="65"/>
        <v>2007-08</v>
      </c>
      <c r="G946" s="1"/>
      <c r="H946" s="161"/>
      <c r="I946" s="37"/>
      <c r="J946" s="135">
        <f t="shared" si="68"/>
        <v>0.76382508261777382</v>
      </c>
      <c r="K946" s="112"/>
      <c r="L946" s="37">
        <v>11.087927308599999</v>
      </c>
      <c r="M946" s="37" t="s">
        <v>288</v>
      </c>
      <c r="N946" s="37">
        <v>812.22926829268283</v>
      </c>
      <c r="O946" s="130">
        <f t="shared" si="66"/>
        <v>9005.9390847466329</v>
      </c>
      <c r="P946" s="132">
        <f t="shared" si="67"/>
        <v>745.09339370136354</v>
      </c>
      <c r="Q946" s="261">
        <v>0.10831479746216022</v>
      </c>
      <c r="R946" s="92"/>
    </row>
    <row r="947" spans="1:18" x14ac:dyDescent="0.25">
      <c r="A947" s="353">
        <v>39365</v>
      </c>
      <c r="B947" s="353" t="s">
        <v>285</v>
      </c>
      <c r="C947" s="263" t="s">
        <v>679</v>
      </c>
      <c r="D947" s="157" t="s">
        <v>681</v>
      </c>
      <c r="E947" s="44">
        <v>39365</v>
      </c>
      <c r="F947" s="146" t="str">
        <f t="shared" si="65"/>
        <v>2007-08</v>
      </c>
      <c r="G947" s="1"/>
      <c r="H947" s="161"/>
      <c r="I947" s="37"/>
      <c r="J947" s="135">
        <f t="shared" si="68"/>
        <v>0.76382508261777382</v>
      </c>
      <c r="K947" s="112"/>
      <c r="L947" s="37">
        <v>20.508555117299998</v>
      </c>
      <c r="M947" s="37" t="s">
        <v>288</v>
      </c>
      <c r="N947" s="37">
        <v>812.22926829268283</v>
      </c>
      <c r="O947" s="130">
        <f t="shared" si="66"/>
        <v>16657.648716664735</v>
      </c>
      <c r="P947" s="132">
        <f t="shared" si="67"/>
        <v>1378.1465649047377</v>
      </c>
      <c r="Q947" s="261">
        <v>0.10831479746216022</v>
      </c>
      <c r="R947" s="92"/>
    </row>
    <row r="948" spans="1:18" x14ac:dyDescent="0.25">
      <c r="A948" s="353">
        <v>39365</v>
      </c>
      <c r="B948" s="353" t="s">
        <v>285</v>
      </c>
      <c r="C948" s="263" t="s">
        <v>679</v>
      </c>
      <c r="D948" s="157" t="s">
        <v>681</v>
      </c>
      <c r="E948" s="44">
        <v>39365</v>
      </c>
      <c r="F948" s="146" t="str">
        <f t="shared" si="65"/>
        <v>2007-08</v>
      </c>
      <c r="G948" s="1"/>
      <c r="H948" s="161"/>
      <c r="I948" s="37"/>
      <c r="J948" s="135">
        <f t="shared" si="68"/>
        <v>0.76382508261777382</v>
      </c>
      <c r="K948" s="112"/>
      <c r="L948" s="37">
        <v>47.860892233400001</v>
      </c>
      <c r="M948" s="37" t="s">
        <v>288</v>
      </c>
      <c r="N948" s="37">
        <v>3336.4019512195118</v>
      </c>
      <c r="O948" s="130">
        <f t="shared" si="66"/>
        <v>159683.17423462254</v>
      </c>
      <c r="P948" s="132">
        <f t="shared" si="67"/>
        <v>13211.157336051236</v>
      </c>
      <c r="Q948" s="261">
        <v>0.10831479746216022</v>
      </c>
      <c r="R948" s="92"/>
    </row>
    <row r="949" spans="1:18" x14ac:dyDescent="0.25">
      <c r="A949" s="353">
        <v>39365</v>
      </c>
      <c r="B949" s="353" t="s">
        <v>285</v>
      </c>
      <c r="C949" s="263" t="s">
        <v>679</v>
      </c>
      <c r="D949" s="157" t="s">
        <v>681</v>
      </c>
      <c r="E949" s="44">
        <v>39365</v>
      </c>
      <c r="F949" s="146" t="str">
        <f t="shared" si="65"/>
        <v>2007-08</v>
      </c>
      <c r="G949" s="1"/>
      <c r="H949" s="161"/>
      <c r="I949" s="37"/>
      <c r="J949" s="135">
        <f t="shared" si="68"/>
        <v>0.76382508261777382</v>
      </c>
      <c r="K949" s="112"/>
      <c r="L949" s="37">
        <v>14.9148987593</v>
      </c>
      <c r="M949" s="37" t="s">
        <v>288</v>
      </c>
      <c r="N949" s="37">
        <v>3336.4019512195118</v>
      </c>
      <c r="O949" s="130">
        <f t="shared" si="66"/>
        <v>49762.097322769994</v>
      </c>
      <c r="P949" s="132">
        <f t="shared" si="67"/>
        <v>4116.9954208016206</v>
      </c>
      <c r="Q949" s="261">
        <v>0.10831479746216022</v>
      </c>
      <c r="R949" s="92"/>
    </row>
    <row r="950" spans="1:18" x14ac:dyDescent="0.25">
      <c r="A950" s="353">
        <v>39365</v>
      </c>
      <c r="B950" s="353" t="s">
        <v>285</v>
      </c>
      <c r="C950" s="263" t="s">
        <v>679</v>
      </c>
      <c r="D950" s="157" t="s">
        <v>681</v>
      </c>
      <c r="E950" s="44">
        <v>39365</v>
      </c>
      <c r="F950" s="146" t="str">
        <f t="shared" si="65"/>
        <v>2007-08</v>
      </c>
      <c r="G950" s="1"/>
      <c r="H950" s="161"/>
      <c r="I950" s="37"/>
      <c r="J950" s="135">
        <f t="shared" si="68"/>
        <v>0.76382508261777382</v>
      </c>
      <c r="K950" s="112"/>
      <c r="L950" s="37">
        <v>14.6774368335</v>
      </c>
      <c r="M950" s="37" t="s">
        <v>288</v>
      </c>
      <c r="N950" s="37">
        <v>812.22926829268283</v>
      </c>
      <c r="O950" s="130">
        <f t="shared" si="66"/>
        <v>11921.443779685776</v>
      </c>
      <c r="P950" s="132">
        <f t="shared" si="67"/>
        <v>986.30347374551241</v>
      </c>
      <c r="Q950" s="261">
        <v>0.10831479746216022</v>
      </c>
      <c r="R950" s="92"/>
    </row>
    <row r="951" spans="1:18" x14ac:dyDescent="0.25">
      <c r="A951" s="353">
        <v>39365</v>
      </c>
      <c r="B951" s="353" t="s">
        <v>285</v>
      </c>
      <c r="C951" s="263" t="s">
        <v>679</v>
      </c>
      <c r="D951" s="157" t="s">
        <v>681</v>
      </c>
      <c r="E951" s="44">
        <v>39365</v>
      </c>
      <c r="F951" s="146" t="str">
        <f t="shared" si="65"/>
        <v>2007-08</v>
      </c>
      <c r="G951" s="1"/>
      <c r="H951" s="161"/>
      <c r="I951" s="37"/>
      <c r="J951" s="135">
        <f t="shared" si="68"/>
        <v>0.76382508261777382</v>
      </c>
      <c r="K951" s="112"/>
      <c r="L951" s="37">
        <v>51.688141967</v>
      </c>
      <c r="M951" s="37" t="s">
        <v>288</v>
      </c>
      <c r="N951" s="37">
        <v>812.22926829268283</v>
      </c>
      <c r="O951" s="130">
        <f t="shared" si="66"/>
        <v>41982.62172926472</v>
      </c>
      <c r="P951" s="132">
        <f t="shared" si="67"/>
        <v>3473.3717168617177</v>
      </c>
      <c r="Q951" s="261">
        <v>0.10831479746216022</v>
      </c>
      <c r="R951" s="92"/>
    </row>
    <row r="952" spans="1:18" x14ac:dyDescent="0.25">
      <c r="A952" s="353">
        <v>39365</v>
      </c>
      <c r="B952" s="353" t="s">
        <v>285</v>
      </c>
      <c r="C952" s="263" t="s">
        <v>679</v>
      </c>
      <c r="D952" s="157" t="s">
        <v>681</v>
      </c>
      <c r="E952" s="44">
        <v>39365</v>
      </c>
      <c r="F952" s="146" t="str">
        <f t="shared" si="65"/>
        <v>2007-08</v>
      </c>
      <c r="G952" s="1"/>
      <c r="H952" s="161"/>
      <c r="I952" s="37"/>
      <c r="J952" s="135">
        <f t="shared" si="68"/>
        <v>0.76382508261777382</v>
      </c>
      <c r="K952" s="112"/>
      <c r="L952" s="37">
        <v>47.832542254300002</v>
      </c>
      <c r="M952" s="37" t="s">
        <v>288</v>
      </c>
      <c r="N952" s="37">
        <v>3336.4019512195118</v>
      </c>
      <c r="O952" s="130">
        <f t="shared" si="66"/>
        <v>159588.58730903626</v>
      </c>
      <c r="P952" s="132">
        <f t="shared" si="67"/>
        <v>13203.33182305124</v>
      </c>
      <c r="Q952" s="261">
        <v>0.10831479746216022</v>
      </c>
      <c r="R952" s="92"/>
    </row>
    <row r="953" spans="1:18" x14ac:dyDescent="0.25">
      <c r="A953" s="353">
        <v>39365</v>
      </c>
      <c r="B953" s="353" t="s">
        <v>285</v>
      </c>
      <c r="C953" s="263" t="s">
        <v>679</v>
      </c>
      <c r="D953" s="157" t="s">
        <v>681</v>
      </c>
      <c r="E953" s="44">
        <v>39365</v>
      </c>
      <c r="F953" s="146" t="str">
        <f t="shared" si="65"/>
        <v>2007-08</v>
      </c>
      <c r="G953" s="1"/>
      <c r="H953" s="161"/>
      <c r="I953" s="37"/>
      <c r="J953" s="135">
        <f t="shared" si="68"/>
        <v>0.76382508261777382</v>
      </c>
      <c r="K953" s="112"/>
      <c r="L953" s="37">
        <v>19.535287072399999</v>
      </c>
      <c r="M953" s="37" t="s">
        <v>288</v>
      </c>
      <c r="N953" s="37">
        <v>812.22926829268283</v>
      </c>
      <c r="O953" s="130">
        <f t="shared" si="66"/>
        <v>15867.131924702957</v>
      </c>
      <c r="P953" s="132">
        <f t="shared" si="67"/>
        <v>1312.7442971614082</v>
      </c>
      <c r="Q953" s="261">
        <v>0.10831479746216022</v>
      </c>
      <c r="R953" s="92"/>
    </row>
    <row r="954" spans="1:18" x14ac:dyDescent="0.25">
      <c r="A954" s="353">
        <v>39365</v>
      </c>
      <c r="B954" s="353" t="s">
        <v>285</v>
      </c>
      <c r="C954" s="263" t="s">
        <v>679</v>
      </c>
      <c r="D954" s="157" t="s">
        <v>681</v>
      </c>
      <c r="E954" s="44">
        <v>39365</v>
      </c>
      <c r="F954" s="146" t="str">
        <f t="shared" si="65"/>
        <v>2007-08</v>
      </c>
      <c r="G954" s="1"/>
      <c r="H954" s="161"/>
      <c r="I954" s="37"/>
      <c r="J954" s="135">
        <f t="shared" si="68"/>
        <v>0.76382508261777382</v>
      </c>
      <c r="K954" s="112"/>
      <c r="L954" s="37">
        <v>32.7172361302</v>
      </c>
      <c r="M954" s="37" t="s">
        <v>288</v>
      </c>
      <c r="N954" s="37">
        <v>812.22926829268283</v>
      </c>
      <c r="O954" s="130">
        <f t="shared" si="66"/>
        <v>26573.896762591274</v>
      </c>
      <c r="P954" s="132">
        <f t="shared" si="67"/>
        <v>2198.5530588635834</v>
      </c>
      <c r="Q954" s="261">
        <v>0.10831479746216022</v>
      </c>
      <c r="R954" s="92"/>
    </row>
    <row r="955" spans="1:18" x14ac:dyDescent="0.25">
      <c r="A955" s="353">
        <v>39365</v>
      </c>
      <c r="B955" s="353" t="s">
        <v>285</v>
      </c>
      <c r="C955" s="263" t="s">
        <v>679</v>
      </c>
      <c r="D955" s="157" t="s">
        <v>681</v>
      </c>
      <c r="E955" s="44">
        <v>39365</v>
      </c>
      <c r="F955" s="146" t="str">
        <f t="shared" ref="F955:F1018" si="69">IF(E955="","-",IF(OR(E955&lt;$E$15,E955&gt;$E$16),"ERROR - date outside of range",IF(MONTH(E955)&gt;=7,YEAR(E955)&amp;"-"&amp;IF(YEAR(E955)=1999,"00",IF(AND(YEAR(E955)&gt;=2000,YEAR(E955)&lt;2009),"0","")&amp;RIGHT(YEAR(E955),2)+1),RIGHT(YEAR(E955),4)-1&amp;"-"&amp;RIGHT(YEAR(E955),2))))</f>
        <v>2007-08</v>
      </c>
      <c r="G955" s="1"/>
      <c r="H955" s="161"/>
      <c r="I955" s="37"/>
      <c r="J955" s="135">
        <f t="shared" si="68"/>
        <v>0.76382508261777382</v>
      </c>
      <c r="K955" s="112"/>
      <c r="L955" s="37">
        <v>23.519464811100001</v>
      </c>
      <c r="M955" s="37" t="s">
        <v>288</v>
      </c>
      <c r="N955" s="37">
        <v>812.22926829268283</v>
      </c>
      <c r="O955" s="130">
        <f t="shared" si="66"/>
        <v>19103.197694155257</v>
      </c>
      <c r="P955" s="132">
        <f t="shared" si="67"/>
        <v>1580.4755358154462</v>
      </c>
      <c r="Q955" s="261">
        <v>0.10831479746216022</v>
      </c>
      <c r="R955" s="92"/>
    </row>
    <row r="956" spans="1:18" x14ac:dyDescent="0.25">
      <c r="A956" s="353">
        <v>39365</v>
      </c>
      <c r="B956" s="353" t="s">
        <v>285</v>
      </c>
      <c r="C956" s="263" t="s">
        <v>679</v>
      </c>
      <c r="D956" s="157" t="s">
        <v>681</v>
      </c>
      <c r="E956" s="44">
        <v>39365</v>
      </c>
      <c r="F956" s="146" t="str">
        <f t="shared" si="69"/>
        <v>2007-08</v>
      </c>
      <c r="G956" s="1"/>
      <c r="H956" s="161"/>
      <c r="I956" s="37"/>
      <c r="J956" s="135">
        <f t="shared" si="68"/>
        <v>0.76382508261777382</v>
      </c>
      <c r="K956" s="112"/>
      <c r="L956" s="37">
        <v>13.958083822600001</v>
      </c>
      <c r="M956" s="37" t="s">
        <v>288</v>
      </c>
      <c r="N956" s="37">
        <v>3336.4019512195118</v>
      </c>
      <c r="O956" s="130">
        <f t="shared" si="66"/>
        <v>46569.778101008145</v>
      </c>
      <c r="P956" s="132">
        <f t="shared" si="67"/>
        <v>3852.8834897372385</v>
      </c>
      <c r="Q956" s="261">
        <v>0.10831479746216022</v>
      </c>
      <c r="R956" s="92"/>
    </row>
    <row r="957" spans="1:18" x14ac:dyDescent="0.25">
      <c r="A957" s="353">
        <v>39365</v>
      </c>
      <c r="B957" s="353" t="s">
        <v>285</v>
      </c>
      <c r="C957" s="263" t="s">
        <v>679</v>
      </c>
      <c r="D957" s="157" t="s">
        <v>681</v>
      </c>
      <c r="E957" s="44">
        <v>39365</v>
      </c>
      <c r="F957" s="146" t="str">
        <f t="shared" si="69"/>
        <v>2007-08</v>
      </c>
      <c r="G957" s="1"/>
      <c r="H957" s="161"/>
      <c r="I957" s="37"/>
      <c r="J957" s="135">
        <f t="shared" si="68"/>
        <v>0.76382508261777382</v>
      </c>
      <c r="K957" s="112"/>
      <c r="L957" s="37">
        <v>12.317000649500001</v>
      </c>
      <c r="M957" s="37" t="s">
        <v>288</v>
      </c>
      <c r="N957" s="37">
        <v>812.22926829268283</v>
      </c>
      <c r="O957" s="130">
        <f t="shared" si="66"/>
        <v>10004.228425103885</v>
      </c>
      <c r="P957" s="132">
        <f t="shared" si="67"/>
        <v>827.68542386093759</v>
      </c>
      <c r="Q957" s="261">
        <v>0.10831479746216022</v>
      </c>
      <c r="R957" s="92"/>
    </row>
    <row r="958" spans="1:18" x14ac:dyDescent="0.25">
      <c r="A958" s="353">
        <v>39365</v>
      </c>
      <c r="B958" s="353" t="s">
        <v>285</v>
      </c>
      <c r="C958" s="263" t="s">
        <v>679</v>
      </c>
      <c r="D958" s="157" t="s">
        <v>681</v>
      </c>
      <c r="E958" s="44">
        <v>39365</v>
      </c>
      <c r="F958" s="146" t="str">
        <f t="shared" si="69"/>
        <v>2007-08</v>
      </c>
      <c r="G958" s="1"/>
      <c r="H958" s="161"/>
      <c r="I958" s="37"/>
      <c r="J958" s="135">
        <f t="shared" si="68"/>
        <v>0.76382508261777382</v>
      </c>
      <c r="K958" s="112"/>
      <c r="L958" s="37">
        <v>5.3318114092800002</v>
      </c>
      <c r="M958" s="37" t="s">
        <v>288</v>
      </c>
      <c r="N958" s="37">
        <v>3336.4019512195118</v>
      </c>
      <c r="O958" s="130">
        <f t="shared" ref="O958:O984" si="70">IF(N958="","-",L958*N958)</f>
        <v>17789.065989456249</v>
      </c>
      <c r="P958" s="132">
        <f t="shared" ref="P958:P984" si="71">IF(O958="-","-",IF(OR(E958&lt;$E$15,E958&gt;$E$16),0,O958*J958))*Q958</f>
        <v>1471.7527427329198</v>
      </c>
      <c r="Q958" s="261">
        <v>0.10831479746216022</v>
      </c>
      <c r="R958" s="92"/>
    </row>
    <row r="959" spans="1:18" x14ac:dyDescent="0.25">
      <c r="A959" s="353">
        <v>39365</v>
      </c>
      <c r="B959" s="353" t="s">
        <v>285</v>
      </c>
      <c r="C959" s="263" t="s">
        <v>679</v>
      </c>
      <c r="D959" s="157" t="s">
        <v>681</v>
      </c>
      <c r="E959" s="44">
        <v>39365</v>
      </c>
      <c r="F959" s="146" t="str">
        <f t="shared" si="69"/>
        <v>2007-08</v>
      </c>
      <c r="G959" s="1"/>
      <c r="H959" s="161"/>
      <c r="I959" s="37"/>
      <c r="J959" s="135">
        <f t="shared" si="68"/>
        <v>0.76382508261777382</v>
      </c>
      <c r="K959" s="112"/>
      <c r="L959" s="37">
        <v>95.66172564</v>
      </c>
      <c r="M959" s="37" t="s">
        <v>288</v>
      </c>
      <c r="N959" s="37">
        <v>3592.3639024390236</v>
      </c>
      <c r="O959" s="130">
        <f t="shared" si="70"/>
        <v>343651.73003416159</v>
      </c>
      <c r="P959" s="132">
        <f t="shared" si="71"/>
        <v>28431.530723561613</v>
      </c>
      <c r="Q959" s="261">
        <v>0.10831479746216022</v>
      </c>
      <c r="R959" s="92"/>
    </row>
    <row r="960" spans="1:18" x14ac:dyDescent="0.25">
      <c r="A960" s="353">
        <v>39365</v>
      </c>
      <c r="B960" s="353" t="s">
        <v>285</v>
      </c>
      <c r="C960" s="263" t="s">
        <v>679</v>
      </c>
      <c r="D960" s="157" t="s">
        <v>681</v>
      </c>
      <c r="E960" s="44">
        <v>39365</v>
      </c>
      <c r="F960" s="146" t="str">
        <f t="shared" si="69"/>
        <v>2007-08</v>
      </c>
      <c r="G960" s="1"/>
      <c r="H960" s="161"/>
      <c r="I960" s="37"/>
      <c r="J960" s="135">
        <f t="shared" si="68"/>
        <v>0.76382508261777382</v>
      </c>
      <c r="K960" s="112"/>
      <c r="L960" s="37">
        <v>121.527355235</v>
      </c>
      <c r="M960" s="37" t="s">
        <v>288</v>
      </c>
      <c r="N960" s="37">
        <v>3336.4019512195118</v>
      </c>
      <c r="O960" s="130">
        <f t="shared" si="70"/>
        <v>405464.10513260076</v>
      </c>
      <c r="P960" s="132">
        <f t="shared" si="71"/>
        <v>33545.488513132135</v>
      </c>
      <c r="Q960" s="261">
        <v>0.10831479746216022</v>
      </c>
      <c r="R960" s="92"/>
    </row>
    <row r="961" spans="1:18" x14ac:dyDescent="0.25">
      <c r="A961" s="353">
        <v>39365</v>
      </c>
      <c r="B961" s="353" t="s">
        <v>285</v>
      </c>
      <c r="C961" s="263" t="s">
        <v>679</v>
      </c>
      <c r="D961" s="157" t="s">
        <v>681</v>
      </c>
      <c r="E961" s="44">
        <v>39365</v>
      </c>
      <c r="F961" s="146" t="str">
        <f t="shared" si="69"/>
        <v>2007-08</v>
      </c>
      <c r="G961" s="1"/>
      <c r="H961" s="161"/>
      <c r="I961" s="37"/>
      <c r="J961" s="135">
        <f t="shared" si="68"/>
        <v>0.76382508261777382</v>
      </c>
      <c r="K961" s="112"/>
      <c r="L961" s="37">
        <v>16.633705059299999</v>
      </c>
      <c r="M961" s="37" t="s">
        <v>288</v>
      </c>
      <c r="N961" s="37">
        <v>3592.3639024390236</v>
      </c>
      <c r="O961" s="130">
        <f t="shared" si="70"/>
        <v>59754.321618846676</v>
      </c>
      <c r="P961" s="132">
        <f t="shared" si="71"/>
        <v>4943.6877003439986</v>
      </c>
      <c r="Q961" s="261">
        <v>0.10831479746216022</v>
      </c>
      <c r="R961" s="92"/>
    </row>
    <row r="962" spans="1:18" x14ac:dyDescent="0.25">
      <c r="A962" s="353">
        <v>39365</v>
      </c>
      <c r="B962" s="353" t="s">
        <v>285</v>
      </c>
      <c r="C962" s="263" t="s">
        <v>679</v>
      </c>
      <c r="D962" s="157" t="s">
        <v>681</v>
      </c>
      <c r="E962" s="44">
        <v>39365</v>
      </c>
      <c r="F962" s="146" t="str">
        <f t="shared" si="69"/>
        <v>2007-08</v>
      </c>
      <c r="G962" s="1"/>
      <c r="H962" s="161"/>
      <c r="I962" s="37"/>
      <c r="J962" s="135">
        <f t="shared" si="68"/>
        <v>0.76382508261777382</v>
      </c>
      <c r="K962" s="112"/>
      <c r="L962" s="37">
        <v>10.155964996</v>
      </c>
      <c r="M962" s="37" t="s">
        <v>288</v>
      </c>
      <c r="N962" s="37">
        <v>3336.4019512195118</v>
      </c>
      <c r="O962" s="130">
        <f t="shared" si="70"/>
        <v>33884.381429171459</v>
      </c>
      <c r="P962" s="132">
        <f t="shared" si="71"/>
        <v>2803.3754742238634</v>
      </c>
      <c r="Q962" s="261">
        <v>0.10831479746216022</v>
      </c>
      <c r="R962" s="92"/>
    </row>
    <row r="963" spans="1:18" x14ac:dyDescent="0.25">
      <c r="A963" s="353">
        <v>39365</v>
      </c>
      <c r="B963" s="353" t="s">
        <v>285</v>
      </c>
      <c r="C963" s="263" t="s">
        <v>679</v>
      </c>
      <c r="D963" s="157" t="s">
        <v>681</v>
      </c>
      <c r="E963" s="44">
        <v>39365</v>
      </c>
      <c r="F963" s="146" t="str">
        <f t="shared" si="69"/>
        <v>2007-08</v>
      </c>
      <c r="G963" s="1"/>
      <c r="H963" s="161"/>
      <c r="I963" s="37"/>
      <c r="J963" s="135">
        <f t="shared" si="68"/>
        <v>0.76382508261777382</v>
      </c>
      <c r="K963" s="112"/>
      <c r="L963" s="37">
        <v>27.3834023635</v>
      </c>
      <c r="M963" s="37" t="s">
        <v>288</v>
      </c>
      <c r="N963" s="37">
        <v>812.22926829268283</v>
      </c>
      <c r="O963" s="130">
        <f t="shared" si="70"/>
        <v>22241.600865069726</v>
      </c>
      <c r="P963" s="132">
        <f t="shared" si="71"/>
        <v>1840.126800099516</v>
      </c>
      <c r="Q963" s="261">
        <v>0.10831479746216022</v>
      </c>
      <c r="R963" s="92"/>
    </row>
    <row r="964" spans="1:18" x14ac:dyDescent="0.25">
      <c r="A964" s="353">
        <v>39365</v>
      </c>
      <c r="B964" s="353" t="s">
        <v>285</v>
      </c>
      <c r="C964" s="263" t="s">
        <v>679</v>
      </c>
      <c r="D964" s="157" t="s">
        <v>681</v>
      </c>
      <c r="E964" s="44">
        <v>39365</v>
      </c>
      <c r="F964" s="146" t="str">
        <f t="shared" si="69"/>
        <v>2007-08</v>
      </c>
      <c r="G964" s="1"/>
      <c r="H964" s="161"/>
      <c r="I964" s="37"/>
      <c r="J964" s="135">
        <f t="shared" si="68"/>
        <v>0.76382508261777382</v>
      </c>
      <c r="K964" s="112"/>
      <c r="L964" s="37">
        <v>99.363519588399996</v>
      </c>
      <c r="M964" s="37" t="s">
        <v>288</v>
      </c>
      <c r="N964" s="37">
        <v>812.22926829268283</v>
      </c>
      <c r="O964" s="130">
        <f t="shared" si="70"/>
        <v>80705.958810271783</v>
      </c>
      <c r="P964" s="132">
        <f t="shared" si="71"/>
        <v>6677.091214587047</v>
      </c>
      <c r="Q964" s="261">
        <v>0.10831479746216022</v>
      </c>
      <c r="R964" s="92"/>
    </row>
    <row r="965" spans="1:18" x14ac:dyDescent="0.25">
      <c r="A965" s="353">
        <v>39365</v>
      </c>
      <c r="B965" s="353" t="s">
        <v>285</v>
      </c>
      <c r="C965" s="263" t="s">
        <v>679</v>
      </c>
      <c r="D965" s="157" t="s">
        <v>681</v>
      </c>
      <c r="E965" s="44">
        <v>39365</v>
      </c>
      <c r="F965" s="146" t="str">
        <f t="shared" si="69"/>
        <v>2007-08</v>
      </c>
      <c r="G965" s="1"/>
      <c r="H965" s="161"/>
      <c r="I965" s="37"/>
      <c r="J965" s="135">
        <f t="shared" si="68"/>
        <v>0.76382508261777382</v>
      </c>
      <c r="K965" s="112"/>
      <c r="L965" s="37">
        <v>22.900050305600001</v>
      </c>
      <c r="M965" s="37" t="s">
        <v>288</v>
      </c>
      <c r="N965" s="37">
        <v>3336.4019512195118</v>
      </c>
      <c r="O965" s="130">
        <f t="shared" si="70"/>
        <v>76403.772522628817</v>
      </c>
      <c r="P965" s="132">
        <f t="shared" si="71"/>
        <v>6321.1560310119585</v>
      </c>
      <c r="Q965" s="261">
        <v>0.10831479746216022</v>
      </c>
      <c r="R965" s="92"/>
    </row>
    <row r="966" spans="1:18" x14ac:dyDescent="0.25">
      <c r="A966" s="353">
        <v>39365</v>
      </c>
      <c r="B966" s="353" t="s">
        <v>285</v>
      </c>
      <c r="C966" s="263" t="s">
        <v>679</v>
      </c>
      <c r="D966" s="157" t="s">
        <v>681</v>
      </c>
      <c r="E966" s="44">
        <v>39365</v>
      </c>
      <c r="F966" s="146" t="str">
        <f t="shared" si="69"/>
        <v>2007-08</v>
      </c>
      <c r="G966" s="1"/>
      <c r="H966" s="161"/>
      <c r="I966" s="37"/>
      <c r="J966" s="135">
        <f t="shared" si="68"/>
        <v>0.76382508261777382</v>
      </c>
      <c r="K966" s="112"/>
      <c r="L966" s="37">
        <v>55.782623764</v>
      </c>
      <c r="M966" s="37" t="s">
        <v>288</v>
      </c>
      <c r="N966" s="37">
        <v>812.22926829268283</v>
      </c>
      <c r="O966" s="130">
        <f t="shared" si="70"/>
        <v>45308.279683279739</v>
      </c>
      <c r="P966" s="132">
        <f t="shared" si="71"/>
        <v>3748.5152358139885</v>
      </c>
      <c r="Q966" s="261">
        <v>0.10831479746216022</v>
      </c>
      <c r="R966" s="92"/>
    </row>
    <row r="967" spans="1:18" x14ac:dyDescent="0.25">
      <c r="A967" s="353">
        <v>39365</v>
      </c>
      <c r="B967" s="353" t="s">
        <v>285</v>
      </c>
      <c r="C967" s="263" t="s">
        <v>679</v>
      </c>
      <c r="D967" s="157" t="s">
        <v>681</v>
      </c>
      <c r="E967" s="44">
        <v>39365</v>
      </c>
      <c r="F967" s="146" t="str">
        <f t="shared" si="69"/>
        <v>2007-08</v>
      </c>
      <c r="G967" s="1"/>
      <c r="H967" s="161"/>
      <c r="I967" s="37"/>
      <c r="J967" s="135">
        <f t="shared" si="68"/>
        <v>0.76382508261777382</v>
      </c>
      <c r="K967" s="112"/>
      <c r="L967" s="37">
        <v>14.7738034776</v>
      </c>
      <c r="M967" s="37" t="s">
        <v>288</v>
      </c>
      <c r="N967" s="37">
        <v>3336.4019512195118</v>
      </c>
      <c r="O967" s="130">
        <f t="shared" si="70"/>
        <v>49291.346749598248</v>
      </c>
      <c r="P967" s="132">
        <f t="shared" si="71"/>
        <v>4078.0485504252188</v>
      </c>
      <c r="Q967" s="261">
        <v>0.10831479746216022</v>
      </c>
      <c r="R967" s="92"/>
    </row>
    <row r="968" spans="1:18" x14ac:dyDescent="0.25">
      <c r="A968" s="353">
        <v>41508</v>
      </c>
      <c r="B968" s="353" t="s">
        <v>285</v>
      </c>
      <c r="C968" s="263" t="s">
        <v>678</v>
      </c>
      <c r="D968" s="157" t="s">
        <v>675</v>
      </c>
      <c r="E968" s="44">
        <v>41508</v>
      </c>
      <c r="F968" s="146" t="str">
        <f t="shared" si="69"/>
        <v>2013-14</v>
      </c>
      <c r="G968" s="1"/>
      <c r="H968" s="161"/>
      <c r="I968" s="37"/>
      <c r="J968" s="135">
        <f t="shared" si="68"/>
        <v>0.76382508261777382</v>
      </c>
      <c r="K968" s="112"/>
      <c r="L968" s="37">
        <v>120.843428371</v>
      </c>
      <c r="M968" s="37" t="s">
        <v>288</v>
      </c>
      <c r="N968" s="37">
        <v>3592.3639024390236</v>
      </c>
      <c r="O968" s="130">
        <f t="shared" si="70"/>
        <v>434113.5699269562</v>
      </c>
      <c r="P968" s="132">
        <f t="shared" si="71"/>
        <v>16986.023920566371</v>
      </c>
      <c r="Q968" s="261">
        <v>5.1226472853672503E-2</v>
      </c>
      <c r="R968" s="92"/>
    </row>
    <row r="969" spans="1:18" x14ac:dyDescent="0.25">
      <c r="A969" s="353">
        <v>38860</v>
      </c>
      <c r="B969" s="353" t="s">
        <v>285</v>
      </c>
      <c r="C969" s="263" t="s">
        <v>682</v>
      </c>
      <c r="D969" s="157" t="s">
        <v>674</v>
      </c>
      <c r="E969" s="44">
        <v>38860</v>
      </c>
      <c r="F969" s="146" t="str">
        <f t="shared" si="69"/>
        <v>2005-06</v>
      </c>
      <c r="G969" s="1"/>
      <c r="H969" s="161"/>
      <c r="I969" s="37"/>
      <c r="J969" s="135">
        <f t="shared" si="68"/>
        <v>0.76382508261777382</v>
      </c>
      <c r="K969" s="112"/>
      <c r="L969" s="37">
        <v>46.355114445399998</v>
      </c>
      <c r="M969" s="37" t="s">
        <v>288</v>
      </c>
      <c r="N969" s="37">
        <v>4416.6341463414628</v>
      </c>
      <c r="O969" s="130">
        <f t="shared" si="70"/>
        <v>204733.58131712003</v>
      </c>
      <c r="P969" s="132">
        <f t="shared" si="71"/>
        <v>25225.35634110418</v>
      </c>
      <c r="Q969" s="261">
        <v>0.16130740728991189</v>
      </c>
      <c r="R969" s="92"/>
    </row>
    <row r="970" spans="1:18" x14ac:dyDescent="0.25">
      <c r="A970" s="353">
        <v>38860</v>
      </c>
      <c r="B970" s="353" t="s">
        <v>285</v>
      </c>
      <c r="C970" s="263" t="s">
        <v>682</v>
      </c>
      <c r="D970" s="157" t="s">
        <v>674</v>
      </c>
      <c r="E970" s="44">
        <v>38860</v>
      </c>
      <c r="F970" s="146" t="str">
        <f t="shared" si="69"/>
        <v>2005-06</v>
      </c>
      <c r="G970" s="1"/>
      <c r="H970" s="161"/>
      <c r="I970" s="37"/>
      <c r="J970" s="135">
        <f t="shared" si="68"/>
        <v>0.76382508261777382</v>
      </c>
      <c r="K970" s="112"/>
      <c r="L970" s="37">
        <v>87.174232809900005</v>
      </c>
      <c r="M970" s="37" t="s">
        <v>288</v>
      </c>
      <c r="N970" s="37">
        <v>1680.8751219512192</v>
      </c>
      <c r="O970" s="130">
        <f t="shared" si="70"/>
        <v>146528.99920534465</v>
      </c>
      <c r="P970" s="132">
        <f t="shared" si="71"/>
        <v>18053.932312818415</v>
      </c>
      <c r="Q970" s="261">
        <v>0.16130740728991189</v>
      </c>
      <c r="R970" s="92"/>
    </row>
    <row r="971" spans="1:18" x14ac:dyDescent="0.25">
      <c r="A971" s="353">
        <v>38860</v>
      </c>
      <c r="B971" s="353" t="s">
        <v>285</v>
      </c>
      <c r="C971" s="263" t="s">
        <v>682</v>
      </c>
      <c r="D971" s="157" t="s">
        <v>674</v>
      </c>
      <c r="E971" s="44">
        <v>38860</v>
      </c>
      <c r="F971" s="146" t="str">
        <f t="shared" si="69"/>
        <v>2005-06</v>
      </c>
      <c r="G971" s="1"/>
      <c r="H971" s="161"/>
      <c r="I971" s="37"/>
      <c r="J971" s="135">
        <f t="shared" si="68"/>
        <v>0.76382508261777382</v>
      </c>
      <c r="K971" s="112"/>
      <c r="L971" s="37">
        <v>82.166698773199997</v>
      </c>
      <c r="M971" s="37" t="s">
        <v>288</v>
      </c>
      <c r="N971" s="37">
        <v>4416.6341463414628</v>
      </c>
      <c r="O971" s="130">
        <f t="shared" si="70"/>
        <v>362900.24749386829</v>
      </c>
      <c r="P971" s="132">
        <f t="shared" si="71"/>
        <v>44713.173092636345</v>
      </c>
      <c r="Q971" s="261">
        <v>0.16130740728991189</v>
      </c>
      <c r="R971" s="92"/>
    </row>
    <row r="972" spans="1:18" x14ac:dyDescent="0.25">
      <c r="A972" s="353">
        <v>38860</v>
      </c>
      <c r="B972" s="353" t="s">
        <v>285</v>
      </c>
      <c r="C972" s="263" t="s">
        <v>682</v>
      </c>
      <c r="D972" s="157" t="s">
        <v>674</v>
      </c>
      <c r="E972" s="44">
        <v>38860</v>
      </c>
      <c r="F972" s="146" t="str">
        <f t="shared" si="69"/>
        <v>2005-06</v>
      </c>
      <c r="G972" s="1"/>
      <c r="H972" s="161"/>
      <c r="I972" s="37"/>
      <c r="J972" s="135">
        <f t="shared" si="68"/>
        <v>0.76382508261777382</v>
      </c>
      <c r="K972" s="112"/>
      <c r="L972" s="37">
        <v>42.897615936100003</v>
      </c>
      <c r="M972" s="37" t="s">
        <v>288</v>
      </c>
      <c r="N972" s="37">
        <v>4416.6341463414628</v>
      </c>
      <c r="O972" s="130">
        <f t="shared" si="70"/>
        <v>189463.07534002097</v>
      </c>
      <c r="P972" s="132">
        <f t="shared" si="71"/>
        <v>23343.867470039946</v>
      </c>
      <c r="Q972" s="261">
        <v>0.16130740728991189</v>
      </c>
      <c r="R972" s="92"/>
    </row>
    <row r="973" spans="1:18" x14ac:dyDescent="0.25">
      <c r="A973" s="353">
        <v>38860</v>
      </c>
      <c r="B973" s="353" t="s">
        <v>285</v>
      </c>
      <c r="C973" s="263" t="s">
        <v>682</v>
      </c>
      <c r="D973" s="157" t="s">
        <v>675</v>
      </c>
      <c r="E973" s="44">
        <v>38860</v>
      </c>
      <c r="F973" s="146" t="str">
        <f t="shared" si="69"/>
        <v>2005-06</v>
      </c>
      <c r="G973" s="1"/>
      <c r="H973" s="161"/>
      <c r="I973" s="37"/>
      <c r="J973" s="135">
        <f t="shared" si="68"/>
        <v>0.76382508261777382</v>
      </c>
      <c r="K973" s="112"/>
      <c r="L973" s="37">
        <v>4.0862589247400001</v>
      </c>
      <c r="M973" s="37" t="s">
        <v>288</v>
      </c>
      <c r="N973" s="37">
        <v>950.87219512195099</v>
      </c>
      <c r="O973" s="130">
        <f t="shared" si="70"/>
        <v>3885.509993604187</v>
      </c>
      <c r="P973" s="132">
        <f t="shared" si="71"/>
        <v>478.73618741504941</v>
      </c>
      <c r="Q973" s="261">
        <v>0.16130740728991189</v>
      </c>
      <c r="R973" s="92"/>
    </row>
    <row r="974" spans="1:18" x14ac:dyDescent="0.25">
      <c r="A974" s="353">
        <v>38860</v>
      </c>
      <c r="B974" s="353" t="s">
        <v>285</v>
      </c>
      <c r="C974" s="263" t="s">
        <v>682</v>
      </c>
      <c r="D974" s="157" t="s">
        <v>674</v>
      </c>
      <c r="E974" s="44">
        <v>38860</v>
      </c>
      <c r="F974" s="146" t="str">
        <f t="shared" si="69"/>
        <v>2005-06</v>
      </c>
      <c r="G974" s="1"/>
      <c r="H974" s="161"/>
      <c r="I974" s="37"/>
      <c r="J974" s="135">
        <f t="shared" si="68"/>
        <v>0.76382508261777382</v>
      </c>
      <c r="K974" s="112"/>
      <c r="L974" s="37">
        <v>132.929947521</v>
      </c>
      <c r="M974" s="37" t="s">
        <v>288</v>
      </c>
      <c r="N974" s="37">
        <v>4416.6341463414628</v>
      </c>
      <c r="O974" s="130">
        <f t="shared" si="70"/>
        <v>587102.94529262732</v>
      </c>
      <c r="P974" s="132">
        <f t="shared" si="71"/>
        <v>72337.331807715018</v>
      </c>
      <c r="Q974" s="261">
        <v>0.16130740728991189</v>
      </c>
      <c r="R974" s="92"/>
    </row>
    <row r="975" spans="1:18" x14ac:dyDescent="0.25">
      <c r="C975" s="263"/>
      <c r="D975" s="157"/>
      <c r="E975" s="44"/>
      <c r="F975" s="146" t="str">
        <f t="shared" si="69"/>
        <v>-</v>
      </c>
      <c r="G975" s="1"/>
      <c r="H975" s="161"/>
      <c r="I975" s="37"/>
      <c r="J975" s="135">
        <f t="shared" si="68"/>
        <v>0.76382508261777382</v>
      </c>
      <c r="K975" s="112"/>
      <c r="L975" s="37"/>
      <c r="M975" s="37"/>
      <c r="N975" s="37"/>
      <c r="O975" s="130" t="str">
        <f t="shared" si="70"/>
        <v>-</v>
      </c>
      <c r="P975" s="132" t="e">
        <f t="shared" si="71"/>
        <v>#VALUE!</v>
      </c>
      <c r="Q975" s="261"/>
      <c r="R975" s="92"/>
    </row>
    <row r="976" spans="1:18" x14ac:dyDescent="0.25">
      <c r="A976" s="353">
        <v>41451</v>
      </c>
      <c r="B976" s="353" t="s">
        <v>284</v>
      </c>
      <c r="C976" s="263"/>
      <c r="D976" s="157" t="s">
        <v>683</v>
      </c>
      <c r="E976" s="44">
        <v>41451</v>
      </c>
      <c r="F976" s="146" t="str">
        <f t="shared" si="69"/>
        <v>2012-13</v>
      </c>
      <c r="G976" s="1"/>
      <c r="H976" s="161"/>
      <c r="I976" s="37"/>
      <c r="J976" s="135">
        <f t="shared" si="68"/>
        <v>0.76382508261777382</v>
      </c>
      <c r="K976" s="112"/>
      <c r="L976" s="37">
        <v>1</v>
      </c>
      <c r="M976" s="37" t="s">
        <v>473</v>
      </c>
      <c r="N976" s="37">
        <v>1813339.4250366197</v>
      </c>
      <c r="O976" s="130">
        <f t="shared" si="70"/>
        <v>1813339.4250366197</v>
      </c>
      <c r="P976" s="132">
        <f t="shared" si="71"/>
        <v>1385074.1361426625</v>
      </c>
      <c r="Q976" s="261">
        <v>1</v>
      </c>
      <c r="R976" s="92"/>
    </row>
    <row r="977" spans="1:18" x14ac:dyDescent="0.25">
      <c r="A977" s="353">
        <v>41674</v>
      </c>
      <c r="B977" s="353" t="s">
        <v>284</v>
      </c>
      <c r="C977" s="263"/>
      <c r="D977" s="157" t="s">
        <v>684</v>
      </c>
      <c r="E977" s="44">
        <v>41674</v>
      </c>
      <c r="F977" s="146" t="str">
        <f t="shared" si="69"/>
        <v>2013-14</v>
      </c>
      <c r="G977" s="1"/>
      <c r="H977" s="161"/>
      <c r="I977" s="37"/>
      <c r="J977" s="135">
        <f t="shared" si="68"/>
        <v>0.76382508261777382</v>
      </c>
      <c r="K977" s="112"/>
      <c r="L977" s="37">
        <v>1</v>
      </c>
      <c r="M977" s="37" t="s">
        <v>473</v>
      </c>
      <c r="N977" s="37">
        <v>2790886.9711153847</v>
      </c>
      <c r="O977" s="130">
        <f t="shared" si="70"/>
        <v>2790886.9711153847</v>
      </c>
      <c r="P977" s="132">
        <f t="shared" si="71"/>
        <v>2131749.4712890773</v>
      </c>
      <c r="Q977" s="261">
        <v>1</v>
      </c>
      <c r="R977" s="92"/>
    </row>
    <row r="978" spans="1:18" x14ac:dyDescent="0.25">
      <c r="C978" s="263"/>
      <c r="D978" s="157"/>
      <c r="E978" s="44"/>
      <c r="F978" s="146" t="str">
        <f t="shared" si="69"/>
        <v>-</v>
      </c>
      <c r="G978" s="1"/>
      <c r="H978" s="161"/>
      <c r="I978" s="37"/>
      <c r="J978" s="135">
        <f t="shared" si="68"/>
        <v>0.76382508261777382</v>
      </c>
      <c r="K978" s="112"/>
      <c r="L978" s="37"/>
      <c r="M978" s="37"/>
      <c r="N978" s="37"/>
      <c r="O978" s="130" t="str">
        <f t="shared" si="70"/>
        <v>-</v>
      </c>
      <c r="P978" s="132" t="e">
        <f t="shared" si="71"/>
        <v>#VALUE!</v>
      </c>
      <c r="Q978" s="261"/>
      <c r="R978" s="92"/>
    </row>
    <row r="979" spans="1:18" ht="34.5" x14ac:dyDescent="0.25">
      <c r="A979" s="353">
        <v>1996</v>
      </c>
      <c r="B979" s="353" t="s">
        <v>478</v>
      </c>
      <c r="C979" s="263" t="s">
        <v>685</v>
      </c>
      <c r="D979" s="157" t="s">
        <v>686</v>
      </c>
      <c r="E979" s="44">
        <v>35246</v>
      </c>
      <c r="F979" s="146" t="str">
        <f t="shared" si="69"/>
        <v>1995-96</v>
      </c>
      <c r="G979" s="1"/>
      <c r="H979" s="161"/>
      <c r="I979" s="37"/>
      <c r="J979" s="135">
        <f t="shared" si="68"/>
        <v>0.76382508261777382</v>
      </c>
      <c r="K979" s="112"/>
      <c r="L979" s="37">
        <v>1</v>
      </c>
      <c r="M979" s="37" t="s">
        <v>485</v>
      </c>
      <c r="N979" s="37">
        <v>11792266.343825666</v>
      </c>
      <c r="O979" s="130">
        <f t="shared" si="70"/>
        <v>11792266.343825666</v>
      </c>
      <c r="P979" s="132">
        <f t="shared" si="71"/>
        <v>9007228.8143234327</v>
      </c>
      <c r="Q979" s="261">
        <v>1</v>
      </c>
      <c r="R979" s="92"/>
    </row>
    <row r="980" spans="1:18" x14ac:dyDescent="0.25">
      <c r="A980" s="353">
        <v>1998</v>
      </c>
      <c r="B980" s="353" t="s">
        <v>478</v>
      </c>
      <c r="C980" s="263" t="s">
        <v>685</v>
      </c>
      <c r="D980" s="157" t="s">
        <v>481</v>
      </c>
      <c r="E980" s="44">
        <v>35976</v>
      </c>
      <c r="F980" s="146" t="str">
        <f t="shared" si="69"/>
        <v>1997-98</v>
      </c>
      <c r="G980" s="1"/>
      <c r="H980" s="161"/>
      <c r="I980" s="37"/>
      <c r="J980" s="135">
        <f t="shared" si="68"/>
        <v>0.76382508261777382</v>
      </c>
      <c r="K980" s="112"/>
      <c r="L980" s="37">
        <v>1</v>
      </c>
      <c r="M980" s="37" t="s">
        <v>485</v>
      </c>
      <c r="N980" s="37">
        <v>680295.39951573859</v>
      </c>
      <c r="O980" s="130">
        <f t="shared" si="70"/>
        <v>680295.39951573859</v>
      </c>
      <c r="P980" s="132">
        <f t="shared" si="71"/>
        <v>519626.68973960046</v>
      </c>
      <c r="Q980" s="261">
        <v>1</v>
      </c>
      <c r="R980" s="92"/>
    </row>
    <row r="981" spans="1:18" ht="23" x14ac:dyDescent="0.25">
      <c r="A981" s="353">
        <v>1999</v>
      </c>
      <c r="B981" s="353" t="s">
        <v>478</v>
      </c>
      <c r="C981" s="263" t="s">
        <v>685</v>
      </c>
      <c r="D981" s="157" t="s">
        <v>687</v>
      </c>
      <c r="E981" s="44">
        <v>36341</v>
      </c>
      <c r="F981" s="146" t="str">
        <f t="shared" si="69"/>
        <v>1998-99</v>
      </c>
      <c r="G981" s="1"/>
      <c r="H981" s="161"/>
      <c r="I981" s="37"/>
      <c r="J981" s="135">
        <f t="shared" si="68"/>
        <v>0.76382508261777382</v>
      </c>
      <c r="K981" s="112"/>
      <c r="L981" s="37">
        <v>1</v>
      </c>
      <c r="M981" s="37" t="s">
        <v>485</v>
      </c>
      <c r="N981" s="37">
        <v>3982532.687651332</v>
      </c>
      <c r="O981" s="130">
        <f t="shared" si="70"/>
        <v>3982532.687651332</v>
      </c>
      <c r="P981" s="132">
        <f t="shared" si="71"/>
        <v>3041958.3591732634</v>
      </c>
      <c r="Q981" s="261">
        <v>1</v>
      </c>
      <c r="R981" s="92"/>
    </row>
    <row r="982" spans="1:18" x14ac:dyDescent="0.25">
      <c r="A982" s="353">
        <v>2000</v>
      </c>
      <c r="B982" s="353" t="s">
        <v>478</v>
      </c>
      <c r="C982" s="263" t="s">
        <v>685</v>
      </c>
      <c r="D982" s="157" t="s">
        <v>688</v>
      </c>
      <c r="E982" s="44">
        <v>36707</v>
      </c>
      <c r="F982" s="146" t="str">
        <f t="shared" si="69"/>
        <v>1999-00</v>
      </c>
      <c r="G982" s="1"/>
      <c r="H982" s="161"/>
      <c r="I982" s="37"/>
      <c r="J982" s="135">
        <f t="shared" si="68"/>
        <v>0.76382508261777382</v>
      </c>
      <c r="K982" s="112"/>
      <c r="L982" s="37">
        <v>1</v>
      </c>
      <c r="M982" s="37" t="s">
        <v>485</v>
      </c>
      <c r="N982" s="37">
        <v>260324.45520581116</v>
      </c>
      <c r="O982" s="130">
        <f t="shared" si="70"/>
        <v>260324.45520581116</v>
      </c>
      <c r="P982" s="132">
        <f t="shared" si="71"/>
        <v>198842.34850500568</v>
      </c>
      <c r="Q982" s="261">
        <v>1</v>
      </c>
      <c r="R982" s="92"/>
    </row>
    <row r="983" spans="1:18" x14ac:dyDescent="0.25">
      <c r="A983" s="353">
        <v>2002</v>
      </c>
      <c r="B983" s="353" t="s">
        <v>478</v>
      </c>
      <c r="C983" s="263" t="s">
        <v>685</v>
      </c>
      <c r="D983" s="157" t="s">
        <v>689</v>
      </c>
      <c r="E983" s="44">
        <v>37437</v>
      </c>
      <c r="F983" s="146" t="str">
        <f t="shared" si="69"/>
        <v>2001-02</v>
      </c>
      <c r="G983" s="1"/>
      <c r="H983" s="161"/>
      <c r="I983" s="37"/>
      <c r="J983" s="135">
        <f t="shared" si="68"/>
        <v>0.76382508261777382</v>
      </c>
      <c r="K983" s="112"/>
      <c r="L983" s="37">
        <v>1</v>
      </c>
      <c r="M983" s="37" t="s">
        <v>485</v>
      </c>
      <c r="N983" s="37">
        <v>900744.49165537837</v>
      </c>
      <c r="O983" s="130">
        <f t="shared" si="70"/>
        <v>900744.49165537837</v>
      </c>
      <c r="P983" s="132">
        <f t="shared" si="71"/>
        <v>688011.23575617408</v>
      </c>
      <c r="Q983" s="261">
        <v>1</v>
      </c>
      <c r="R983" s="92"/>
    </row>
    <row r="984" spans="1:18" x14ac:dyDescent="0.25">
      <c r="A984" s="353">
        <v>2005</v>
      </c>
      <c r="B984" s="353" t="s">
        <v>478</v>
      </c>
      <c r="C984" s="263" t="s">
        <v>685</v>
      </c>
      <c r="D984" s="157" t="s">
        <v>690</v>
      </c>
      <c r="E984" s="44">
        <v>38533</v>
      </c>
      <c r="F984" s="146" t="str">
        <f t="shared" si="69"/>
        <v>2004-05</v>
      </c>
      <c r="G984" s="1"/>
      <c r="H984" s="161"/>
      <c r="I984" s="37"/>
      <c r="J984" s="135">
        <f t="shared" si="68"/>
        <v>0.76382508261777382</v>
      </c>
      <c r="K984" s="112"/>
      <c r="L984" s="37">
        <v>1</v>
      </c>
      <c r="M984" s="37" t="s">
        <v>485</v>
      </c>
      <c r="N984" s="37">
        <v>513457.62711864413</v>
      </c>
      <c r="O984" s="130">
        <f t="shared" si="70"/>
        <v>513457.62711864413</v>
      </c>
      <c r="P984" s="132">
        <f t="shared" si="71"/>
        <v>392191.81445462443</v>
      </c>
      <c r="Q984" s="261">
        <v>1</v>
      </c>
      <c r="R984" s="92"/>
    </row>
    <row r="985" spans="1:18" x14ac:dyDescent="0.25">
      <c r="C985" s="263"/>
      <c r="D985" s="157"/>
      <c r="E985" s="44"/>
      <c r="F985" s="146" t="str">
        <f t="shared" si="69"/>
        <v>-</v>
      </c>
      <c r="G985" s="1"/>
      <c r="H985" s="161"/>
      <c r="I985" s="37"/>
      <c r="J985" s="135">
        <f t="shared" si="68"/>
        <v>0.76382508261777382</v>
      </c>
      <c r="K985" s="112"/>
      <c r="L985" s="37"/>
      <c r="M985" s="37"/>
      <c r="N985" s="37"/>
      <c r="O985" s="130"/>
      <c r="P985" s="132"/>
      <c r="Q985" s="261"/>
      <c r="R985" s="92"/>
    </row>
    <row r="986" spans="1:18" x14ac:dyDescent="0.25">
      <c r="A986" s="353">
        <v>41838</v>
      </c>
      <c r="B986" s="353" t="s">
        <v>285</v>
      </c>
      <c r="C986" s="263" t="s">
        <v>691</v>
      </c>
      <c r="D986" s="157" t="s">
        <v>692</v>
      </c>
      <c r="E986" s="44">
        <f>IF(VALUE(A986)&lt;2022,DATEVALUE("30 Jun "&amp;A986),A986)</f>
        <v>41838</v>
      </c>
      <c r="F986" s="146" t="str">
        <f t="shared" si="69"/>
        <v>2014-15</v>
      </c>
      <c r="G986" s="1"/>
      <c r="H986" s="161"/>
      <c r="I986" s="37"/>
      <c r="J986" s="135">
        <f t="shared" ref="J986:J1049" si="72">J985</f>
        <v>0.76382508261777382</v>
      </c>
      <c r="K986" s="112"/>
      <c r="L986" s="37">
        <v>31.201478909199999</v>
      </c>
      <c r="M986" s="37" t="s">
        <v>288</v>
      </c>
      <c r="N986" s="37">
        <v>3336.4019512195118</v>
      </c>
      <c r="O986" s="130">
        <f t="shared" ref="O986:O1049" si="73">IF(N986="","-",L986*N986)</f>
        <v>104100.67511358933</v>
      </c>
      <c r="P986" s="132">
        <f t="shared" ref="P986:P1049" si="74">IF(O986="-","-",IF(OR(E986&lt;$E$15,E986&gt;$E$16),0,O986*J986))*Q986</f>
        <v>552.01478632546457</v>
      </c>
      <c r="Q986" s="261">
        <v>6.9422979566248462E-3</v>
      </c>
      <c r="R986" s="92"/>
    </row>
    <row r="987" spans="1:18" x14ac:dyDescent="0.25">
      <c r="A987" s="353">
        <v>41838</v>
      </c>
      <c r="B987" s="353" t="s">
        <v>285</v>
      </c>
      <c r="C987" s="263" t="s">
        <v>691</v>
      </c>
      <c r="D987" s="157" t="s">
        <v>692</v>
      </c>
      <c r="E987" s="44">
        <f t="shared" ref="E987:E1050" si="75">IF(VALUE(A987)&lt;2022,DATEVALUE("30 Jun "&amp;A987),A987)</f>
        <v>41838</v>
      </c>
      <c r="F987" s="146" t="str">
        <f t="shared" si="69"/>
        <v>2014-15</v>
      </c>
      <c r="G987" s="1"/>
      <c r="H987" s="161"/>
      <c r="I987" s="37"/>
      <c r="J987" s="135">
        <f t="shared" si="72"/>
        <v>0.76382508261777382</v>
      </c>
      <c r="K987" s="112"/>
      <c r="L987" s="37">
        <v>21.159818281700002</v>
      </c>
      <c r="M987" s="37" t="s">
        <v>288</v>
      </c>
      <c r="N987" s="37">
        <v>3592.3639024390236</v>
      </c>
      <c r="O987" s="130">
        <f t="shared" si="73"/>
        <v>76013.767377348413</v>
      </c>
      <c r="P987" s="132">
        <f t="shared" si="74"/>
        <v>403.07830387089388</v>
      </c>
      <c r="Q987" s="261">
        <v>6.9422979566248462E-3</v>
      </c>
      <c r="R987" s="92"/>
    </row>
    <row r="988" spans="1:18" x14ac:dyDescent="0.25">
      <c r="A988" s="353">
        <v>41838</v>
      </c>
      <c r="B988" s="353" t="s">
        <v>285</v>
      </c>
      <c r="C988" s="263" t="s">
        <v>691</v>
      </c>
      <c r="D988" s="157" t="s">
        <v>692</v>
      </c>
      <c r="E988" s="44">
        <f t="shared" si="75"/>
        <v>41838</v>
      </c>
      <c r="F988" s="146" t="str">
        <f t="shared" si="69"/>
        <v>2014-15</v>
      </c>
      <c r="G988" s="1"/>
      <c r="H988" s="161"/>
      <c r="I988" s="37"/>
      <c r="J988" s="135">
        <f t="shared" si="72"/>
        <v>0.76382508261777382</v>
      </c>
      <c r="K988" s="112"/>
      <c r="L988" s="37">
        <v>27.788066670300001</v>
      </c>
      <c r="M988" s="37" t="s">
        <v>288</v>
      </c>
      <c r="N988" s="37">
        <v>3592.3639024390236</v>
      </c>
      <c r="O988" s="130">
        <f t="shared" si="73"/>
        <v>99824.84762495468</v>
      </c>
      <c r="P988" s="132">
        <f t="shared" si="74"/>
        <v>529.34135029896674</v>
      </c>
      <c r="Q988" s="261">
        <v>6.9422979566248462E-3</v>
      </c>
      <c r="R988" s="92"/>
    </row>
    <row r="989" spans="1:18" x14ac:dyDescent="0.25">
      <c r="A989" s="353">
        <v>41838</v>
      </c>
      <c r="B989" s="353" t="s">
        <v>285</v>
      </c>
      <c r="C989" s="263" t="s">
        <v>691</v>
      </c>
      <c r="D989" s="157" t="s">
        <v>692</v>
      </c>
      <c r="E989" s="44">
        <f t="shared" si="75"/>
        <v>41838</v>
      </c>
      <c r="F989" s="146" t="str">
        <f t="shared" si="69"/>
        <v>2014-15</v>
      </c>
      <c r="G989" s="1"/>
      <c r="H989" s="161"/>
      <c r="I989" s="37"/>
      <c r="J989" s="135">
        <f t="shared" si="72"/>
        <v>0.76382508261777382</v>
      </c>
      <c r="K989" s="112"/>
      <c r="L989" s="37">
        <v>57.131619773399997</v>
      </c>
      <c r="M989" s="37" t="s">
        <v>288</v>
      </c>
      <c r="N989" s="37">
        <v>812.22926829268283</v>
      </c>
      <c r="O989" s="130">
        <f t="shared" si="73"/>
        <v>46403.97372492445</v>
      </c>
      <c r="P989" s="132">
        <f t="shared" si="74"/>
        <v>246.06641227317809</v>
      </c>
      <c r="Q989" s="261">
        <v>6.9422979566248462E-3</v>
      </c>
      <c r="R989" s="92"/>
    </row>
    <row r="990" spans="1:18" x14ac:dyDescent="0.25">
      <c r="A990" s="353">
        <v>41838</v>
      </c>
      <c r="B990" s="353" t="s">
        <v>285</v>
      </c>
      <c r="C990" s="263" t="s">
        <v>691</v>
      </c>
      <c r="D990" s="157" t="s">
        <v>692</v>
      </c>
      <c r="E990" s="44">
        <f t="shared" si="75"/>
        <v>41838</v>
      </c>
      <c r="F990" s="146" t="str">
        <f t="shared" si="69"/>
        <v>2014-15</v>
      </c>
      <c r="G990" s="1"/>
      <c r="H990" s="161"/>
      <c r="I990" s="37"/>
      <c r="J990" s="135">
        <f t="shared" si="72"/>
        <v>0.76382508261777382</v>
      </c>
      <c r="K990" s="112"/>
      <c r="L990" s="37">
        <v>50.450346404299999</v>
      </c>
      <c r="M990" s="37" t="s">
        <v>288</v>
      </c>
      <c r="N990" s="37">
        <v>812.22926829268283</v>
      </c>
      <c r="O990" s="130">
        <f t="shared" si="73"/>
        <v>40977.247945076968</v>
      </c>
      <c r="P990" s="132">
        <f t="shared" si="74"/>
        <v>217.29010636987138</v>
      </c>
      <c r="Q990" s="261">
        <v>6.9422979566248462E-3</v>
      </c>
      <c r="R990" s="92"/>
    </row>
    <row r="991" spans="1:18" x14ac:dyDescent="0.25">
      <c r="A991" s="353">
        <v>41838</v>
      </c>
      <c r="B991" s="353" t="s">
        <v>285</v>
      </c>
      <c r="C991" s="263" t="s">
        <v>691</v>
      </c>
      <c r="D991" s="157" t="s">
        <v>692</v>
      </c>
      <c r="E991" s="44">
        <f t="shared" si="75"/>
        <v>41838</v>
      </c>
      <c r="F991" s="146" t="str">
        <f t="shared" si="69"/>
        <v>2014-15</v>
      </c>
      <c r="G991" s="1"/>
      <c r="H991" s="161"/>
      <c r="I991" s="37"/>
      <c r="J991" s="135">
        <f t="shared" si="72"/>
        <v>0.76382508261777382</v>
      </c>
      <c r="K991" s="112"/>
      <c r="L991" s="37">
        <v>24.229611800800001</v>
      </c>
      <c r="M991" s="37" t="s">
        <v>288</v>
      </c>
      <c r="N991" s="37">
        <v>812.22926829268283</v>
      </c>
      <c r="O991" s="130">
        <f t="shared" si="73"/>
        <v>19679.999863979538</v>
      </c>
      <c r="P991" s="132">
        <f t="shared" si="74"/>
        <v>104.35716106495924</v>
      </c>
      <c r="Q991" s="261">
        <v>6.9422979566248462E-3</v>
      </c>
      <c r="R991" s="92"/>
    </row>
    <row r="992" spans="1:18" x14ac:dyDescent="0.25">
      <c r="A992" s="353">
        <v>41838</v>
      </c>
      <c r="B992" s="353" t="s">
        <v>285</v>
      </c>
      <c r="C992" s="263" t="s">
        <v>691</v>
      </c>
      <c r="D992" s="157" t="s">
        <v>692</v>
      </c>
      <c r="E992" s="44">
        <f t="shared" si="75"/>
        <v>41838</v>
      </c>
      <c r="F992" s="146" t="str">
        <f t="shared" si="69"/>
        <v>2014-15</v>
      </c>
      <c r="G992" s="1"/>
      <c r="H992" s="161"/>
      <c r="I992" s="37"/>
      <c r="J992" s="135">
        <f t="shared" si="72"/>
        <v>0.76382508261777382</v>
      </c>
      <c r="K992" s="112"/>
      <c r="L992" s="37">
        <v>30.930194697099999</v>
      </c>
      <c r="M992" s="37" t="s">
        <v>288</v>
      </c>
      <c r="N992" s="37">
        <v>3336.4019512195118</v>
      </c>
      <c r="O992" s="130">
        <f t="shared" si="73"/>
        <v>103195.56193900383</v>
      </c>
      <c r="P992" s="132">
        <f t="shared" si="74"/>
        <v>547.21524150864195</v>
      </c>
      <c r="Q992" s="261">
        <v>6.9422979566248462E-3</v>
      </c>
      <c r="R992" s="92"/>
    </row>
    <row r="993" spans="1:18" x14ac:dyDescent="0.25">
      <c r="A993" s="353">
        <v>41838</v>
      </c>
      <c r="B993" s="353" t="s">
        <v>285</v>
      </c>
      <c r="C993" s="263" t="s">
        <v>691</v>
      </c>
      <c r="D993" s="157" t="s">
        <v>692</v>
      </c>
      <c r="E993" s="44">
        <f t="shared" si="75"/>
        <v>41838</v>
      </c>
      <c r="F993" s="146" t="str">
        <f t="shared" si="69"/>
        <v>2014-15</v>
      </c>
      <c r="G993" s="1"/>
      <c r="H993" s="161"/>
      <c r="I993" s="37"/>
      <c r="J993" s="135">
        <f t="shared" si="72"/>
        <v>0.76382508261777382</v>
      </c>
      <c r="K993" s="112"/>
      <c r="L993" s="37">
        <v>12.6712258881</v>
      </c>
      <c r="M993" s="37" t="s">
        <v>288</v>
      </c>
      <c r="N993" s="37">
        <v>812.22926829268283</v>
      </c>
      <c r="O993" s="130">
        <f t="shared" si="73"/>
        <v>10291.940531462764</v>
      </c>
      <c r="P993" s="132">
        <f t="shared" si="74"/>
        <v>54.575086541472075</v>
      </c>
      <c r="Q993" s="261">
        <v>6.9422979566248462E-3</v>
      </c>
      <c r="R993" s="92"/>
    </row>
    <row r="994" spans="1:18" x14ac:dyDescent="0.25">
      <c r="A994" s="353">
        <v>41838</v>
      </c>
      <c r="B994" s="353" t="s">
        <v>285</v>
      </c>
      <c r="C994" s="263" t="s">
        <v>691</v>
      </c>
      <c r="D994" s="157" t="s">
        <v>692</v>
      </c>
      <c r="E994" s="44">
        <f t="shared" si="75"/>
        <v>41838</v>
      </c>
      <c r="F994" s="146" t="str">
        <f t="shared" si="69"/>
        <v>2014-15</v>
      </c>
      <c r="G994" s="1"/>
      <c r="H994" s="161"/>
      <c r="I994" s="37"/>
      <c r="J994" s="135">
        <f t="shared" si="72"/>
        <v>0.76382508261777382</v>
      </c>
      <c r="K994" s="112"/>
      <c r="L994" s="37">
        <v>3.9880783593100002</v>
      </c>
      <c r="M994" s="37" t="s">
        <v>288</v>
      </c>
      <c r="N994" s="37">
        <v>812.22926829268283</v>
      </c>
      <c r="O994" s="130">
        <f t="shared" si="73"/>
        <v>3239.2339676762444</v>
      </c>
      <c r="P994" s="132">
        <f t="shared" si="74"/>
        <v>17.176690204687919</v>
      </c>
      <c r="Q994" s="261">
        <v>6.9422979566248462E-3</v>
      </c>
      <c r="R994" s="92"/>
    </row>
    <row r="995" spans="1:18" x14ac:dyDescent="0.25">
      <c r="A995" s="353">
        <v>41838</v>
      </c>
      <c r="B995" s="353" t="s">
        <v>285</v>
      </c>
      <c r="C995" s="263" t="s">
        <v>691</v>
      </c>
      <c r="D995" s="157" t="s">
        <v>692</v>
      </c>
      <c r="E995" s="44">
        <f t="shared" si="75"/>
        <v>41838</v>
      </c>
      <c r="F995" s="146" t="str">
        <f t="shared" si="69"/>
        <v>2014-15</v>
      </c>
      <c r="G995" s="1"/>
      <c r="H995" s="161"/>
      <c r="I995" s="37"/>
      <c r="J995" s="135">
        <f t="shared" si="72"/>
        <v>0.76382508261777382</v>
      </c>
      <c r="K995" s="112"/>
      <c r="L995" s="37">
        <v>12.609403820500001</v>
      </c>
      <c r="M995" s="37" t="s">
        <v>288</v>
      </c>
      <c r="N995" s="37">
        <v>812.22926829268283</v>
      </c>
      <c r="O995" s="130">
        <f t="shared" si="73"/>
        <v>10241.726838731674</v>
      </c>
      <c r="P995" s="132">
        <f t="shared" si="74"/>
        <v>54.308818327233126</v>
      </c>
      <c r="Q995" s="261">
        <v>6.9422979566248462E-3</v>
      </c>
      <c r="R995" s="92"/>
    </row>
    <row r="996" spans="1:18" x14ac:dyDescent="0.25">
      <c r="A996" s="353">
        <v>41838</v>
      </c>
      <c r="B996" s="353" t="s">
        <v>285</v>
      </c>
      <c r="C996" s="263" t="s">
        <v>691</v>
      </c>
      <c r="D996" s="157" t="s">
        <v>692</v>
      </c>
      <c r="E996" s="44">
        <f t="shared" si="75"/>
        <v>41838</v>
      </c>
      <c r="F996" s="146" t="str">
        <f t="shared" si="69"/>
        <v>2014-15</v>
      </c>
      <c r="G996" s="1"/>
      <c r="H996" s="161"/>
      <c r="I996" s="37"/>
      <c r="J996" s="135">
        <f t="shared" si="72"/>
        <v>0.76382508261777382</v>
      </c>
      <c r="K996" s="112"/>
      <c r="L996" s="37">
        <v>3.8298240874</v>
      </c>
      <c r="M996" s="37" t="s">
        <v>288</v>
      </c>
      <c r="N996" s="37">
        <v>3336.4019512195118</v>
      </c>
      <c r="O996" s="130">
        <f t="shared" si="73"/>
        <v>12777.832558028846</v>
      </c>
      <c r="P996" s="132">
        <f t="shared" si="74"/>
        <v>67.757029447949137</v>
      </c>
      <c r="Q996" s="261">
        <v>6.9422979566248462E-3</v>
      </c>
      <c r="R996" s="92"/>
    </row>
    <row r="997" spans="1:18" x14ac:dyDescent="0.25">
      <c r="A997" s="353">
        <v>41838</v>
      </c>
      <c r="B997" s="353" t="s">
        <v>285</v>
      </c>
      <c r="C997" s="263" t="s">
        <v>691</v>
      </c>
      <c r="D997" s="157" t="s">
        <v>692</v>
      </c>
      <c r="E997" s="44">
        <f t="shared" si="75"/>
        <v>41838</v>
      </c>
      <c r="F997" s="146" t="str">
        <f t="shared" si="69"/>
        <v>2014-15</v>
      </c>
      <c r="G997" s="1"/>
      <c r="H997" s="161"/>
      <c r="I997" s="37"/>
      <c r="J997" s="135">
        <f t="shared" si="72"/>
        <v>0.76382508261777382</v>
      </c>
      <c r="K997" s="112"/>
      <c r="L997" s="37">
        <v>50.635964511899999</v>
      </c>
      <c r="M997" s="37" t="s">
        <v>288</v>
      </c>
      <c r="N997" s="37">
        <v>812.22926829268283</v>
      </c>
      <c r="O997" s="130">
        <f t="shared" si="73"/>
        <v>41128.01240479479</v>
      </c>
      <c r="P997" s="132">
        <f t="shared" si="74"/>
        <v>218.08956526796013</v>
      </c>
      <c r="Q997" s="261">
        <v>6.9422979566248462E-3</v>
      </c>
      <c r="R997" s="92"/>
    </row>
    <row r="998" spans="1:18" x14ac:dyDescent="0.25">
      <c r="A998" s="353">
        <v>41838</v>
      </c>
      <c r="B998" s="353" t="s">
        <v>285</v>
      </c>
      <c r="C998" s="263" t="s">
        <v>691</v>
      </c>
      <c r="D998" s="157" t="s">
        <v>692</v>
      </c>
      <c r="E998" s="44">
        <f t="shared" si="75"/>
        <v>41838</v>
      </c>
      <c r="F998" s="146" t="str">
        <f t="shared" si="69"/>
        <v>2014-15</v>
      </c>
      <c r="G998" s="1"/>
      <c r="H998" s="161"/>
      <c r="I998" s="37"/>
      <c r="J998" s="135">
        <f t="shared" si="72"/>
        <v>0.76382508261777382</v>
      </c>
      <c r="K998" s="112"/>
      <c r="L998" s="37">
        <v>59.464485175199997</v>
      </c>
      <c r="M998" s="37" t="s">
        <v>288</v>
      </c>
      <c r="N998" s="37">
        <v>812.22926829268283</v>
      </c>
      <c r="O998" s="130">
        <f t="shared" si="73"/>
        <v>48298.795283253778</v>
      </c>
      <c r="P998" s="132">
        <f t="shared" si="74"/>
        <v>256.11408503327061</v>
      </c>
      <c r="Q998" s="261">
        <v>6.9422979566248462E-3</v>
      </c>
      <c r="R998" s="92"/>
    </row>
    <row r="999" spans="1:18" x14ac:dyDescent="0.25">
      <c r="A999" s="353">
        <v>41838</v>
      </c>
      <c r="B999" s="353" t="s">
        <v>285</v>
      </c>
      <c r="C999" s="263" t="s">
        <v>691</v>
      </c>
      <c r="D999" s="157" t="s">
        <v>692</v>
      </c>
      <c r="E999" s="44">
        <f t="shared" si="75"/>
        <v>41838</v>
      </c>
      <c r="F999" s="146" t="str">
        <f t="shared" si="69"/>
        <v>2014-15</v>
      </c>
      <c r="G999" s="1"/>
      <c r="H999" s="161"/>
      <c r="I999" s="37"/>
      <c r="J999" s="135">
        <f t="shared" si="72"/>
        <v>0.76382508261777382</v>
      </c>
      <c r="K999" s="112"/>
      <c r="L999" s="37">
        <v>63.193183486199999</v>
      </c>
      <c r="M999" s="37" t="s">
        <v>288</v>
      </c>
      <c r="N999" s="37">
        <v>812.22926829268283</v>
      </c>
      <c r="O999" s="130">
        <f t="shared" si="73"/>
        <v>51327.353184081476</v>
      </c>
      <c r="P999" s="132">
        <f t="shared" si="74"/>
        <v>272.17362298223685</v>
      </c>
      <c r="Q999" s="261">
        <v>6.9422979566248462E-3</v>
      </c>
      <c r="R999" s="92"/>
    </row>
    <row r="1000" spans="1:18" x14ac:dyDescent="0.25">
      <c r="A1000" s="353">
        <v>41838</v>
      </c>
      <c r="B1000" s="353" t="s">
        <v>285</v>
      </c>
      <c r="C1000" s="263" t="s">
        <v>691</v>
      </c>
      <c r="D1000" s="157" t="s">
        <v>692</v>
      </c>
      <c r="E1000" s="44">
        <f t="shared" si="75"/>
        <v>41838</v>
      </c>
      <c r="F1000" s="146" t="str">
        <f t="shared" si="69"/>
        <v>2014-15</v>
      </c>
      <c r="G1000" s="1"/>
      <c r="H1000" s="161"/>
      <c r="I1000" s="37"/>
      <c r="J1000" s="135">
        <f t="shared" si="72"/>
        <v>0.76382508261777382</v>
      </c>
      <c r="K1000" s="112"/>
      <c r="L1000" s="37">
        <v>56.5627236407</v>
      </c>
      <c r="M1000" s="37" t="s">
        <v>288</v>
      </c>
      <c r="N1000" s="37">
        <v>3336.4019512195118</v>
      </c>
      <c r="O1000" s="130">
        <f t="shared" si="73"/>
        <v>188715.98152112149</v>
      </c>
      <c r="P1000" s="132">
        <f t="shared" si="74"/>
        <v>1000.7044824821055</v>
      </c>
      <c r="Q1000" s="261">
        <v>6.9422979566248462E-3</v>
      </c>
      <c r="R1000" s="92"/>
    </row>
    <row r="1001" spans="1:18" x14ac:dyDescent="0.25">
      <c r="A1001" s="353">
        <v>41838</v>
      </c>
      <c r="B1001" s="353" t="s">
        <v>285</v>
      </c>
      <c r="C1001" s="263" t="s">
        <v>691</v>
      </c>
      <c r="D1001" s="157" t="s">
        <v>692</v>
      </c>
      <c r="E1001" s="44">
        <f t="shared" si="75"/>
        <v>41838</v>
      </c>
      <c r="F1001" s="146" t="str">
        <f t="shared" si="69"/>
        <v>2014-15</v>
      </c>
      <c r="G1001" s="1"/>
      <c r="H1001" s="161"/>
      <c r="I1001" s="37"/>
      <c r="J1001" s="135">
        <f t="shared" si="72"/>
        <v>0.76382508261777382</v>
      </c>
      <c r="K1001" s="112"/>
      <c r="L1001" s="37">
        <v>30.8975936577</v>
      </c>
      <c r="M1001" s="37" t="s">
        <v>288</v>
      </c>
      <c r="N1001" s="37">
        <v>3592.3639024390236</v>
      </c>
      <c r="O1001" s="130">
        <f t="shared" si="73"/>
        <v>110995.4001281504</v>
      </c>
      <c r="P1001" s="132">
        <f t="shared" si="74"/>
        <v>588.57545369417153</v>
      </c>
      <c r="Q1001" s="261">
        <v>6.9422979566248462E-3</v>
      </c>
      <c r="R1001" s="92"/>
    </row>
    <row r="1002" spans="1:18" x14ac:dyDescent="0.25">
      <c r="A1002" s="353">
        <v>41838</v>
      </c>
      <c r="B1002" s="353" t="s">
        <v>285</v>
      </c>
      <c r="C1002" s="263" t="s">
        <v>691</v>
      </c>
      <c r="D1002" s="157" t="s">
        <v>692</v>
      </c>
      <c r="E1002" s="44">
        <f t="shared" si="75"/>
        <v>41838</v>
      </c>
      <c r="F1002" s="146" t="str">
        <f t="shared" si="69"/>
        <v>2014-15</v>
      </c>
      <c r="G1002" s="1"/>
      <c r="H1002" s="161"/>
      <c r="I1002" s="37"/>
      <c r="J1002" s="135">
        <f t="shared" si="72"/>
        <v>0.76382508261777382</v>
      </c>
      <c r="K1002" s="112"/>
      <c r="L1002" s="37">
        <v>20.815652439800001</v>
      </c>
      <c r="M1002" s="37" t="s">
        <v>288</v>
      </c>
      <c r="N1002" s="37">
        <v>950.87219512195099</v>
      </c>
      <c r="O1002" s="130">
        <f t="shared" si="73"/>
        <v>19793.025128328223</v>
      </c>
      <c r="P1002" s="132">
        <f t="shared" si="74"/>
        <v>104.95650028231533</v>
      </c>
      <c r="Q1002" s="261">
        <v>6.9422979566248462E-3</v>
      </c>
      <c r="R1002" s="92"/>
    </row>
    <row r="1003" spans="1:18" x14ac:dyDescent="0.25">
      <c r="A1003" s="353">
        <v>41838</v>
      </c>
      <c r="B1003" s="353" t="s">
        <v>285</v>
      </c>
      <c r="C1003" s="263" t="s">
        <v>691</v>
      </c>
      <c r="D1003" s="157" t="s">
        <v>692</v>
      </c>
      <c r="E1003" s="44">
        <f t="shared" si="75"/>
        <v>41838</v>
      </c>
      <c r="F1003" s="146" t="str">
        <f t="shared" si="69"/>
        <v>2014-15</v>
      </c>
      <c r="G1003" s="1"/>
      <c r="H1003" s="161"/>
      <c r="I1003" s="37"/>
      <c r="J1003" s="135">
        <f t="shared" si="72"/>
        <v>0.76382508261777382</v>
      </c>
      <c r="K1003" s="112"/>
      <c r="L1003" s="37">
        <v>45.7474197206</v>
      </c>
      <c r="M1003" s="37" t="s">
        <v>288</v>
      </c>
      <c r="N1003" s="37">
        <v>3336.4019512195118</v>
      </c>
      <c r="O1003" s="130">
        <f t="shared" si="73"/>
        <v>152631.78041906783</v>
      </c>
      <c r="P1003" s="132">
        <f t="shared" si="74"/>
        <v>809.36074201797646</v>
      </c>
      <c r="Q1003" s="261">
        <v>6.9422979566248462E-3</v>
      </c>
      <c r="R1003" s="92"/>
    </row>
    <row r="1004" spans="1:18" x14ac:dyDescent="0.25">
      <c r="A1004" s="353">
        <v>41838</v>
      </c>
      <c r="B1004" s="353" t="s">
        <v>285</v>
      </c>
      <c r="C1004" s="263" t="s">
        <v>691</v>
      </c>
      <c r="D1004" s="157" t="s">
        <v>692</v>
      </c>
      <c r="E1004" s="44">
        <f t="shared" si="75"/>
        <v>41838</v>
      </c>
      <c r="F1004" s="146" t="str">
        <f t="shared" si="69"/>
        <v>2014-15</v>
      </c>
      <c r="G1004" s="1"/>
      <c r="H1004" s="161"/>
      <c r="I1004" s="37"/>
      <c r="J1004" s="135">
        <f t="shared" si="72"/>
        <v>0.76382508261777382</v>
      </c>
      <c r="K1004" s="112"/>
      <c r="L1004" s="37">
        <v>47.668285087000001</v>
      </c>
      <c r="M1004" s="37" t="s">
        <v>288</v>
      </c>
      <c r="N1004" s="37">
        <v>3336.4019512195118</v>
      </c>
      <c r="O1004" s="130">
        <f t="shared" si="73"/>
        <v>159040.55937555476</v>
      </c>
      <c r="P1004" s="132">
        <f t="shared" si="74"/>
        <v>843.34458258781012</v>
      </c>
      <c r="Q1004" s="261">
        <v>6.9422979566248462E-3</v>
      </c>
      <c r="R1004" s="92"/>
    </row>
    <row r="1005" spans="1:18" x14ac:dyDescent="0.25">
      <c r="A1005" s="353">
        <v>41838</v>
      </c>
      <c r="B1005" s="353" t="s">
        <v>285</v>
      </c>
      <c r="C1005" s="263" t="s">
        <v>691</v>
      </c>
      <c r="D1005" s="157" t="s">
        <v>692</v>
      </c>
      <c r="E1005" s="44">
        <f t="shared" si="75"/>
        <v>41838</v>
      </c>
      <c r="F1005" s="146" t="str">
        <f t="shared" si="69"/>
        <v>2014-15</v>
      </c>
      <c r="G1005" s="1"/>
      <c r="H1005" s="161"/>
      <c r="I1005" s="37"/>
      <c r="J1005" s="135">
        <f t="shared" si="72"/>
        <v>0.76382508261777382</v>
      </c>
      <c r="K1005" s="112"/>
      <c r="L1005" s="37">
        <v>28.661586326199998</v>
      </c>
      <c r="M1005" s="37" t="s">
        <v>288</v>
      </c>
      <c r="N1005" s="37">
        <v>3336.4019512195118</v>
      </c>
      <c r="O1005" s="130">
        <f t="shared" si="73"/>
        <v>95626.572543780159</v>
      </c>
      <c r="P1005" s="132">
        <f t="shared" si="74"/>
        <v>507.07915152512277</v>
      </c>
      <c r="Q1005" s="261">
        <v>6.9422979566248462E-3</v>
      </c>
      <c r="R1005" s="92"/>
    </row>
    <row r="1006" spans="1:18" x14ac:dyDescent="0.25">
      <c r="A1006" s="353">
        <v>41838</v>
      </c>
      <c r="B1006" s="353" t="s">
        <v>285</v>
      </c>
      <c r="C1006" s="263" t="s">
        <v>691</v>
      </c>
      <c r="D1006" s="157" t="s">
        <v>692</v>
      </c>
      <c r="E1006" s="44">
        <f t="shared" si="75"/>
        <v>41838</v>
      </c>
      <c r="F1006" s="146" t="str">
        <f t="shared" si="69"/>
        <v>2014-15</v>
      </c>
      <c r="G1006" s="1"/>
      <c r="H1006" s="161"/>
      <c r="I1006" s="37"/>
      <c r="J1006" s="135">
        <f t="shared" si="72"/>
        <v>0.76382508261777382</v>
      </c>
      <c r="K1006" s="112"/>
      <c r="L1006" s="37">
        <v>30.603096003499999</v>
      </c>
      <c r="M1006" s="37" t="s">
        <v>288</v>
      </c>
      <c r="N1006" s="37">
        <v>3336.4019512195118</v>
      </c>
      <c r="O1006" s="130">
        <f t="shared" si="73"/>
        <v>102104.22921943544</v>
      </c>
      <c r="P1006" s="132">
        <f t="shared" si="74"/>
        <v>541.42823006663934</v>
      </c>
      <c r="Q1006" s="261">
        <v>6.9422979566248462E-3</v>
      </c>
      <c r="R1006" s="92"/>
    </row>
    <row r="1007" spans="1:18" x14ac:dyDescent="0.25">
      <c r="A1007" s="353">
        <v>41838</v>
      </c>
      <c r="B1007" s="353" t="s">
        <v>285</v>
      </c>
      <c r="C1007" s="263" t="s">
        <v>691</v>
      </c>
      <c r="D1007" s="157" t="s">
        <v>692</v>
      </c>
      <c r="E1007" s="44">
        <f t="shared" si="75"/>
        <v>41838</v>
      </c>
      <c r="F1007" s="146" t="str">
        <f t="shared" si="69"/>
        <v>2014-15</v>
      </c>
      <c r="G1007" s="1"/>
      <c r="H1007" s="161"/>
      <c r="I1007" s="37"/>
      <c r="J1007" s="135">
        <f t="shared" si="72"/>
        <v>0.76382508261777382</v>
      </c>
      <c r="K1007" s="112"/>
      <c r="L1007" s="37">
        <v>25.010939111500001</v>
      </c>
      <c r="M1007" s="37" t="s">
        <v>288</v>
      </c>
      <c r="N1007" s="37">
        <v>3336.4019512195118</v>
      </c>
      <c r="O1007" s="130">
        <f t="shared" si="73"/>
        <v>83446.546053441009</v>
      </c>
      <c r="P1007" s="132">
        <f t="shared" si="74"/>
        <v>442.49210909560287</v>
      </c>
      <c r="Q1007" s="261">
        <v>6.9422979566248462E-3</v>
      </c>
      <c r="R1007" s="92"/>
    </row>
    <row r="1008" spans="1:18" x14ac:dyDescent="0.25">
      <c r="A1008" s="353">
        <v>41838</v>
      </c>
      <c r="B1008" s="353" t="s">
        <v>285</v>
      </c>
      <c r="C1008" s="263" t="s">
        <v>691</v>
      </c>
      <c r="D1008" s="157" t="s">
        <v>692</v>
      </c>
      <c r="E1008" s="44">
        <f t="shared" si="75"/>
        <v>41838</v>
      </c>
      <c r="F1008" s="146" t="str">
        <f t="shared" si="69"/>
        <v>2014-15</v>
      </c>
      <c r="G1008" s="1"/>
      <c r="H1008" s="161"/>
      <c r="I1008" s="37"/>
      <c r="J1008" s="135">
        <f t="shared" si="72"/>
        <v>0.76382508261777382</v>
      </c>
      <c r="K1008" s="112"/>
      <c r="L1008" s="37">
        <v>28.399435434499999</v>
      </c>
      <c r="M1008" s="37" t="s">
        <v>288</v>
      </c>
      <c r="N1008" s="37">
        <v>3336.4019512195118</v>
      </c>
      <c r="O1008" s="130">
        <f t="shared" si="73"/>
        <v>94751.93179719834</v>
      </c>
      <c r="P1008" s="132">
        <f t="shared" si="74"/>
        <v>502.44119289220242</v>
      </c>
      <c r="Q1008" s="261">
        <v>6.9422979566248462E-3</v>
      </c>
      <c r="R1008" s="92"/>
    </row>
    <row r="1009" spans="1:18" x14ac:dyDescent="0.25">
      <c r="A1009" s="353">
        <v>41838</v>
      </c>
      <c r="B1009" s="353" t="s">
        <v>285</v>
      </c>
      <c r="C1009" s="263" t="s">
        <v>691</v>
      </c>
      <c r="D1009" s="157" t="s">
        <v>692</v>
      </c>
      <c r="E1009" s="44">
        <f t="shared" si="75"/>
        <v>41838</v>
      </c>
      <c r="F1009" s="146" t="str">
        <f t="shared" si="69"/>
        <v>2014-15</v>
      </c>
      <c r="G1009" s="1"/>
      <c r="H1009" s="161"/>
      <c r="I1009" s="37"/>
      <c r="J1009" s="135">
        <f t="shared" si="72"/>
        <v>0.76382508261777382</v>
      </c>
      <c r="K1009" s="112"/>
      <c r="L1009" s="37">
        <v>43.966506939799999</v>
      </c>
      <c r="M1009" s="37" t="s">
        <v>288</v>
      </c>
      <c r="N1009" s="37">
        <v>3336.4019512195118</v>
      </c>
      <c r="O1009" s="130">
        <f t="shared" si="73"/>
        <v>146689.93954225493</v>
      </c>
      <c r="P1009" s="132">
        <f t="shared" si="74"/>
        <v>777.85293461504818</v>
      </c>
      <c r="Q1009" s="261">
        <v>6.9422979566248462E-3</v>
      </c>
      <c r="R1009" s="92"/>
    </row>
    <row r="1010" spans="1:18" x14ac:dyDescent="0.25">
      <c r="A1010" s="353">
        <v>41838</v>
      </c>
      <c r="B1010" s="353" t="s">
        <v>285</v>
      </c>
      <c r="C1010" s="263" t="s">
        <v>691</v>
      </c>
      <c r="D1010" s="157" t="s">
        <v>692</v>
      </c>
      <c r="E1010" s="44">
        <f t="shared" si="75"/>
        <v>41838</v>
      </c>
      <c r="F1010" s="146" t="str">
        <f t="shared" si="69"/>
        <v>2014-15</v>
      </c>
      <c r="G1010" s="1"/>
      <c r="H1010" s="161"/>
      <c r="I1010" s="37"/>
      <c r="J1010" s="135">
        <f t="shared" si="72"/>
        <v>0.76382508261777382</v>
      </c>
      <c r="K1010" s="112"/>
      <c r="L1010" s="37">
        <v>28.288749044500001</v>
      </c>
      <c r="M1010" s="37" t="s">
        <v>288</v>
      </c>
      <c r="N1010" s="37">
        <v>3336.4019512195118</v>
      </c>
      <c r="O1010" s="130">
        <f t="shared" si="73"/>
        <v>94382.637509628898</v>
      </c>
      <c r="P1010" s="132">
        <f t="shared" si="74"/>
        <v>500.48293558963047</v>
      </c>
      <c r="Q1010" s="261">
        <v>6.9422979566248462E-3</v>
      </c>
      <c r="R1010" s="92"/>
    </row>
    <row r="1011" spans="1:18" x14ac:dyDescent="0.25">
      <c r="A1011" s="353">
        <v>41838</v>
      </c>
      <c r="B1011" s="353" t="s">
        <v>285</v>
      </c>
      <c r="C1011" s="263" t="s">
        <v>691</v>
      </c>
      <c r="D1011" s="157" t="s">
        <v>692</v>
      </c>
      <c r="E1011" s="44">
        <f t="shared" si="75"/>
        <v>41838</v>
      </c>
      <c r="F1011" s="146" t="str">
        <f t="shared" si="69"/>
        <v>2014-15</v>
      </c>
      <c r="G1011" s="1"/>
      <c r="H1011" s="161"/>
      <c r="I1011" s="37"/>
      <c r="J1011" s="135">
        <f t="shared" si="72"/>
        <v>0.76382508261777382</v>
      </c>
      <c r="K1011" s="112"/>
      <c r="L1011" s="37">
        <v>30.548454641799999</v>
      </c>
      <c r="M1011" s="37" t="s">
        <v>288</v>
      </c>
      <c r="N1011" s="37">
        <v>3336.4019512195118</v>
      </c>
      <c r="O1011" s="130">
        <f t="shared" si="73"/>
        <v>101921.92367364228</v>
      </c>
      <c r="P1011" s="132">
        <f t="shared" si="74"/>
        <v>540.46151821009119</v>
      </c>
      <c r="Q1011" s="261">
        <v>6.9422979566248462E-3</v>
      </c>
      <c r="R1011" s="92"/>
    </row>
    <row r="1012" spans="1:18" x14ac:dyDescent="0.25">
      <c r="A1012" s="353">
        <v>41838</v>
      </c>
      <c r="B1012" s="353" t="s">
        <v>285</v>
      </c>
      <c r="C1012" s="263" t="s">
        <v>691</v>
      </c>
      <c r="D1012" s="157" t="s">
        <v>692</v>
      </c>
      <c r="E1012" s="44">
        <f t="shared" si="75"/>
        <v>41838</v>
      </c>
      <c r="F1012" s="146" t="str">
        <f t="shared" si="69"/>
        <v>2014-15</v>
      </c>
      <c r="G1012" s="1"/>
      <c r="H1012" s="161"/>
      <c r="I1012" s="37"/>
      <c r="J1012" s="135">
        <f t="shared" si="72"/>
        <v>0.76382508261777382</v>
      </c>
      <c r="K1012" s="112"/>
      <c r="L1012" s="37">
        <v>15.6078546496</v>
      </c>
      <c r="M1012" s="37" t="s">
        <v>288</v>
      </c>
      <c r="N1012" s="37">
        <v>812.22926829268283</v>
      </c>
      <c r="O1012" s="130">
        <f t="shared" si="73"/>
        <v>12677.156361663156</v>
      </c>
      <c r="P1012" s="132">
        <f t="shared" si="74"/>
        <v>67.223173649567173</v>
      </c>
      <c r="Q1012" s="261">
        <v>6.9422979566248462E-3</v>
      </c>
      <c r="R1012" s="92"/>
    </row>
    <row r="1013" spans="1:18" x14ac:dyDescent="0.25">
      <c r="A1013" s="353">
        <v>41838</v>
      </c>
      <c r="B1013" s="353" t="s">
        <v>285</v>
      </c>
      <c r="C1013" s="263" t="s">
        <v>691</v>
      </c>
      <c r="D1013" s="157" t="s">
        <v>692</v>
      </c>
      <c r="E1013" s="44">
        <f t="shared" si="75"/>
        <v>41838</v>
      </c>
      <c r="F1013" s="146" t="str">
        <f t="shared" si="69"/>
        <v>2014-15</v>
      </c>
      <c r="G1013" s="1"/>
      <c r="H1013" s="161"/>
      <c r="I1013" s="37"/>
      <c r="J1013" s="135">
        <f t="shared" si="72"/>
        <v>0.76382508261777382</v>
      </c>
      <c r="K1013" s="112"/>
      <c r="L1013" s="37">
        <v>29.7679224197</v>
      </c>
      <c r="M1013" s="37" t="s">
        <v>288</v>
      </c>
      <c r="N1013" s="37">
        <v>3336.4019512195118</v>
      </c>
      <c r="O1013" s="130">
        <f t="shared" si="73"/>
        <v>99317.754444838138</v>
      </c>
      <c r="P1013" s="132">
        <f t="shared" si="74"/>
        <v>526.65238662833065</v>
      </c>
      <c r="Q1013" s="261">
        <v>6.9422979566248462E-3</v>
      </c>
      <c r="R1013" s="92"/>
    </row>
    <row r="1014" spans="1:18" x14ac:dyDescent="0.25">
      <c r="A1014" s="353">
        <v>41838</v>
      </c>
      <c r="B1014" s="353" t="s">
        <v>285</v>
      </c>
      <c r="C1014" s="263" t="s">
        <v>691</v>
      </c>
      <c r="D1014" s="157" t="s">
        <v>692</v>
      </c>
      <c r="E1014" s="44">
        <f t="shared" si="75"/>
        <v>41838</v>
      </c>
      <c r="F1014" s="146" t="str">
        <f t="shared" si="69"/>
        <v>2014-15</v>
      </c>
      <c r="G1014" s="1"/>
      <c r="H1014" s="161"/>
      <c r="I1014" s="37"/>
      <c r="J1014" s="135">
        <f t="shared" si="72"/>
        <v>0.76382508261777382</v>
      </c>
      <c r="K1014" s="112"/>
      <c r="L1014" s="37">
        <v>27.732504208200002</v>
      </c>
      <c r="M1014" s="37" t="s">
        <v>288</v>
      </c>
      <c r="N1014" s="37">
        <v>3336.4019512195118</v>
      </c>
      <c r="O1014" s="130">
        <f t="shared" si="73"/>
        <v>92526.781152441807</v>
      </c>
      <c r="P1014" s="132">
        <f t="shared" si="74"/>
        <v>490.64188365269013</v>
      </c>
      <c r="Q1014" s="261">
        <v>6.9422979566248462E-3</v>
      </c>
      <c r="R1014" s="92"/>
    </row>
    <row r="1015" spans="1:18" x14ac:dyDescent="0.25">
      <c r="A1015" s="353">
        <v>41838</v>
      </c>
      <c r="B1015" s="353" t="s">
        <v>285</v>
      </c>
      <c r="C1015" s="263" t="s">
        <v>691</v>
      </c>
      <c r="D1015" s="157" t="s">
        <v>692</v>
      </c>
      <c r="E1015" s="44">
        <f t="shared" si="75"/>
        <v>41838</v>
      </c>
      <c r="F1015" s="146" t="str">
        <f t="shared" si="69"/>
        <v>2014-15</v>
      </c>
      <c r="G1015" s="1"/>
      <c r="H1015" s="161"/>
      <c r="I1015" s="37"/>
      <c r="J1015" s="135">
        <f t="shared" si="72"/>
        <v>0.76382508261777382</v>
      </c>
      <c r="K1015" s="112"/>
      <c r="L1015" s="37">
        <v>3.3385661593</v>
      </c>
      <c r="M1015" s="37" t="s">
        <v>288</v>
      </c>
      <c r="N1015" s="37">
        <v>812.22926829268283</v>
      </c>
      <c r="O1015" s="130">
        <f t="shared" si="73"/>
        <v>2711.6811487149512</v>
      </c>
      <c r="P1015" s="132">
        <f t="shared" si="74"/>
        <v>14.379235180341976</v>
      </c>
      <c r="Q1015" s="261">
        <v>6.9422979566248462E-3</v>
      </c>
      <c r="R1015" s="92"/>
    </row>
    <row r="1016" spans="1:18" x14ac:dyDescent="0.25">
      <c r="A1016" s="353">
        <v>41838</v>
      </c>
      <c r="B1016" s="353" t="s">
        <v>285</v>
      </c>
      <c r="C1016" s="263" t="s">
        <v>691</v>
      </c>
      <c r="D1016" s="157" t="s">
        <v>692</v>
      </c>
      <c r="E1016" s="44">
        <f t="shared" si="75"/>
        <v>41838</v>
      </c>
      <c r="F1016" s="146" t="str">
        <f t="shared" si="69"/>
        <v>2014-15</v>
      </c>
      <c r="G1016" s="1"/>
      <c r="H1016" s="161"/>
      <c r="I1016" s="37"/>
      <c r="J1016" s="135">
        <f t="shared" si="72"/>
        <v>0.76382508261777382</v>
      </c>
      <c r="K1016" s="112"/>
      <c r="L1016" s="37">
        <v>25.566010667699999</v>
      </c>
      <c r="M1016" s="37" t="s">
        <v>288</v>
      </c>
      <c r="N1016" s="37">
        <v>3336.4019512195118</v>
      </c>
      <c r="O1016" s="130">
        <f t="shared" si="73"/>
        <v>85298.48787661313</v>
      </c>
      <c r="P1016" s="132">
        <f t="shared" si="74"/>
        <v>452.31240342789289</v>
      </c>
      <c r="Q1016" s="261">
        <v>6.9422979566248462E-3</v>
      </c>
      <c r="R1016" s="92"/>
    </row>
    <row r="1017" spans="1:18" x14ac:dyDescent="0.25">
      <c r="A1017" s="353">
        <v>41838</v>
      </c>
      <c r="B1017" s="353" t="s">
        <v>285</v>
      </c>
      <c r="C1017" s="263" t="s">
        <v>691</v>
      </c>
      <c r="D1017" s="157" t="s">
        <v>692</v>
      </c>
      <c r="E1017" s="44">
        <f t="shared" si="75"/>
        <v>41838</v>
      </c>
      <c r="F1017" s="146" t="str">
        <f t="shared" si="69"/>
        <v>2014-15</v>
      </c>
      <c r="G1017" s="1"/>
      <c r="H1017" s="161"/>
      <c r="I1017" s="37"/>
      <c r="J1017" s="135">
        <f t="shared" si="72"/>
        <v>0.76382508261777382</v>
      </c>
      <c r="K1017" s="112"/>
      <c r="L1017" s="37">
        <v>41.3512906204</v>
      </c>
      <c r="M1017" s="37" t="s">
        <v>288</v>
      </c>
      <c r="N1017" s="37">
        <v>812.22926829268283</v>
      </c>
      <c r="O1017" s="130">
        <f t="shared" si="73"/>
        <v>33586.728523565573</v>
      </c>
      <c r="P1017" s="132">
        <f t="shared" si="74"/>
        <v>178.10038934980136</v>
      </c>
      <c r="Q1017" s="261">
        <v>6.9422979566248462E-3</v>
      </c>
      <c r="R1017" s="92"/>
    </row>
    <row r="1018" spans="1:18" x14ac:dyDescent="0.25">
      <c r="A1018" s="353">
        <v>41838</v>
      </c>
      <c r="B1018" s="353" t="s">
        <v>285</v>
      </c>
      <c r="C1018" s="263" t="s">
        <v>691</v>
      </c>
      <c r="D1018" s="157" t="s">
        <v>692</v>
      </c>
      <c r="E1018" s="44">
        <f t="shared" si="75"/>
        <v>41838</v>
      </c>
      <c r="F1018" s="146" t="str">
        <f t="shared" si="69"/>
        <v>2014-15</v>
      </c>
      <c r="G1018" s="1"/>
      <c r="H1018" s="161"/>
      <c r="I1018" s="37"/>
      <c r="J1018" s="135">
        <f t="shared" si="72"/>
        <v>0.76382508261777382</v>
      </c>
      <c r="K1018" s="112"/>
      <c r="L1018" s="37">
        <v>39.941899564400003</v>
      </c>
      <c r="M1018" s="37" t="s">
        <v>288</v>
      </c>
      <c r="N1018" s="37">
        <v>812.22926829268283</v>
      </c>
      <c r="O1018" s="130">
        <f t="shared" si="73"/>
        <v>32441.979857412443</v>
      </c>
      <c r="P1018" s="132">
        <f t="shared" si="74"/>
        <v>172.03012909785426</v>
      </c>
      <c r="Q1018" s="261">
        <v>6.9422979566248462E-3</v>
      </c>
      <c r="R1018" s="92"/>
    </row>
    <row r="1019" spans="1:18" x14ac:dyDescent="0.25">
      <c r="A1019" s="353">
        <v>41838</v>
      </c>
      <c r="B1019" s="353" t="s">
        <v>285</v>
      </c>
      <c r="C1019" s="263" t="s">
        <v>691</v>
      </c>
      <c r="D1019" s="157" t="s">
        <v>692</v>
      </c>
      <c r="E1019" s="44">
        <f t="shared" si="75"/>
        <v>41838</v>
      </c>
      <c r="F1019" s="146" t="str">
        <f t="shared" ref="F1019:F1082" si="76">IF(E1019="","-",IF(OR(E1019&lt;$E$15,E1019&gt;$E$16),"ERROR - date outside of range",IF(MONTH(E1019)&gt;=7,YEAR(E1019)&amp;"-"&amp;IF(YEAR(E1019)=1999,"00",IF(AND(YEAR(E1019)&gt;=2000,YEAR(E1019)&lt;2009),"0","")&amp;RIGHT(YEAR(E1019),2)+1),RIGHT(YEAR(E1019),4)-1&amp;"-"&amp;RIGHT(YEAR(E1019),2))))</f>
        <v>2014-15</v>
      </c>
      <c r="G1019" s="1"/>
      <c r="H1019" s="161"/>
      <c r="I1019" s="37"/>
      <c r="J1019" s="135">
        <f t="shared" si="72"/>
        <v>0.76382508261777382</v>
      </c>
      <c r="K1019" s="112"/>
      <c r="L1019" s="37">
        <v>26.814739179</v>
      </c>
      <c r="M1019" s="37" t="s">
        <v>288</v>
      </c>
      <c r="N1019" s="37">
        <v>812.22926829268283</v>
      </c>
      <c r="O1019" s="130">
        <f t="shared" si="73"/>
        <v>21779.715982818303</v>
      </c>
      <c r="P1019" s="132">
        <f t="shared" si="74"/>
        <v>115.49132847953358</v>
      </c>
      <c r="Q1019" s="261">
        <v>6.9422979566248462E-3</v>
      </c>
      <c r="R1019" s="92"/>
    </row>
    <row r="1020" spans="1:18" x14ac:dyDescent="0.25">
      <c r="A1020" s="353">
        <v>41838</v>
      </c>
      <c r="B1020" s="353" t="s">
        <v>285</v>
      </c>
      <c r="C1020" s="263" t="s">
        <v>691</v>
      </c>
      <c r="D1020" s="157" t="s">
        <v>692</v>
      </c>
      <c r="E1020" s="44">
        <f t="shared" si="75"/>
        <v>41838</v>
      </c>
      <c r="F1020" s="146" t="str">
        <f t="shared" si="76"/>
        <v>2014-15</v>
      </c>
      <c r="G1020" s="1"/>
      <c r="H1020" s="161"/>
      <c r="I1020" s="37"/>
      <c r="J1020" s="135">
        <f t="shared" si="72"/>
        <v>0.76382508261777382</v>
      </c>
      <c r="K1020" s="112"/>
      <c r="L1020" s="37">
        <v>18.000624993999999</v>
      </c>
      <c r="M1020" s="37" t="s">
        <v>288</v>
      </c>
      <c r="N1020" s="37">
        <v>812.22926829268283</v>
      </c>
      <c r="O1020" s="130">
        <f t="shared" si="73"/>
        <v>14620.634467687598</v>
      </c>
      <c r="P1020" s="132">
        <f t="shared" si="74"/>
        <v>77.528857548876033</v>
      </c>
      <c r="Q1020" s="261">
        <v>6.9422979566248462E-3</v>
      </c>
      <c r="R1020" s="92"/>
    </row>
    <row r="1021" spans="1:18" x14ac:dyDescent="0.25">
      <c r="A1021" s="353">
        <v>41838</v>
      </c>
      <c r="B1021" s="353" t="s">
        <v>285</v>
      </c>
      <c r="C1021" s="263" t="s">
        <v>691</v>
      </c>
      <c r="D1021" s="157" t="s">
        <v>692</v>
      </c>
      <c r="E1021" s="44">
        <f t="shared" si="75"/>
        <v>41838</v>
      </c>
      <c r="F1021" s="146" t="str">
        <f t="shared" si="76"/>
        <v>2014-15</v>
      </c>
      <c r="G1021" s="1"/>
      <c r="H1021" s="161"/>
      <c r="I1021" s="37"/>
      <c r="J1021" s="135">
        <f t="shared" si="72"/>
        <v>0.76382508261777382</v>
      </c>
      <c r="K1021" s="112"/>
      <c r="L1021" s="37">
        <v>29.983344213399999</v>
      </c>
      <c r="M1021" s="37" t="s">
        <v>288</v>
      </c>
      <c r="N1021" s="37">
        <v>812.22926829268283</v>
      </c>
      <c r="O1021" s="130">
        <f t="shared" si="73"/>
        <v>24353.349731417526</v>
      </c>
      <c r="P1021" s="132">
        <f t="shared" si="74"/>
        <v>129.13853953040166</v>
      </c>
      <c r="Q1021" s="261">
        <v>6.9422979566248462E-3</v>
      </c>
      <c r="R1021" s="92"/>
    </row>
    <row r="1022" spans="1:18" x14ac:dyDescent="0.25">
      <c r="A1022" s="353">
        <v>41838</v>
      </c>
      <c r="B1022" s="353" t="s">
        <v>285</v>
      </c>
      <c r="C1022" s="263" t="s">
        <v>691</v>
      </c>
      <c r="D1022" s="157" t="s">
        <v>692</v>
      </c>
      <c r="E1022" s="44">
        <f t="shared" si="75"/>
        <v>41838</v>
      </c>
      <c r="F1022" s="146" t="str">
        <f t="shared" si="76"/>
        <v>2014-15</v>
      </c>
      <c r="G1022" s="1"/>
      <c r="H1022" s="161"/>
      <c r="I1022" s="37"/>
      <c r="J1022" s="135">
        <f t="shared" si="72"/>
        <v>0.76382508261777382</v>
      </c>
      <c r="K1022" s="112"/>
      <c r="L1022" s="37">
        <v>29.717754378799999</v>
      </c>
      <c r="M1022" s="37" t="s">
        <v>288</v>
      </c>
      <c r="N1022" s="37">
        <v>3336.4019512195118</v>
      </c>
      <c r="O1022" s="130">
        <f t="shared" si="73"/>
        <v>99150.373695290502</v>
      </c>
      <c r="P1022" s="132">
        <f t="shared" si="74"/>
        <v>525.76481650838934</v>
      </c>
      <c r="Q1022" s="261">
        <v>6.9422979566248462E-3</v>
      </c>
      <c r="R1022" s="92"/>
    </row>
    <row r="1023" spans="1:18" x14ac:dyDescent="0.25">
      <c r="A1023" s="353">
        <v>41838</v>
      </c>
      <c r="B1023" s="353" t="s">
        <v>285</v>
      </c>
      <c r="C1023" s="263" t="s">
        <v>691</v>
      </c>
      <c r="D1023" s="157" t="s">
        <v>692</v>
      </c>
      <c r="E1023" s="44">
        <f t="shared" si="75"/>
        <v>41838</v>
      </c>
      <c r="F1023" s="146" t="str">
        <f t="shared" si="76"/>
        <v>2014-15</v>
      </c>
      <c r="G1023" s="1"/>
      <c r="H1023" s="161"/>
      <c r="I1023" s="37"/>
      <c r="J1023" s="135">
        <f t="shared" si="72"/>
        <v>0.76382508261777382</v>
      </c>
      <c r="K1023" s="112"/>
      <c r="L1023" s="37">
        <v>12.5175706908</v>
      </c>
      <c r="M1023" s="37" t="s">
        <v>288</v>
      </c>
      <c r="N1023" s="37">
        <v>812.22926829268283</v>
      </c>
      <c r="O1023" s="130">
        <f t="shared" si="73"/>
        <v>10167.137282990416</v>
      </c>
      <c r="P1023" s="132">
        <f t="shared" si="74"/>
        <v>53.91329219227103</v>
      </c>
      <c r="Q1023" s="261">
        <v>6.9422979566248462E-3</v>
      </c>
      <c r="R1023" s="92"/>
    </row>
    <row r="1024" spans="1:18" x14ac:dyDescent="0.25">
      <c r="A1024" s="353">
        <v>41838</v>
      </c>
      <c r="B1024" s="353" t="s">
        <v>285</v>
      </c>
      <c r="C1024" s="263" t="s">
        <v>691</v>
      </c>
      <c r="D1024" s="157" t="s">
        <v>692</v>
      </c>
      <c r="E1024" s="44">
        <f t="shared" si="75"/>
        <v>41838</v>
      </c>
      <c r="F1024" s="146" t="str">
        <f t="shared" si="76"/>
        <v>2014-15</v>
      </c>
      <c r="G1024" s="1"/>
      <c r="H1024" s="161"/>
      <c r="I1024" s="37"/>
      <c r="J1024" s="135">
        <f t="shared" si="72"/>
        <v>0.76382508261777382</v>
      </c>
      <c r="K1024" s="112"/>
      <c r="L1024" s="37">
        <v>156.974587453</v>
      </c>
      <c r="M1024" s="37" t="s">
        <v>288</v>
      </c>
      <c r="N1024" s="37">
        <v>3336.4019512195118</v>
      </c>
      <c r="O1024" s="130">
        <f t="shared" si="73"/>
        <v>523730.31987006712</v>
      </c>
      <c r="P1024" s="132">
        <f t="shared" si="74"/>
        <v>2777.1854534063655</v>
      </c>
      <c r="Q1024" s="261">
        <v>6.9422979566248462E-3</v>
      </c>
      <c r="R1024" s="92"/>
    </row>
    <row r="1025" spans="1:18" x14ac:dyDescent="0.25">
      <c r="A1025" s="353">
        <v>41838</v>
      </c>
      <c r="B1025" s="353" t="s">
        <v>285</v>
      </c>
      <c r="C1025" s="263" t="s">
        <v>691</v>
      </c>
      <c r="D1025" s="157" t="s">
        <v>692</v>
      </c>
      <c r="E1025" s="44">
        <f t="shared" si="75"/>
        <v>41838</v>
      </c>
      <c r="F1025" s="146" t="str">
        <f t="shared" si="76"/>
        <v>2014-15</v>
      </c>
      <c r="G1025" s="1"/>
      <c r="H1025" s="161"/>
      <c r="I1025" s="37"/>
      <c r="J1025" s="135">
        <f t="shared" si="72"/>
        <v>0.76382508261777382</v>
      </c>
      <c r="K1025" s="112"/>
      <c r="L1025" s="37">
        <v>67.810758294099998</v>
      </c>
      <c r="M1025" s="37" t="s">
        <v>288</v>
      </c>
      <c r="N1025" s="37">
        <v>3336.4019512195118</v>
      </c>
      <c r="O1025" s="130">
        <f t="shared" si="73"/>
        <v>226243.94628610992</v>
      </c>
      <c r="P1025" s="132">
        <f t="shared" si="74"/>
        <v>1199.7040704134079</v>
      </c>
      <c r="Q1025" s="261">
        <v>6.9422979566248462E-3</v>
      </c>
      <c r="R1025" s="92"/>
    </row>
    <row r="1026" spans="1:18" x14ac:dyDescent="0.25">
      <c r="A1026" s="353">
        <v>41838</v>
      </c>
      <c r="B1026" s="353" t="s">
        <v>285</v>
      </c>
      <c r="C1026" s="263" t="s">
        <v>691</v>
      </c>
      <c r="D1026" s="157" t="s">
        <v>692</v>
      </c>
      <c r="E1026" s="44">
        <f t="shared" si="75"/>
        <v>41838</v>
      </c>
      <c r="F1026" s="146" t="str">
        <f t="shared" si="76"/>
        <v>2014-15</v>
      </c>
      <c r="G1026" s="1"/>
      <c r="H1026" s="161"/>
      <c r="I1026" s="37"/>
      <c r="J1026" s="135">
        <f t="shared" si="72"/>
        <v>0.76382508261777382</v>
      </c>
      <c r="K1026" s="112"/>
      <c r="L1026" s="37">
        <v>12.260204938299999</v>
      </c>
      <c r="M1026" s="37" t="s">
        <v>288</v>
      </c>
      <c r="N1026" s="37">
        <v>812.22926829268283</v>
      </c>
      <c r="O1026" s="130">
        <f t="shared" si="73"/>
        <v>9958.0972861537448</v>
      </c>
      <c r="P1026" s="132">
        <f t="shared" si="74"/>
        <v>52.804815527145088</v>
      </c>
      <c r="Q1026" s="261">
        <v>6.9422979566248462E-3</v>
      </c>
      <c r="R1026" s="92"/>
    </row>
    <row r="1027" spans="1:18" x14ac:dyDescent="0.25">
      <c r="A1027" s="353">
        <v>41838</v>
      </c>
      <c r="B1027" s="353" t="s">
        <v>285</v>
      </c>
      <c r="C1027" s="263" t="s">
        <v>691</v>
      </c>
      <c r="D1027" s="157" t="s">
        <v>692</v>
      </c>
      <c r="E1027" s="44">
        <f t="shared" si="75"/>
        <v>41838</v>
      </c>
      <c r="F1027" s="146" t="str">
        <f t="shared" si="76"/>
        <v>2014-15</v>
      </c>
      <c r="G1027" s="1"/>
      <c r="H1027" s="161"/>
      <c r="I1027" s="37"/>
      <c r="J1027" s="135">
        <f t="shared" si="72"/>
        <v>0.76382508261777382</v>
      </c>
      <c r="K1027" s="112"/>
      <c r="L1027" s="37">
        <v>29.343256891500001</v>
      </c>
      <c r="M1027" s="37" t="s">
        <v>288</v>
      </c>
      <c r="N1027" s="37">
        <v>3336.4019512195118</v>
      </c>
      <c r="O1027" s="130">
        <f t="shared" si="73"/>
        <v>97900.899547935987</v>
      </c>
      <c r="P1027" s="132">
        <f t="shared" si="74"/>
        <v>519.13922831005641</v>
      </c>
      <c r="Q1027" s="261">
        <v>6.9422979566248462E-3</v>
      </c>
      <c r="R1027" s="92"/>
    </row>
    <row r="1028" spans="1:18" x14ac:dyDescent="0.25">
      <c r="A1028" s="353">
        <v>41838</v>
      </c>
      <c r="B1028" s="353" t="s">
        <v>285</v>
      </c>
      <c r="C1028" s="263" t="s">
        <v>691</v>
      </c>
      <c r="D1028" s="157" t="s">
        <v>692</v>
      </c>
      <c r="E1028" s="44">
        <f t="shared" si="75"/>
        <v>41838</v>
      </c>
      <c r="F1028" s="146" t="str">
        <f t="shared" si="76"/>
        <v>2014-15</v>
      </c>
      <c r="G1028" s="1"/>
      <c r="H1028" s="161"/>
      <c r="I1028" s="37"/>
      <c r="J1028" s="135">
        <f t="shared" si="72"/>
        <v>0.76382508261777382</v>
      </c>
      <c r="K1028" s="112"/>
      <c r="L1028" s="37">
        <v>12.0721922689</v>
      </c>
      <c r="M1028" s="37" t="s">
        <v>288</v>
      </c>
      <c r="N1028" s="37">
        <v>812.22926829268283</v>
      </c>
      <c r="O1028" s="130">
        <f t="shared" si="73"/>
        <v>9805.3878932572297</v>
      </c>
      <c r="P1028" s="132">
        <f t="shared" si="74"/>
        <v>51.995043229341263</v>
      </c>
      <c r="Q1028" s="261">
        <v>6.9422979566248462E-3</v>
      </c>
      <c r="R1028" s="92"/>
    </row>
    <row r="1029" spans="1:18" x14ac:dyDescent="0.25">
      <c r="A1029" s="353">
        <v>41838</v>
      </c>
      <c r="B1029" s="353" t="s">
        <v>285</v>
      </c>
      <c r="C1029" s="263" t="s">
        <v>691</v>
      </c>
      <c r="D1029" s="157" t="s">
        <v>692</v>
      </c>
      <c r="E1029" s="44">
        <f t="shared" si="75"/>
        <v>41838</v>
      </c>
      <c r="F1029" s="146" t="str">
        <f t="shared" si="76"/>
        <v>2014-15</v>
      </c>
      <c r="G1029" s="1"/>
      <c r="H1029" s="161"/>
      <c r="I1029" s="37"/>
      <c r="J1029" s="135">
        <f t="shared" si="72"/>
        <v>0.76382508261777382</v>
      </c>
      <c r="K1029" s="112"/>
      <c r="L1029" s="37">
        <v>25.8768715458</v>
      </c>
      <c r="M1029" s="37" t="s">
        <v>288</v>
      </c>
      <c r="N1029" s="37">
        <v>3336.4019512195118</v>
      </c>
      <c r="O1029" s="130">
        <f t="shared" si="73"/>
        <v>86335.644716863782</v>
      </c>
      <c r="P1029" s="132">
        <f t="shared" si="74"/>
        <v>457.81213636365192</v>
      </c>
      <c r="Q1029" s="261">
        <v>6.9422979566248462E-3</v>
      </c>
      <c r="R1029" s="92"/>
    </row>
    <row r="1030" spans="1:18" x14ac:dyDescent="0.25">
      <c r="A1030" s="353">
        <v>41838</v>
      </c>
      <c r="B1030" s="353" t="s">
        <v>285</v>
      </c>
      <c r="C1030" s="263" t="s">
        <v>691</v>
      </c>
      <c r="D1030" s="157" t="s">
        <v>692</v>
      </c>
      <c r="E1030" s="44">
        <f t="shared" si="75"/>
        <v>41838</v>
      </c>
      <c r="F1030" s="146" t="str">
        <f t="shared" si="76"/>
        <v>2014-15</v>
      </c>
      <c r="G1030" s="1"/>
      <c r="H1030" s="161"/>
      <c r="I1030" s="37"/>
      <c r="J1030" s="135">
        <f t="shared" si="72"/>
        <v>0.76382508261777382</v>
      </c>
      <c r="K1030" s="112"/>
      <c r="L1030" s="37">
        <v>18.323513847899999</v>
      </c>
      <c r="M1030" s="37" t="s">
        <v>288</v>
      </c>
      <c r="N1030" s="37">
        <v>3336.4019512195118</v>
      </c>
      <c r="O1030" s="130">
        <f t="shared" si="73"/>
        <v>61134.607355331304</v>
      </c>
      <c r="P1030" s="132">
        <f t="shared" si="74"/>
        <v>324.17856252633482</v>
      </c>
      <c r="Q1030" s="261">
        <v>6.9422979566248462E-3</v>
      </c>
      <c r="R1030" s="92"/>
    </row>
    <row r="1031" spans="1:18" x14ac:dyDescent="0.25">
      <c r="A1031" s="353">
        <v>41838</v>
      </c>
      <c r="B1031" s="353" t="s">
        <v>285</v>
      </c>
      <c r="C1031" s="263" t="s">
        <v>691</v>
      </c>
      <c r="D1031" s="157" t="s">
        <v>692</v>
      </c>
      <c r="E1031" s="44">
        <f t="shared" si="75"/>
        <v>41838</v>
      </c>
      <c r="F1031" s="146" t="str">
        <f t="shared" si="76"/>
        <v>2014-15</v>
      </c>
      <c r="G1031" s="1"/>
      <c r="H1031" s="161"/>
      <c r="I1031" s="37"/>
      <c r="J1031" s="135">
        <f t="shared" si="72"/>
        <v>0.76382508261777382</v>
      </c>
      <c r="K1031" s="112"/>
      <c r="L1031" s="37">
        <v>51.0853447561</v>
      </c>
      <c r="M1031" s="37" t="s">
        <v>288</v>
      </c>
      <c r="N1031" s="37">
        <v>812.22926829268283</v>
      </c>
      <c r="O1031" s="130">
        <f t="shared" si="73"/>
        <v>41493.012191726542</v>
      </c>
      <c r="P1031" s="132">
        <f t="shared" si="74"/>
        <v>220.02505011637368</v>
      </c>
      <c r="Q1031" s="261">
        <v>6.9422979566248462E-3</v>
      </c>
      <c r="R1031" s="92"/>
    </row>
    <row r="1032" spans="1:18" x14ac:dyDescent="0.25">
      <c r="A1032" s="353">
        <v>41838</v>
      </c>
      <c r="B1032" s="353" t="s">
        <v>285</v>
      </c>
      <c r="C1032" s="263" t="s">
        <v>691</v>
      </c>
      <c r="D1032" s="157" t="s">
        <v>692</v>
      </c>
      <c r="E1032" s="44">
        <f t="shared" si="75"/>
        <v>41838</v>
      </c>
      <c r="F1032" s="146" t="str">
        <f t="shared" si="76"/>
        <v>2014-15</v>
      </c>
      <c r="G1032" s="1"/>
      <c r="H1032" s="161"/>
      <c r="I1032" s="37"/>
      <c r="J1032" s="135">
        <f t="shared" si="72"/>
        <v>0.76382508261777382</v>
      </c>
      <c r="K1032" s="112"/>
      <c r="L1032" s="37">
        <v>38.941465275900001</v>
      </c>
      <c r="M1032" s="37" t="s">
        <v>288</v>
      </c>
      <c r="N1032" s="37">
        <v>812.22926829268283</v>
      </c>
      <c r="O1032" s="130">
        <f t="shared" si="73"/>
        <v>31629.397847289172</v>
      </c>
      <c r="P1032" s="132">
        <f t="shared" si="74"/>
        <v>167.72124940806674</v>
      </c>
      <c r="Q1032" s="261">
        <v>6.9422979566248462E-3</v>
      </c>
      <c r="R1032" s="92"/>
    </row>
    <row r="1033" spans="1:18" x14ac:dyDescent="0.25">
      <c r="A1033" s="353">
        <v>41838</v>
      </c>
      <c r="B1033" s="353" t="s">
        <v>285</v>
      </c>
      <c r="C1033" s="263" t="s">
        <v>691</v>
      </c>
      <c r="D1033" s="157" t="s">
        <v>692</v>
      </c>
      <c r="E1033" s="44">
        <f t="shared" si="75"/>
        <v>41838</v>
      </c>
      <c r="F1033" s="146" t="str">
        <f t="shared" si="76"/>
        <v>2014-15</v>
      </c>
      <c r="G1033" s="1"/>
      <c r="H1033" s="161"/>
      <c r="I1033" s="37"/>
      <c r="J1033" s="135">
        <f t="shared" si="72"/>
        <v>0.76382508261777382</v>
      </c>
      <c r="K1033" s="112"/>
      <c r="L1033" s="37">
        <v>17.823849068400001</v>
      </c>
      <c r="M1033" s="37" t="s">
        <v>288</v>
      </c>
      <c r="N1033" s="37">
        <v>3336.4019512195118</v>
      </c>
      <c r="O1033" s="130">
        <f t="shared" si="73"/>
        <v>59467.524810051844</v>
      </c>
      <c r="P1033" s="132">
        <f t="shared" si="74"/>
        <v>315.33852172914288</v>
      </c>
      <c r="Q1033" s="261">
        <v>6.9422979566248462E-3</v>
      </c>
      <c r="R1033" s="92"/>
    </row>
    <row r="1034" spans="1:18" x14ac:dyDescent="0.25">
      <c r="A1034" s="353">
        <v>41838</v>
      </c>
      <c r="B1034" s="353" t="s">
        <v>285</v>
      </c>
      <c r="C1034" s="263" t="s">
        <v>691</v>
      </c>
      <c r="D1034" s="157" t="s">
        <v>692</v>
      </c>
      <c r="E1034" s="44">
        <f t="shared" si="75"/>
        <v>41838</v>
      </c>
      <c r="F1034" s="146" t="str">
        <f t="shared" si="76"/>
        <v>2014-15</v>
      </c>
      <c r="G1034" s="1"/>
      <c r="H1034" s="161"/>
      <c r="I1034" s="37"/>
      <c r="J1034" s="135">
        <f t="shared" si="72"/>
        <v>0.76382508261777382</v>
      </c>
      <c r="K1034" s="112"/>
      <c r="L1034" s="37">
        <v>39.931642306000001</v>
      </c>
      <c r="M1034" s="37" t="s">
        <v>288</v>
      </c>
      <c r="N1034" s="37">
        <v>812.22926829268283</v>
      </c>
      <c r="O1034" s="130">
        <f t="shared" si="73"/>
        <v>32433.648611927518</v>
      </c>
      <c r="P1034" s="132">
        <f t="shared" si="74"/>
        <v>171.98595099150509</v>
      </c>
      <c r="Q1034" s="261">
        <v>6.9422979566248462E-3</v>
      </c>
      <c r="R1034" s="92"/>
    </row>
    <row r="1035" spans="1:18" x14ac:dyDescent="0.25">
      <c r="A1035" s="353">
        <v>41584</v>
      </c>
      <c r="B1035" s="353" t="s">
        <v>285</v>
      </c>
      <c r="C1035" s="263" t="s">
        <v>693</v>
      </c>
      <c r="D1035" s="157" t="s">
        <v>692</v>
      </c>
      <c r="E1035" s="44">
        <f t="shared" si="75"/>
        <v>41584</v>
      </c>
      <c r="F1035" s="146" t="str">
        <f t="shared" si="76"/>
        <v>2013-14</v>
      </c>
      <c r="G1035" s="1"/>
      <c r="H1035" s="161"/>
      <c r="I1035" s="37"/>
      <c r="J1035" s="135">
        <f t="shared" si="72"/>
        <v>0.76382508261777382</v>
      </c>
      <c r="K1035" s="112"/>
      <c r="L1035" s="37">
        <v>76.477752843000005</v>
      </c>
      <c r="M1035" s="37" t="s">
        <v>288</v>
      </c>
      <c r="N1035" s="37">
        <v>3336.4019512195118</v>
      </c>
      <c r="O1035" s="130">
        <f t="shared" si="73"/>
        <v>255160.52381026879</v>
      </c>
      <c r="P1035" s="132">
        <f t="shared" si="74"/>
        <v>2906.7510051920622</v>
      </c>
      <c r="Q1035" s="261">
        <v>1.4914216067846743E-2</v>
      </c>
      <c r="R1035" s="92"/>
    </row>
    <row r="1036" spans="1:18" x14ac:dyDescent="0.25">
      <c r="A1036" s="353">
        <v>41584</v>
      </c>
      <c r="B1036" s="353" t="s">
        <v>285</v>
      </c>
      <c r="C1036" s="263" t="s">
        <v>693</v>
      </c>
      <c r="D1036" s="157" t="s">
        <v>692</v>
      </c>
      <c r="E1036" s="44">
        <f t="shared" si="75"/>
        <v>41584</v>
      </c>
      <c r="F1036" s="146" t="str">
        <f t="shared" si="76"/>
        <v>2013-14</v>
      </c>
      <c r="G1036" s="1"/>
      <c r="H1036" s="161"/>
      <c r="I1036" s="37"/>
      <c r="J1036" s="135">
        <f t="shared" si="72"/>
        <v>0.76382508261777382</v>
      </c>
      <c r="K1036" s="112"/>
      <c r="L1036" s="37">
        <v>86.734897224400001</v>
      </c>
      <c r="M1036" s="37" t="s">
        <v>288</v>
      </c>
      <c r="N1036" s="37">
        <v>3336.4019512195118</v>
      </c>
      <c r="O1036" s="130">
        <f t="shared" si="73"/>
        <v>289382.48033831199</v>
      </c>
      <c r="P1036" s="132">
        <f t="shared" si="74"/>
        <v>3296.6024800679156</v>
      </c>
      <c r="Q1036" s="261">
        <v>1.4914216067846743E-2</v>
      </c>
      <c r="R1036" s="92"/>
    </row>
    <row r="1037" spans="1:18" x14ac:dyDescent="0.25">
      <c r="A1037" s="353">
        <v>41584</v>
      </c>
      <c r="B1037" s="353" t="s">
        <v>285</v>
      </c>
      <c r="C1037" s="263" t="s">
        <v>693</v>
      </c>
      <c r="D1037" s="157" t="s">
        <v>692</v>
      </c>
      <c r="E1037" s="44">
        <f t="shared" si="75"/>
        <v>41584</v>
      </c>
      <c r="F1037" s="146" t="str">
        <f t="shared" si="76"/>
        <v>2013-14</v>
      </c>
      <c r="G1037" s="1"/>
      <c r="H1037" s="161"/>
      <c r="I1037" s="37"/>
      <c r="J1037" s="135">
        <f t="shared" si="72"/>
        <v>0.76382508261777382</v>
      </c>
      <c r="K1037" s="112"/>
      <c r="L1037" s="37">
        <v>19.386352035400002</v>
      </c>
      <c r="M1037" s="37" t="s">
        <v>288</v>
      </c>
      <c r="N1037" s="37">
        <v>3592.3639024390236</v>
      </c>
      <c r="O1037" s="130">
        <f t="shared" si="73"/>
        <v>69642.831251946263</v>
      </c>
      <c r="P1037" s="132">
        <f t="shared" si="74"/>
        <v>793.36084878294605</v>
      </c>
      <c r="Q1037" s="261">
        <v>1.4914216067846743E-2</v>
      </c>
      <c r="R1037" s="92"/>
    </row>
    <row r="1038" spans="1:18" x14ac:dyDescent="0.25">
      <c r="A1038" s="353">
        <v>41584</v>
      </c>
      <c r="B1038" s="353" t="s">
        <v>285</v>
      </c>
      <c r="C1038" s="263" t="s">
        <v>693</v>
      </c>
      <c r="D1038" s="157" t="s">
        <v>692</v>
      </c>
      <c r="E1038" s="44">
        <f t="shared" si="75"/>
        <v>41584</v>
      </c>
      <c r="F1038" s="146" t="str">
        <f t="shared" si="76"/>
        <v>2013-14</v>
      </c>
      <c r="G1038" s="1"/>
      <c r="H1038" s="161"/>
      <c r="I1038" s="37"/>
      <c r="J1038" s="135">
        <f t="shared" si="72"/>
        <v>0.76382508261777382</v>
      </c>
      <c r="K1038" s="112"/>
      <c r="L1038" s="37">
        <v>59.303439507999997</v>
      </c>
      <c r="M1038" s="37" t="s">
        <v>288</v>
      </c>
      <c r="N1038" s="37">
        <v>3592.3639024390236</v>
      </c>
      <c r="O1038" s="130">
        <f t="shared" si="73"/>
        <v>213039.53537901543</v>
      </c>
      <c r="P1038" s="132">
        <f t="shared" si="74"/>
        <v>2426.9149254022714</v>
      </c>
      <c r="Q1038" s="261">
        <v>1.4914216067846743E-2</v>
      </c>
      <c r="R1038" s="92"/>
    </row>
    <row r="1039" spans="1:18" x14ac:dyDescent="0.25">
      <c r="A1039" s="353">
        <v>41584</v>
      </c>
      <c r="B1039" s="353" t="s">
        <v>285</v>
      </c>
      <c r="C1039" s="263" t="s">
        <v>693</v>
      </c>
      <c r="D1039" s="157" t="s">
        <v>692</v>
      </c>
      <c r="E1039" s="44">
        <f t="shared" si="75"/>
        <v>41584</v>
      </c>
      <c r="F1039" s="146" t="str">
        <f t="shared" si="76"/>
        <v>2013-14</v>
      </c>
      <c r="G1039" s="1"/>
      <c r="H1039" s="161"/>
      <c r="I1039" s="37"/>
      <c r="J1039" s="135">
        <f t="shared" si="72"/>
        <v>0.76382508261777382</v>
      </c>
      <c r="K1039" s="112"/>
      <c r="L1039" s="37">
        <v>72.917367090100001</v>
      </c>
      <c r="M1039" s="37" t="s">
        <v>288</v>
      </c>
      <c r="N1039" s="37">
        <v>3336.4019512195118</v>
      </c>
      <c r="O1039" s="130">
        <f t="shared" si="73"/>
        <v>243281.64583719906</v>
      </c>
      <c r="P1039" s="132">
        <f t="shared" si="74"/>
        <v>2771.4285815931471</v>
      </c>
      <c r="Q1039" s="261">
        <v>1.4914216067846743E-2</v>
      </c>
      <c r="R1039" s="92"/>
    </row>
    <row r="1040" spans="1:18" x14ac:dyDescent="0.25">
      <c r="A1040" s="353">
        <v>41584</v>
      </c>
      <c r="B1040" s="353" t="s">
        <v>285</v>
      </c>
      <c r="C1040" s="263" t="s">
        <v>693</v>
      </c>
      <c r="D1040" s="157" t="s">
        <v>692</v>
      </c>
      <c r="E1040" s="44">
        <f t="shared" si="75"/>
        <v>41584</v>
      </c>
      <c r="F1040" s="146" t="str">
        <f t="shared" si="76"/>
        <v>2013-14</v>
      </c>
      <c r="G1040" s="1"/>
      <c r="H1040" s="161"/>
      <c r="I1040" s="37"/>
      <c r="J1040" s="135">
        <f t="shared" si="72"/>
        <v>0.76382508261777382</v>
      </c>
      <c r="K1040" s="112"/>
      <c r="L1040" s="37">
        <v>31.893779280899999</v>
      </c>
      <c r="M1040" s="37" t="s">
        <v>288</v>
      </c>
      <c r="N1040" s="37">
        <v>3336.4019512195118</v>
      </c>
      <c r="O1040" s="130">
        <f t="shared" si="73"/>
        <v>106410.46742455919</v>
      </c>
      <c r="P1040" s="132">
        <f t="shared" si="74"/>
        <v>1212.2123302242833</v>
      </c>
      <c r="Q1040" s="261">
        <v>1.4914216067846743E-2</v>
      </c>
      <c r="R1040" s="92"/>
    </row>
    <row r="1041" spans="1:18" x14ac:dyDescent="0.25">
      <c r="A1041" s="353">
        <v>41584</v>
      </c>
      <c r="B1041" s="353" t="s">
        <v>285</v>
      </c>
      <c r="C1041" s="263" t="s">
        <v>693</v>
      </c>
      <c r="D1041" s="157" t="s">
        <v>692</v>
      </c>
      <c r="E1041" s="44">
        <f t="shared" si="75"/>
        <v>41584</v>
      </c>
      <c r="F1041" s="146" t="str">
        <f t="shared" si="76"/>
        <v>2013-14</v>
      </c>
      <c r="G1041" s="1"/>
      <c r="H1041" s="161"/>
      <c r="I1041" s="37"/>
      <c r="J1041" s="135">
        <f t="shared" si="72"/>
        <v>0.76382508261777382</v>
      </c>
      <c r="K1041" s="112"/>
      <c r="L1041" s="37">
        <v>29.169258475300001</v>
      </c>
      <c r="M1041" s="37" t="s">
        <v>288</v>
      </c>
      <c r="N1041" s="37">
        <v>3336.4019512195118</v>
      </c>
      <c r="O1041" s="130">
        <f t="shared" si="73"/>
        <v>97320.370892617211</v>
      </c>
      <c r="P1041" s="132">
        <f t="shared" si="74"/>
        <v>1108.6592929560165</v>
      </c>
      <c r="Q1041" s="261">
        <v>1.4914216067846743E-2</v>
      </c>
      <c r="R1041" s="92"/>
    </row>
    <row r="1042" spans="1:18" x14ac:dyDescent="0.25">
      <c r="A1042" s="353">
        <v>41584</v>
      </c>
      <c r="B1042" s="353" t="s">
        <v>285</v>
      </c>
      <c r="C1042" s="263" t="s">
        <v>693</v>
      </c>
      <c r="D1042" s="157" t="s">
        <v>692</v>
      </c>
      <c r="E1042" s="44">
        <f t="shared" si="75"/>
        <v>41584</v>
      </c>
      <c r="F1042" s="146" t="str">
        <f t="shared" si="76"/>
        <v>2013-14</v>
      </c>
      <c r="G1042" s="1"/>
      <c r="H1042" s="161"/>
      <c r="I1042" s="37"/>
      <c r="J1042" s="135">
        <f t="shared" si="72"/>
        <v>0.76382508261777382</v>
      </c>
      <c r="K1042" s="112"/>
      <c r="L1042" s="37">
        <v>26.519020492300001</v>
      </c>
      <c r="M1042" s="37" t="s">
        <v>288</v>
      </c>
      <c r="N1042" s="37">
        <v>812.22926829268283</v>
      </c>
      <c r="O1042" s="130">
        <f t="shared" si="73"/>
        <v>21539.52461029949</v>
      </c>
      <c r="P1042" s="132">
        <f t="shared" si="74"/>
        <v>245.37508340789626</v>
      </c>
      <c r="Q1042" s="261">
        <v>1.4914216067846743E-2</v>
      </c>
      <c r="R1042" s="92"/>
    </row>
    <row r="1043" spans="1:18" x14ac:dyDescent="0.25">
      <c r="A1043" s="353">
        <v>41584</v>
      </c>
      <c r="B1043" s="353" t="s">
        <v>285</v>
      </c>
      <c r="C1043" s="263" t="s">
        <v>693</v>
      </c>
      <c r="D1043" s="157" t="s">
        <v>692</v>
      </c>
      <c r="E1043" s="44">
        <f t="shared" si="75"/>
        <v>41584</v>
      </c>
      <c r="F1043" s="146" t="str">
        <f t="shared" si="76"/>
        <v>2013-14</v>
      </c>
      <c r="G1043" s="1"/>
      <c r="H1043" s="161"/>
      <c r="I1043" s="37"/>
      <c r="J1043" s="135">
        <f t="shared" si="72"/>
        <v>0.76382508261777382</v>
      </c>
      <c r="K1043" s="112"/>
      <c r="L1043" s="37">
        <v>22.902887378100001</v>
      </c>
      <c r="M1043" s="37" t="s">
        <v>288</v>
      </c>
      <c r="N1043" s="37">
        <v>812.22926829268283</v>
      </c>
      <c r="O1043" s="130">
        <f t="shared" si="73"/>
        <v>18602.395456903883</v>
      </c>
      <c r="P1043" s="132">
        <f t="shared" si="74"/>
        <v>211.91574184705252</v>
      </c>
      <c r="Q1043" s="261">
        <v>1.4914216067846743E-2</v>
      </c>
      <c r="R1043" s="92"/>
    </row>
    <row r="1044" spans="1:18" x14ac:dyDescent="0.25">
      <c r="A1044" s="353">
        <v>41584</v>
      </c>
      <c r="B1044" s="353" t="s">
        <v>285</v>
      </c>
      <c r="C1044" s="263" t="s">
        <v>693</v>
      </c>
      <c r="D1044" s="157" t="s">
        <v>692</v>
      </c>
      <c r="E1044" s="44">
        <f t="shared" si="75"/>
        <v>41584</v>
      </c>
      <c r="F1044" s="146" t="str">
        <f t="shared" si="76"/>
        <v>2013-14</v>
      </c>
      <c r="G1044" s="1"/>
      <c r="H1044" s="161"/>
      <c r="I1044" s="37"/>
      <c r="J1044" s="135">
        <f t="shared" si="72"/>
        <v>0.76382508261777382</v>
      </c>
      <c r="K1044" s="112"/>
      <c r="L1044" s="37">
        <v>71.562104553699996</v>
      </c>
      <c r="M1044" s="37" t="s">
        <v>288</v>
      </c>
      <c r="N1044" s="37">
        <v>3336.4019512195118</v>
      </c>
      <c r="O1044" s="130">
        <f t="shared" si="73"/>
        <v>238759.94526633937</v>
      </c>
      <c r="P1044" s="132">
        <f t="shared" si="74"/>
        <v>2719.9180364537388</v>
      </c>
      <c r="Q1044" s="261">
        <v>1.4914216067846743E-2</v>
      </c>
      <c r="R1044" s="92"/>
    </row>
    <row r="1045" spans="1:18" x14ac:dyDescent="0.25">
      <c r="A1045" s="353">
        <v>41584</v>
      </c>
      <c r="B1045" s="353" t="s">
        <v>285</v>
      </c>
      <c r="C1045" s="263" t="s">
        <v>693</v>
      </c>
      <c r="D1045" s="157" t="s">
        <v>692</v>
      </c>
      <c r="E1045" s="44">
        <f t="shared" si="75"/>
        <v>41584</v>
      </c>
      <c r="F1045" s="146" t="str">
        <f t="shared" si="76"/>
        <v>2013-14</v>
      </c>
      <c r="G1045" s="1"/>
      <c r="H1045" s="161"/>
      <c r="I1045" s="37"/>
      <c r="J1045" s="135">
        <f t="shared" si="72"/>
        <v>0.76382508261777382</v>
      </c>
      <c r="K1045" s="112"/>
      <c r="L1045" s="37">
        <v>82.043467640399996</v>
      </c>
      <c r="M1045" s="37" t="s">
        <v>288</v>
      </c>
      <c r="N1045" s="37">
        <v>812.22926829268283</v>
      </c>
      <c r="O1045" s="130">
        <f t="shared" si="73"/>
        <v>66638.105689756485</v>
      </c>
      <c r="P1045" s="132">
        <f t="shared" si="74"/>
        <v>759.13145891574311</v>
      </c>
      <c r="Q1045" s="261">
        <v>1.4914216067846743E-2</v>
      </c>
      <c r="R1045" s="92"/>
    </row>
    <row r="1046" spans="1:18" x14ac:dyDescent="0.25">
      <c r="A1046" s="353">
        <v>41584</v>
      </c>
      <c r="B1046" s="353" t="s">
        <v>285</v>
      </c>
      <c r="C1046" s="263" t="s">
        <v>693</v>
      </c>
      <c r="D1046" s="157" t="s">
        <v>692</v>
      </c>
      <c r="E1046" s="44">
        <f t="shared" si="75"/>
        <v>41584</v>
      </c>
      <c r="F1046" s="146" t="str">
        <f t="shared" si="76"/>
        <v>2013-14</v>
      </c>
      <c r="G1046" s="1"/>
      <c r="H1046" s="161"/>
      <c r="I1046" s="37"/>
      <c r="J1046" s="135">
        <f t="shared" si="72"/>
        <v>0.76382508261777382</v>
      </c>
      <c r="K1046" s="112"/>
      <c r="L1046" s="37">
        <v>95.117540230900005</v>
      </c>
      <c r="M1046" s="37" t="s">
        <v>288</v>
      </c>
      <c r="N1046" s="37">
        <v>812.22926829268283</v>
      </c>
      <c r="O1046" s="130">
        <f t="shared" si="73"/>
        <v>77257.250103543731</v>
      </c>
      <c r="P1046" s="132">
        <f t="shared" si="74"/>
        <v>880.10318384450932</v>
      </c>
      <c r="Q1046" s="261">
        <v>1.4914216067846743E-2</v>
      </c>
      <c r="R1046" s="92"/>
    </row>
    <row r="1047" spans="1:18" x14ac:dyDescent="0.25">
      <c r="A1047" s="353">
        <v>41584</v>
      </c>
      <c r="B1047" s="353" t="s">
        <v>285</v>
      </c>
      <c r="C1047" s="263" t="s">
        <v>693</v>
      </c>
      <c r="D1047" s="157" t="s">
        <v>692</v>
      </c>
      <c r="E1047" s="44">
        <f t="shared" si="75"/>
        <v>41584</v>
      </c>
      <c r="F1047" s="146" t="str">
        <f t="shared" si="76"/>
        <v>2013-14</v>
      </c>
      <c r="G1047" s="1"/>
      <c r="H1047" s="161"/>
      <c r="I1047" s="37"/>
      <c r="J1047" s="135">
        <f t="shared" si="72"/>
        <v>0.76382508261777382</v>
      </c>
      <c r="K1047" s="112"/>
      <c r="L1047" s="37">
        <v>69.226130632500002</v>
      </c>
      <c r="M1047" s="37" t="s">
        <v>288</v>
      </c>
      <c r="N1047" s="37">
        <v>812.22926829268283</v>
      </c>
      <c r="O1047" s="130">
        <f t="shared" si="73"/>
        <v>56227.489430369154</v>
      </c>
      <c r="P1047" s="132">
        <f t="shared" si="74"/>
        <v>640.53525592650499</v>
      </c>
      <c r="Q1047" s="261">
        <v>1.4914216067846743E-2</v>
      </c>
      <c r="R1047" s="92"/>
    </row>
    <row r="1048" spans="1:18" x14ac:dyDescent="0.25">
      <c r="A1048" s="353">
        <v>41584</v>
      </c>
      <c r="B1048" s="353" t="s">
        <v>285</v>
      </c>
      <c r="C1048" s="263" t="s">
        <v>693</v>
      </c>
      <c r="D1048" s="157" t="s">
        <v>692</v>
      </c>
      <c r="E1048" s="44">
        <f t="shared" si="75"/>
        <v>41584</v>
      </c>
      <c r="F1048" s="146" t="str">
        <f t="shared" si="76"/>
        <v>2013-14</v>
      </c>
      <c r="G1048" s="1"/>
      <c r="H1048" s="161"/>
      <c r="I1048" s="37"/>
      <c r="J1048" s="135">
        <f t="shared" si="72"/>
        <v>0.76382508261777382</v>
      </c>
      <c r="K1048" s="112"/>
      <c r="L1048" s="37">
        <v>15.0510111458</v>
      </c>
      <c r="M1048" s="37" t="s">
        <v>288</v>
      </c>
      <c r="N1048" s="37">
        <v>3336.4019512195118</v>
      </c>
      <c r="O1048" s="130">
        <f t="shared" si="73"/>
        <v>50216.222954673744</v>
      </c>
      <c r="P1048" s="132">
        <f t="shared" si="74"/>
        <v>572.05579597799954</v>
      </c>
      <c r="Q1048" s="261">
        <v>1.4914216067846743E-2</v>
      </c>
      <c r="R1048" s="92"/>
    </row>
    <row r="1049" spans="1:18" x14ac:dyDescent="0.25">
      <c r="A1049" s="353">
        <v>41584</v>
      </c>
      <c r="B1049" s="353" t="s">
        <v>285</v>
      </c>
      <c r="C1049" s="263" t="s">
        <v>693</v>
      </c>
      <c r="D1049" s="157" t="s">
        <v>692</v>
      </c>
      <c r="E1049" s="44">
        <f t="shared" si="75"/>
        <v>41584</v>
      </c>
      <c r="F1049" s="146" t="str">
        <f t="shared" si="76"/>
        <v>2013-14</v>
      </c>
      <c r="G1049" s="1"/>
      <c r="H1049" s="161"/>
      <c r="I1049" s="37"/>
      <c r="J1049" s="135">
        <f t="shared" si="72"/>
        <v>0.76382508261777382</v>
      </c>
      <c r="K1049" s="112"/>
      <c r="L1049" s="37">
        <v>55.105252000199997</v>
      </c>
      <c r="M1049" s="37" t="s">
        <v>288</v>
      </c>
      <c r="N1049" s="37">
        <v>3336.4019512195118</v>
      </c>
      <c r="O1049" s="130">
        <f t="shared" si="73"/>
        <v>183853.27029591019</v>
      </c>
      <c r="P1049" s="132">
        <f t="shared" si="74"/>
        <v>2094.4293037972575</v>
      </c>
      <c r="Q1049" s="261">
        <v>1.4914216067846743E-2</v>
      </c>
      <c r="R1049" s="92"/>
    </row>
    <row r="1050" spans="1:18" x14ac:dyDescent="0.25">
      <c r="A1050" s="353">
        <v>41584</v>
      </c>
      <c r="B1050" s="353" t="s">
        <v>285</v>
      </c>
      <c r="C1050" s="263" t="s">
        <v>693</v>
      </c>
      <c r="D1050" s="157" t="s">
        <v>692</v>
      </c>
      <c r="E1050" s="44">
        <f t="shared" si="75"/>
        <v>41584</v>
      </c>
      <c r="F1050" s="146" t="str">
        <f t="shared" si="76"/>
        <v>2013-14</v>
      </c>
      <c r="G1050" s="1"/>
      <c r="H1050" s="161"/>
      <c r="I1050" s="37"/>
      <c r="J1050" s="135">
        <f t="shared" ref="J1050:J1113" si="77">J1049</f>
        <v>0.76382508261777382</v>
      </c>
      <c r="K1050" s="112"/>
      <c r="L1050" s="37">
        <v>45.4002641039</v>
      </c>
      <c r="M1050" s="37" t="s">
        <v>288</v>
      </c>
      <c r="N1050" s="37">
        <v>3336.4019512195118</v>
      </c>
      <c r="O1050" s="130">
        <f t="shared" ref="O1050:O1113" si="78">IF(N1050="","-",L1050*N1050)</f>
        <v>151473.52974213313</v>
      </c>
      <c r="P1050" s="132">
        <f t="shared" ref="P1050:P1113" si="79">IF(O1050="-","-",IF(OR(E1050&lt;$E$15,E1050&gt;$E$16),0,O1050*J1050))*Q1050</f>
        <v>1725.5640812421618</v>
      </c>
      <c r="Q1050" s="261">
        <v>1.4914216067846743E-2</v>
      </c>
      <c r="R1050" s="92"/>
    </row>
    <row r="1051" spans="1:18" x14ac:dyDescent="0.25">
      <c r="A1051" s="353">
        <v>41584</v>
      </c>
      <c r="B1051" s="353" t="s">
        <v>285</v>
      </c>
      <c r="C1051" s="263" t="s">
        <v>693</v>
      </c>
      <c r="D1051" s="157" t="s">
        <v>692</v>
      </c>
      <c r="E1051" s="44">
        <f t="shared" ref="E1051:E1114" si="80">IF(VALUE(A1051)&lt;2022,DATEVALUE("30 Jun "&amp;A1051),A1051)</f>
        <v>41584</v>
      </c>
      <c r="F1051" s="146" t="str">
        <f t="shared" si="76"/>
        <v>2013-14</v>
      </c>
      <c r="G1051" s="1"/>
      <c r="H1051" s="161"/>
      <c r="I1051" s="37"/>
      <c r="J1051" s="135">
        <f t="shared" si="77"/>
        <v>0.76382508261777382</v>
      </c>
      <c r="K1051" s="112"/>
      <c r="L1051" s="37">
        <v>29.683044408699999</v>
      </c>
      <c r="M1051" s="37" t="s">
        <v>288</v>
      </c>
      <c r="N1051" s="37">
        <v>3336.4019512195118</v>
      </c>
      <c r="O1051" s="130">
        <f t="shared" si="78"/>
        <v>99034.567283322103</v>
      </c>
      <c r="P1051" s="132">
        <f t="shared" si="79"/>
        <v>1128.1871650867506</v>
      </c>
      <c r="Q1051" s="261">
        <v>1.4914216067846743E-2</v>
      </c>
      <c r="R1051" s="92"/>
    </row>
    <row r="1052" spans="1:18" x14ac:dyDescent="0.25">
      <c r="A1052" s="353">
        <v>41584</v>
      </c>
      <c r="B1052" s="353" t="s">
        <v>285</v>
      </c>
      <c r="C1052" s="263" t="s">
        <v>693</v>
      </c>
      <c r="D1052" s="157" t="s">
        <v>692</v>
      </c>
      <c r="E1052" s="44">
        <f t="shared" si="80"/>
        <v>41584</v>
      </c>
      <c r="F1052" s="146" t="str">
        <f t="shared" si="76"/>
        <v>2013-14</v>
      </c>
      <c r="G1052" s="1"/>
      <c r="H1052" s="161"/>
      <c r="I1052" s="37"/>
      <c r="J1052" s="135">
        <f t="shared" si="77"/>
        <v>0.76382508261777382</v>
      </c>
      <c r="K1052" s="112"/>
      <c r="L1052" s="37">
        <v>25.185281510300001</v>
      </c>
      <c r="M1052" s="37" t="s">
        <v>288</v>
      </c>
      <c r="N1052" s="37">
        <v>3336.4019512195118</v>
      </c>
      <c r="O1052" s="130">
        <f t="shared" si="78"/>
        <v>84028.222372977616</v>
      </c>
      <c r="P1052" s="132">
        <f t="shared" si="79"/>
        <v>957.23710000208564</v>
      </c>
      <c r="Q1052" s="261">
        <v>1.4914216067846743E-2</v>
      </c>
      <c r="R1052" s="92"/>
    </row>
    <row r="1053" spans="1:18" x14ac:dyDescent="0.25">
      <c r="A1053" s="353">
        <v>41584</v>
      </c>
      <c r="B1053" s="353" t="s">
        <v>285</v>
      </c>
      <c r="C1053" s="263" t="s">
        <v>693</v>
      </c>
      <c r="D1053" s="157" t="s">
        <v>692</v>
      </c>
      <c r="E1053" s="44">
        <f t="shared" si="80"/>
        <v>41584</v>
      </c>
      <c r="F1053" s="146" t="str">
        <f t="shared" si="76"/>
        <v>2013-14</v>
      </c>
      <c r="G1053" s="1"/>
      <c r="H1053" s="161"/>
      <c r="I1053" s="37"/>
      <c r="J1053" s="135">
        <f t="shared" si="77"/>
        <v>0.76382508261777382</v>
      </c>
      <c r="K1053" s="112"/>
      <c r="L1053" s="37">
        <v>6.2132504375700002</v>
      </c>
      <c r="M1053" s="37" t="s">
        <v>288</v>
      </c>
      <c r="N1053" s="37">
        <v>3336.4019512195118</v>
      </c>
      <c r="O1053" s="130">
        <f t="shared" si="78"/>
        <v>20729.900883324033</v>
      </c>
      <c r="P1053" s="132">
        <f t="shared" si="79"/>
        <v>236.15196947526002</v>
      </c>
      <c r="Q1053" s="261">
        <v>1.4914216067846743E-2</v>
      </c>
      <c r="R1053" s="92"/>
    </row>
    <row r="1054" spans="1:18" x14ac:dyDescent="0.25">
      <c r="A1054" s="353">
        <v>41584</v>
      </c>
      <c r="B1054" s="353" t="s">
        <v>285</v>
      </c>
      <c r="C1054" s="263" t="s">
        <v>693</v>
      </c>
      <c r="D1054" s="157" t="s">
        <v>692</v>
      </c>
      <c r="E1054" s="44">
        <f t="shared" si="80"/>
        <v>41584</v>
      </c>
      <c r="F1054" s="146" t="str">
        <f t="shared" si="76"/>
        <v>2013-14</v>
      </c>
      <c r="G1054" s="1"/>
      <c r="H1054" s="161"/>
      <c r="I1054" s="37"/>
      <c r="J1054" s="135">
        <f t="shared" si="77"/>
        <v>0.76382508261777382</v>
      </c>
      <c r="K1054" s="112"/>
      <c r="L1054" s="37">
        <v>23.459524486599999</v>
      </c>
      <c r="M1054" s="37" t="s">
        <v>288</v>
      </c>
      <c r="N1054" s="37">
        <v>3336.4019512195118</v>
      </c>
      <c r="O1054" s="130">
        <f t="shared" si="78"/>
        <v>78270.40327177415</v>
      </c>
      <c r="P1054" s="132">
        <f t="shared" si="79"/>
        <v>891.64487511473544</v>
      </c>
      <c r="Q1054" s="261">
        <v>1.4914216067846743E-2</v>
      </c>
      <c r="R1054" s="92"/>
    </row>
    <row r="1055" spans="1:18" x14ac:dyDescent="0.25">
      <c r="A1055" s="353">
        <v>41584</v>
      </c>
      <c r="B1055" s="353" t="s">
        <v>285</v>
      </c>
      <c r="C1055" s="263" t="s">
        <v>693</v>
      </c>
      <c r="D1055" s="157" t="s">
        <v>692</v>
      </c>
      <c r="E1055" s="44">
        <f t="shared" si="80"/>
        <v>41584</v>
      </c>
      <c r="F1055" s="146" t="str">
        <f t="shared" si="76"/>
        <v>2013-14</v>
      </c>
      <c r="G1055" s="1"/>
      <c r="H1055" s="161"/>
      <c r="I1055" s="37"/>
      <c r="J1055" s="135">
        <f t="shared" si="77"/>
        <v>0.76382508261777382</v>
      </c>
      <c r="K1055" s="112"/>
      <c r="L1055" s="37">
        <v>46.416316716700003</v>
      </c>
      <c r="M1055" s="37" t="s">
        <v>288</v>
      </c>
      <c r="N1055" s="37">
        <v>3336.4019512195118</v>
      </c>
      <c r="O1055" s="130">
        <f t="shared" si="78"/>
        <v>154863.48966202073</v>
      </c>
      <c r="P1055" s="132">
        <f t="shared" si="79"/>
        <v>1764.1820040209263</v>
      </c>
      <c r="Q1055" s="261">
        <v>1.4914216067846743E-2</v>
      </c>
      <c r="R1055" s="92"/>
    </row>
    <row r="1056" spans="1:18" x14ac:dyDescent="0.25">
      <c r="A1056" s="353">
        <v>41584</v>
      </c>
      <c r="B1056" s="353" t="s">
        <v>285</v>
      </c>
      <c r="C1056" s="263" t="s">
        <v>693</v>
      </c>
      <c r="D1056" s="157" t="s">
        <v>692</v>
      </c>
      <c r="E1056" s="44">
        <f t="shared" si="80"/>
        <v>41584</v>
      </c>
      <c r="F1056" s="146" t="str">
        <f t="shared" si="76"/>
        <v>2013-14</v>
      </c>
      <c r="G1056" s="1"/>
      <c r="H1056" s="161"/>
      <c r="I1056" s="37"/>
      <c r="J1056" s="135">
        <f t="shared" si="77"/>
        <v>0.76382508261777382</v>
      </c>
      <c r="K1056" s="112"/>
      <c r="L1056" s="37">
        <v>68.261362729400005</v>
      </c>
      <c r="M1056" s="37" t="s">
        <v>288</v>
      </c>
      <c r="N1056" s="37">
        <v>3336.4019512195118</v>
      </c>
      <c r="O1056" s="130">
        <f t="shared" si="78"/>
        <v>227747.34380327305</v>
      </c>
      <c r="P1056" s="132">
        <f t="shared" si="79"/>
        <v>2594.4641069252425</v>
      </c>
      <c r="Q1056" s="261">
        <v>1.4914216067846743E-2</v>
      </c>
      <c r="R1056" s="92"/>
    </row>
    <row r="1057" spans="1:18" x14ac:dyDescent="0.25">
      <c r="A1057" s="353">
        <v>41584</v>
      </c>
      <c r="B1057" s="353" t="s">
        <v>285</v>
      </c>
      <c r="C1057" s="263" t="s">
        <v>693</v>
      </c>
      <c r="D1057" s="157" t="s">
        <v>692</v>
      </c>
      <c r="E1057" s="44">
        <f t="shared" si="80"/>
        <v>41584</v>
      </c>
      <c r="F1057" s="146" t="str">
        <f t="shared" si="76"/>
        <v>2013-14</v>
      </c>
      <c r="G1057" s="1"/>
      <c r="H1057" s="161"/>
      <c r="I1057" s="37"/>
      <c r="J1057" s="135">
        <f t="shared" si="77"/>
        <v>0.76382508261777382</v>
      </c>
      <c r="K1057" s="112"/>
      <c r="L1057" s="37">
        <v>6.4862223992899999</v>
      </c>
      <c r="M1057" s="37" t="s">
        <v>288</v>
      </c>
      <c r="N1057" s="37">
        <v>812.22926829268283</v>
      </c>
      <c r="O1057" s="130">
        <f t="shared" si="78"/>
        <v>5268.2996733589262</v>
      </c>
      <c r="P1057" s="132">
        <f t="shared" si="79"/>
        <v>60.015691857475261</v>
      </c>
      <c r="Q1057" s="261">
        <v>1.4914216067846743E-2</v>
      </c>
      <c r="R1057" s="92"/>
    </row>
    <row r="1058" spans="1:18" x14ac:dyDescent="0.25">
      <c r="A1058" s="353">
        <v>41584</v>
      </c>
      <c r="B1058" s="353" t="s">
        <v>285</v>
      </c>
      <c r="C1058" s="263" t="s">
        <v>693</v>
      </c>
      <c r="D1058" s="157" t="s">
        <v>692</v>
      </c>
      <c r="E1058" s="44">
        <f t="shared" si="80"/>
        <v>41584</v>
      </c>
      <c r="F1058" s="146" t="str">
        <f t="shared" si="76"/>
        <v>2013-14</v>
      </c>
      <c r="G1058" s="1"/>
      <c r="H1058" s="161"/>
      <c r="I1058" s="37"/>
      <c r="J1058" s="135">
        <f t="shared" si="77"/>
        <v>0.76382508261777382</v>
      </c>
      <c r="K1058" s="112"/>
      <c r="L1058" s="37">
        <v>55.350500333799999</v>
      </c>
      <c r="M1058" s="37" t="s">
        <v>288</v>
      </c>
      <c r="N1058" s="37">
        <v>3336.4019512195118</v>
      </c>
      <c r="O1058" s="130">
        <f t="shared" si="78"/>
        <v>184671.51731466656</v>
      </c>
      <c r="P1058" s="132">
        <f t="shared" si="79"/>
        <v>2103.7506529963757</v>
      </c>
      <c r="Q1058" s="261">
        <v>1.4914216067846743E-2</v>
      </c>
      <c r="R1058" s="92"/>
    </row>
    <row r="1059" spans="1:18" x14ac:dyDescent="0.25">
      <c r="A1059" s="353">
        <v>41584</v>
      </c>
      <c r="B1059" s="353" t="s">
        <v>285</v>
      </c>
      <c r="C1059" s="263" t="s">
        <v>693</v>
      </c>
      <c r="D1059" s="157" t="s">
        <v>692</v>
      </c>
      <c r="E1059" s="44">
        <f t="shared" si="80"/>
        <v>41584</v>
      </c>
      <c r="F1059" s="146" t="str">
        <f t="shared" si="76"/>
        <v>2013-14</v>
      </c>
      <c r="G1059" s="1"/>
      <c r="H1059" s="161"/>
      <c r="I1059" s="37"/>
      <c r="J1059" s="135">
        <f t="shared" si="77"/>
        <v>0.76382508261777382</v>
      </c>
      <c r="K1059" s="112"/>
      <c r="L1059" s="37">
        <v>14.0130642836</v>
      </c>
      <c r="M1059" s="37" t="s">
        <v>288</v>
      </c>
      <c r="N1059" s="37">
        <v>812.22926829268283</v>
      </c>
      <c r="O1059" s="130">
        <f t="shared" si="78"/>
        <v>11381.820949606756</v>
      </c>
      <c r="P1059" s="132">
        <f t="shared" si="79"/>
        <v>129.66002339290566</v>
      </c>
      <c r="Q1059" s="261">
        <v>1.4914216067846743E-2</v>
      </c>
      <c r="R1059" s="92"/>
    </row>
    <row r="1060" spans="1:18" x14ac:dyDescent="0.25">
      <c r="A1060" s="353">
        <v>41584</v>
      </c>
      <c r="B1060" s="353" t="s">
        <v>285</v>
      </c>
      <c r="C1060" s="263" t="s">
        <v>693</v>
      </c>
      <c r="D1060" s="157" t="s">
        <v>692</v>
      </c>
      <c r="E1060" s="44">
        <f t="shared" si="80"/>
        <v>41584</v>
      </c>
      <c r="F1060" s="146" t="str">
        <f t="shared" si="76"/>
        <v>2013-14</v>
      </c>
      <c r="G1060" s="1"/>
      <c r="H1060" s="161"/>
      <c r="I1060" s="37"/>
      <c r="J1060" s="135">
        <f t="shared" si="77"/>
        <v>0.76382508261777382</v>
      </c>
      <c r="K1060" s="112"/>
      <c r="L1060" s="37">
        <v>13.860789777900001</v>
      </c>
      <c r="M1060" s="37" t="s">
        <v>288</v>
      </c>
      <c r="N1060" s="37">
        <v>812.22926829268283</v>
      </c>
      <c r="O1060" s="130">
        <f t="shared" si="78"/>
        <v>11258.139139262415</v>
      </c>
      <c r="P1060" s="132">
        <f t="shared" si="79"/>
        <v>128.25105847476763</v>
      </c>
      <c r="Q1060" s="261">
        <v>1.4914216067846743E-2</v>
      </c>
      <c r="R1060" s="92"/>
    </row>
    <row r="1061" spans="1:18" x14ac:dyDescent="0.25">
      <c r="A1061" s="353">
        <v>41584</v>
      </c>
      <c r="B1061" s="353" t="s">
        <v>285</v>
      </c>
      <c r="C1061" s="263" t="s">
        <v>693</v>
      </c>
      <c r="D1061" s="157" t="s">
        <v>692</v>
      </c>
      <c r="E1061" s="44">
        <f t="shared" si="80"/>
        <v>41584</v>
      </c>
      <c r="F1061" s="146" t="str">
        <f t="shared" si="76"/>
        <v>2013-14</v>
      </c>
      <c r="G1061" s="1"/>
      <c r="H1061" s="161"/>
      <c r="I1061" s="37"/>
      <c r="J1061" s="135">
        <f t="shared" si="77"/>
        <v>0.76382508261777382</v>
      </c>
      <c r="K1061" s="112"/>
      <c r="L1061" s="37">
        <v>73.980210674899993</v>
      </c>
      <c r="M1061" s="37" t="s">
        <v>288</v>
      </c>
      <c r="N1061" s="37">
        <v>3336.4019512195118</v>
      </c>
      <c r="O1061" s="130">
        <f t="shared" si="78"/>
        <v>246827.71924736688</v>
      </c>
      <c r="P1061" s="132">
        <f t="shared" si="79"/>
        <v>2811.8249261983756</v>
      </c>
      <c r="Q1061" s="261">
        <v>1.4914216067846743E-2</v>
      </c>
      <c r="R1061" s="92"/>
    </row>
    <row r="1062" spans="1:18" x14ac:dyDescent="0.25">
      <c r="A1062" s="353">
        <v>41584</v>
      </c>
      <c r="B1062" s="353" t="s">
        <v>285</v>
      </c>
      <c r="C1062" s="263" t="s">
        <v>693</v>
      </c>
      <c r="D1062" s="157" t="s">
        <v>692</v>
      </c>
      <c r="E1062" s="44">
        <f t="shared" si="80"/>
        <v>41584</v>
      </c>
      <c r="F1062" s="146" t="str">
        <f t="shared" si="76"/>
        <v>2013-14</v>
      </c>
      <c r="G1062" s="1"/>
      <c r="H1062" s="161"/>
      <c r="I1062" s="37"/>
      <c r="J1062" s="135">
        <f t="shared" si="77"/>
        <v>0.76382508261777382</v>
      </c>
      <c r="K1062" s="112"/>
      <c r="L1062" s="37">
        <v>28.593867975199998</v>
      </c>
      <c r="M1062" s="37" t="s">
        <v>288</v>
      </c>
      <c r="N1062" s="37">
        <v>3336.4019512195118</v>
      </c>
      <c r="O1062" s="130">
        <f t="shared" si="78"/>
        <v>95400.636905370382</v>
      </c>
      <c r="P1062" s="132">
        <f t="shared" si="79"/>
        <v>1086.7899668792272</v>
      </c>
      <c r="Q1062" s="261">
        <v>1.4914216067846743E-2</v>
      </c>
      <c r="R1062" s="92"/>
    </row>
    <row r="1063" spans="1:18" x14ac:dyDescent="0.25">
      <c r="A1063" s="353">
        <v>41584</v>
      </c>
      <c r="B1063" s="353" t="s">
        <v>285</v>
      </c>
      <c r="C1063" s="263" t="s">
        <v>693</v>
      </c>
      <c r="D1063" s="157" t="s">
        <v>692</v>
      </c>
      <c r="E1063" s="44">
        <f t="shared" si="80"/>
        <v>41584</v>
      </c>
      <c r="F1063" s="146" t="str">
        <f t="shared" si="76"/>
        <v>2013-14</v>
      </c>
      <c r="G1063" s="1"/>
      <c r="H1063" s="161"/>
      <c r="I1063" s="37"/>
      <c r="J1063" s="135">
        <f t="shared" si="77"/>
        <v>0.76382508261777382</v>
      </c>
      <c r="K1063" s="112"/>
      <c r="L1063" s="37">
        <v>34.814397002100002</v>
      </c>
      <c r="M1063" s="37" t="s">
        <v>288</v>
      </c>
      <c r="N1063" s="37">
        <v>3336.4019512195118</v>
      </c>
      <c r="O1063" s="130">
        <f t="shared" si="78"/>
        <v>116154.82208833717</v>
      </c>
      <c r="P1063" s="132">
        <f t="shared" si="79"/>
        <v>1323.2185795097171</v>
      </c>
      <c r="Q1063" s="261">
        <v>1.4914216067846743E-2</v>
      </c>
      <c r="R1063" s="92"/>
    </row>
    <row r="1064" spans="1:18" x14ac:dyDescent="0.25">
      <c r="A1064" s="353">
        <v>41584</v>
      </c>
      <c r="B1064" s="353" t="s">
        <v>285</v>
      </c>
      <c r="C1064" s="263" t="s">
        <v>693</v>
      </c>
      <c r="D1064" s="157" t="s">
        <v>692</v>
      </c>
      <c r="E1064" s="44">
        <f t="shared" si="80"/>
        <v>41584</v>
      </c>
      <c r="F1064" s="146" t="str">
        <f t="shared" si="76"/>
        <v>2013-14</v>
      </c>
      <c r="G1064" s="1"/>
      <c r="H1064" s="161"/>
      <c r="I1064" s="37"/>
      <c r="J1064" s="135">
        <f t="shared" si="77"/>
        <v>0.76382508261777382</v>
      </c>
      <c r="K1064" s="112"/>
      <c r="L1064" s="37">
        <v>20.850193525000002</v>
      </c>
      <c r="M1064" s="37" t="s">
        <v>288</v>
      </c>
      <c r="N1064" s="37">
        <v>812.22926829268283</v>
      </c>
      <c r="O1064" s="130">
        <f t="shared" si="78"/>
        <v>16935.137430571584</v>
      </c>
      <c r="P1064" s="132">
        <f t="shared" si="79"/>
        <v>192.92258463140286</v>
      </c>
      <c r="Q1064" s="261">
        <v>1.4914216067846743E-2</v>
      </c>
      <c r="R1064" s="92"/>
    </row>
    <row r="1065" spans="1:18" x14ac:dyDescent="0.25">
      <c r="A1065" s="353">
        <v>41584</v>
      </c>
      <c r="B1065" s="353" t="s">
        <v>285</v>
      </c>
      <c r="C1065" s="263" t="s">
        <v>693</v>
      </c>
      <c r="D1065" s="157" t="s">
        <v>692</v>
      </c>
      <c r="E1065" s="44">
        <f t="shared" si="80"/>
        <v>41584</v>
      </c>
      <c r="F1065" s="146" t="str">
        <f t="shared" si="76"/>
        <v>2013-14</v>
      </c>
      <c r="G1065" s="1"/>
      <c r="H1065" s="161"/>
      <c r="I1065" s="37"/>
      <c r="J1065" s="135">
        <f t="shared" si="77"/>
        <v>0.76382508261777382</v>
      </c>
      <c r="K1065" s="112"/>
      <c r="L1065" s="37">
        <v>29.334186655100002</v>
      </c>
      <c r="M1065" s="37" t="s">
        <v>288</v>
      </c>
      <c r="N1065" s="37">
        <v>812.22926829268283</v>
      </c>
      <c r="O1065" s="130">
        <f t="shared" si="78"/>
        <v>23826.084962832854</v>
      </c>
      <c r="P1065" s="132">
        <f t="shared" si="79"/>
        <v>271.42324126518622</v>
      </c>
      <c r="Q1065" s="261">
        <v>1.4914216067846743E-2</v>
      </c>
      <c r="R1065" s="92"/>
    </row>
    <row r="1066" spans="1:18" x14ac:dyDescent="0.25">
      <c r="A1066" s="353">
        <v>41584</v>
      </c>
      <c r="B1066" s="353" t="s">
        <v>285</v>
      </c>
      <c r="C1066" s="263" t="s">
        <v>693</v>
      </c>
      <c r="D1066" s="157" t="s">
        <v>692</v>
      </c>
      <c r="E1066" s="44">
        <f t="shared" si="80"/>
        <v>41584</v>
      </c>
      <c r="F1066" s="146" t="str">
        <f t="shared" si="76"/>
        <v>2013-14</v>
      </c>
      <c r="G1066" s="1"/>
      <c r="H1066" s="161"/>
      <c r="I1066" s="37"/>
      <c r="J1066" s="135">
        <f t="shared" si="77"/>
        <v>0.76382508261777382</v>
      </c>
      <c r="K1066" s="112"/>
      <c r="L1066" s="37">
        <v>27.9794001301</v>
      </c>
      <c r="M1066" s="37" t="s">
        <v>288</v>
      </c>
      <c r="N1066" s="37">
        <v>3336.4019512195118</v>
      </c>
      <c r="O1066" s="130">
        <f t="shared" si="78"/>
        <v>93350.525188017098</v>
      </c>
      <c r="P1066" s="132">
        <f t="shared" si="79"/>
        <v>1063.4353969552221</v>
      </c>
      <c r="Q1066" s="261">
        <v>1.4914216067846743E-2</v>
      </c>
      <c r="R1066" s="92"/>
    </row>
    <row r="1067" spans="1:18" x14ac:dyDescent="0.25">
      <c r="A1067" s="353">
        <v>41584</v>
      </c>
      <c r="B1067" s="353" t="s">
        <v>285</v>
      </c>
      <c r="C1067" s="263" t="s">
        <v>693</v>
      </c>
      <c r="D1067" s="157" t="s">
        <v>692</v>
      </c>
      <c r="E1067" s="44">
        <f t="shared" si="80"/>
        <v>41584</v>
      </c>
      <c r="F1067" s="146" t="str">
        <f t="shared" si="76"/>
        <v>2013-14</v>
      </c>
      <c r="G1067" s="1"/>
      <c r="H1067" s="161"/>
      <c r="I1067" s="37"/>
      <c r="J1067" s="135">
        <f t="shared" si="77"/>
        <v>0.76382508261777382</v>
      </c>
      <c r="K1067" s="112"/>
      <c r="L1067" s="37">
        <v>30.075049718300001</v>
      </c>
      <c r="M1067" s="37" t="s">
        <v>288</v>
      </c>
      <c r="N1067" s="37">
        <v>3336.4019512195118</v>
      </c>
      <c r="O1067" s="130">
        <f t="shared" si="78"/>
        <v>100342.45456315995</v>
      </c>
      <c r="P1067" s="132">
        <f t="shared" si="79"/>
        <v>1143.0864238301344</v>
      </c>
      <c r="Q1067" s="261">
        <v>1.4914216067846743E-2</v>
      </c>
      <c r="R1067" s="92"/>
    </row>
    <row r="1068" spans="1:18" x14ac:dyDescent="0.25">
      <c r="A1068" s="353">
        <v>41584</v>
      </c>
      <c r="B1068" s="353" t="s">
        <v>285</v>
      </c>
      <c r="C1068" s="263" t="s">
        <v>693</v>
      </c>
      <c r="D1068" s="157" t="s">
        <v>692</v>
      </c>
      <c r="E1068" s="44">
        <f t="shared" si="80"/>
        <v>41584</v>
      </c>
      <c r="F1068" s="146" t="str">
        <f t="shared" si="76"/>
        <v>2013-14</v>
      </c>
      <c r="G1068" s="1"/>
      <c r="H1068" s="161"/>
      <c r="I1068" s="37"/>
      <c r="J1068" s="135">
        <f t="shared" si="77"/>
        <v>0.76382508261777382</v>
      </c>
      <c r="K1068" s="112"/>
      <c r="L1068" s="37">
        <v>27.6294763794</v>
      </c>
      <c r="M1068" s="37" t="s">
        <v>288</v>
      </c>
      <c r="N1068" s="37">
        <v>3336.4019512195118</v>
      </c>
      <c r="O1068" s="130">
        <f t="shared" si="78"/>
        <v>92183.038903403576</v>
      </c>
      <c r="P1068" s="132">
        <f t="shared" si="79"/>
        <v>1050.1355656150431</v>
      </c>
      <c r="Q1068" s="261">
        <v>1.4914216067846743E-2</v>
      </c>
      <c r="R1068" s="92"/>
    </row>
    <row r="1069" spans="1:18" x14ac:dyDescent="0.25">
      <c r="A1069" s="353">
        <v>41584</v>
      </c>
      <c r="B1069" s="353" t="s">
        <v>285</v>
      </c>
      <c r="C1069" s="263" t="s">
        <v>693</v>
      </c>
      <c r="D1069" s="157" t="s">
        <v>692</v>
      </c>
      <c r="E1069" s="44">
        <f t="shared" si="80"/>
        <v>41584</v>
      </c>
      <c r="F1069" s="146" t="str">
        <f t="shared" si="76"/>
        <v>2013-14</v>
      </c>
      <c r="G1069" s="1"/>
      <c r="H1069" s="161"/>
      <c r="I1069" s="37"/>
      <c r="J1069" s="135">
        <f t="shared" si="77"/>
        <v>0.76382508261777382</v>
      </c>
      <c r="K1069" s="112"/>
      <c r="L1069" s="37">
        <v>73.068321856899999</v>
      </c>
      <c r="M1069" s="37" t="s">
        <v>288</v>
      </c>
      <c r="N1069" s="37">
        <v>812.22926829268283</v>
      </c>
      <c r="O1069" s="130">
        <f t="shared" si="78"/>
        <v>59348.229597204132</v>
      </c>
      <c r="P1069" s="132">
        <f t="shared" si="79"/>
        <v>676.08626703681284</v>
      </c>
      <c r="Q1069" s="261">
        <v>1.4914216067846743E-2</v>
      </c>
      <c r="R1069" s="92"/>
    </row>
    <row r="1070" spans="1:18" x14ac:dyDescent="0.25">
      <c r="A1070" s="353">
        <v>41584</v>
      </c>
      <c r="B1070" s="353" t="s">
        <v>285</v>
      </c>
      <c r="C1070" s="263" t="s">
        <v>693</v>
      </c>
      <c r="D1070" s="157" t="s">
        <v>692</v>
      </c>
      <c r="E1070" s="44">
        <f t="shared" si="80"/>
        <v>41584</v>
      </c>
      <c r="F1070" s="146" t="str">
        <f t="shared" si="76"/>
        <v>2013-14</v>
      </c>
      <c r="G1070" s="1"/>
      <c r="H1070" s="161"/>
      <c r="I1070" s="37"/>
      <c r="J1070" s="135">
        <f t="shared" si="77"/>
        <v>0.76382508261777382</v>
      </c>
      <c r="K1070" s="112"/>
      <c r="L1070" s="37">
        <v>5.1390389493799997</v>
      </c>
      <c r="M1070" s="37" t="s">
        <v>288</v>
      </c>
      <c r="N1070" s="37">
        <v>812.22926829268283</v>
      </c>
      <c r="O1070" s="130">
        <f t="shared" si="78"/>
        <v>4174.0778455825148</v>
      </c>
      <c r="P1070" s="132">
        <f t="shared" si="79"/>
        <v>47.550478389904477</v>
      </c>
      <c r="Q1070" s="261">
        <v>1.4914216067846743E-2</v>
      </c>
      <c r="R1070" s="92"/>
    </row>
    <row r="1071" spans="1:18" x14ac:dyDescent="0.25">
      <c r="A1071" s="353">
        <v>41584</v>
      </c>
      <c r="B1071" s="353" t="s">
        <v>285</v>
      </c>
      <c r="C1071" s="263" t="s">
        <v>693</v>
      </c>
      <c r="D1071" s="157" t="s">
        <v>692</v>
      </c>
      <c r="E1071" s="44">
        <f t="shared" si="80"/>
        <v>41584</v>
      </c>
      <c r="F1071" s="146" t="str">
        <f t="shared" si="76"/>
        <v>2013-14</v>
      </c>
      <c r="G1071" s="1"/>
      <c r="H1071" s="161"/>
      <c r="I1071" s="37"/>
      <c r="J1071" s="135">
        <f t="shared" si="77"/>
        <v>0.76382508261777382</v>
      </c>
      <c r="K1071" s="112"/>
      <c r="L1071" s="37">
        <v>113.544372447</v>
      </c>
      <c r="M1071" s="37" t="s">
        <v>288</v>
      </c>
      <c r="N1071" s="37">
        <v>3592.3639024390236</v>
      </c>
      <c r="O1071" s="130">
        <f t="shared" si="78"/>
        <v>407892.70490369486</v>
      </c>
      <c r="P1071" s="132">
        <f t="shared" si="79"/>
        <v>4646.6534567507761</v>
      </c>
      <c r="Q1071" s="261">
        <v>1.4914216067846743E-2</v>
      </c>
      <c r="R1071" s="92"/>
    </row>
    <row r="1072" spans="1:18" x14ac:dyDescent="0.25">
      <c r="A1072" s="353">
        <v>41584</v>
      </c>
      <c r="B1072" s="353" t="s">
        <v>285</v>
      </c>
      <c r="C1072" s="263" t="s">
        <v>693</v>
      </c>
      <c r="D1072" s="157" t="s">
        <v>692</v>
      </c>
      <c r="E1072" s="44">
        <f t="shared" si="80"/>
        <v>41584</v>
      </c>
      <c r="F1072" s="146" t="str">
        <f t="shared" si="76"/>
        <v>2013-14</v>
      </c>
      <c r="G1072" s="1"/>
      <c r="H1072" s="161"/>
      <c r="I1072" s="37"/>
      <c r="J1072" s="135">
        <f t="shared" si="77"/>
        <v>0.76382508261777382</v>
      </c>
      <c r="K1072" s="112"/>
      <c r="L1072" s="37">
        <v>55.6094333486</v>
      </c>
      <c r="M1072" s="37" t="s">
        <v>288</v>
      </c>
      <c r="N1072" s="37">
        <v>950.87219512195099</v>
      </c>
      <c r="O1072" s="130">
        <f t="shared" si="78"/>
        <v>52877.463957671105</v>
      </c>
      <c r="P1072" s="132">
        <f t="shared" si="79"/>
        <v>602.37226047261265</v>
      </c>
      <c r="Q1072" s="261">
        <v>1.4914216067846743E-2</v>
      </c>
      <c r="R1072" s="92"/>
    </row>
    <row r="1073" spans="1:18" x14ac:dyDescent="0.25">
      <c r="A1073" s="353">
        <v>41584</v>
      </c>
      <c r="B1073" s="353" t="s">
        <v>285</v>
      </c>
      <c r="C1073" s="263" t="s">
        <v>693</v>
      </c>
      <c r="D1073" s="157" t="s">
        <v>692</v>
      </c>
      <c r="E1073" s="44">
        <f t="shared" si="80"/>
        <v>41584</v>
      </c>
      <c r="F1073" s="146" t="str">
        <f t="shared" si="76"/>
        <v>2013-14</v>
      </c>
      <c r="G1073" s="1"/>
      <c r="H1073" s="161"/>
      <c r="I1073" s="37"/>
      <c r="J1073" s="135">
        <f t="shared" si="77"/>
        <v>0.76382508261777382</v>
      </c>
      <c r="K1073" s="112"/>
      <c r="L1073" s="37">
        <v>22.1287197688</v>
      </c>
      <c r="M1073" s="37" t="s">
        <v>288</v>
      </c>
      <c r="N1073" s="37">
        <v>3592.3639024390236</v>
      </c>
      <c r="O1073" s="130">
        <f t="shared" si="78"/>
        <v>79494.414104625932</v>
      </c>
      <c r="P1073" s="132">
        <f t="shared" si="79"/>
        <v>905.58862576091087</v>
      </c>
      <c r="Q1073" s="261">
        <v>1.4914216067846743E-2</v>
      </c>
      <c r="R1073" s="92"/>
    </row>
    <row r="1074" spans="1:18" x14ac:dyDescent="0.25">
      <c r="A1074" s="353">
        <v>41593</v>
      </c>
      <c r="B1074" s="353" t="s">
        <v>285</v>
      </c>
      <c r="C1074" s="263" t="s">
        <v>694</v>
      </c>
      <c r="D1074" s="157" t="s">
        <v>692</v>
      </c>
      <c r="E1074" s="44">
        <f t="shared" si="80"/>
        <v>41593</v>
      </c>
      <c r="F1074" s="146" t="str">
        <f t="shared" si="76"/>
        <v>2013-14</v>
      </c>
      <c r="G1074" s="1"/>
      <c r="H1074" s="161"/>
      <c r="I1074" s="37"/>
      <c r="J1074" s="135">
        <f t="shared" si="77"/>
        <v>0.76382508261777382</v>
      </c>
      <c r="K1074" s="112"/>
      <c r="L1074" s="37">
        <v>66.079757051599998</v>
      </c>
      <c r="M1074" s="37" t="s">
        <v>288</v>
      </c>
      <c r="N1074" s="37">
        <v>950.87219512195099</v>
      </c>
      <c r="O1074" s="130">
        <f t="shared" si="78"/>
        <v>62833.40364078011</v>
      </c>
      <c r="P1074" s="132">
        <f t="shared" si="79"/>
        <v>880.43581629518496</v>
      </c>
      <c r="Q1074" s="261">
        <v>1.8344809234496794E-2</v>
      </c>
      <c r="R1074" s="92"/>
    </row>
    <row r="1075" spans="1:18" x14ac:dyDescent="0.25">
      <c r="A1075" s="353">
        <v>41593</v>
      </c>
      <c r="B1075" s="353" t="s">
        <v>285</v>
      </c>
      <c r="C1075" s="263" t="s">
        <v>694</v>
      </c>
      <c r="D1075" s="157" t="s">
        <v>692</v>
      </c>
      <c r="E1075" s="44">
        <f t="shared" si="80"/>
        <v>41593</v>
      </c>
      <c r="F1075" s="146" t="str">
        <f t="shared" si="76"/>
        <v>2013-14</v>
      </c>
      <c r="G1075" s="1"/>
      <c r="H1075" s="161"/>
      <c r="I1075" s="37"/>
      <c r="J1075" s="135">
        <f t="shared" si="77"/>
        <v>0.76382508261777382</v>
      </c>
      <c r="K1075" s="112"/>
      <c r="L1075" s="37">
        <v>63.184624981100001</v>
      </c>
      <c r="M1075" s="37" t="s">
        <v>288</v>
      </c>
      <c r="N1075" s="37">
        <v>950.87219512195099</v>
      </c>
      <c r="O1075" s="130">
        <f t="shared" si="78"/>
        <v>60080.503053735818</v>
      </c>
      <c r="P1075" s="132">
        <f t="shared" si="79"/>
        <v>841.86155268548976</v>
      </c>
      <c r="Q1075" s="261">
        <v>1.8344809234496794E-2</v>
      </c>
      <c r="R1075" s="92"/>
    </row>
    <row r="1076" spans="1:18" x14ac:dyDescent="0.25">
      <c r="A1076" s="353">
        <v>41593</v>
      </c>
      <c r="B1076" s="353" t="s">
        <v>285</v>
      </c>
      <c r="C1076" s="263" t="s">
        <v>694</v>
      </c>
      <c r="D1076" s="157" t="s">
        <v>692</v>
      </c>
      <c r="E1076" s="44">
        <f t="shared" si="80"/>
        <v>41593</v>
      </c>
      <c r="F1076" s="146" t="str">
        <f t="shared" si="76"/>
        <v>2013-14</v>
      </c>
      <c r="G1076" s="1"/>
      <c r="H1076" s="161"/>
      <c r="I1076" s="37"/>
      <c r="J1076" s="135">
        <f t="shared" si="77"/>
        <v>0.76382508261777382</v>
      </c>
      <c r="K1076" s="112"/>
      <c r="L1076" s="37">
        <v>43.719282359200001</v>
      </c>
      <c r="M1076" s="37" t="s">
        <v>288</v>
      </c>
      <c r="N1076" s="37">
        <v>950.87219512195099</v>
      </c>
      <c r="O1076" s="130">
        <f t="shared" si="78"/>
        <v>41571.449986048894</v>
      </c>
      <c r="P1076" s="132">
        <f t="shared" si="79"/>
        <v>582.50852862101931</v>
      </c>
      <c r="Q1076" s="261">
        <v>1.8344809234496794E-2</v>
      </c>
      <c r="R1076" s="92"/>
    </row>
    <row r="1077" spans="1:18" x14ac:dyDescent="0.25">
      <c r="A1077" s="353">
        <v>41593</v>
      </c>
      <c r="B1077" s="353" t="s">
        <v>285</v>
      </c>
      <c r="C1077" s="263" t="s">
        <v>694</v>
      </c>
      <c r="D1077" s="157" t="s">
        <v>692</v>
      </c>
      <c r="E1077" s="44">
        <f t="shared" si="80"/>
        <v>41593</v>
      </c>
      <c r="F1077" s="146" t="str">
        <f t="shared" si="76"/>
        <v>2013-14</v>
      </c>
      <c r="G1077" s="1"/>
      <c r="H1077" s="161"/>
      <c r="I1077" s="37"/>
      <c r="J1077" s="135">
        <f t="shared" si="77"/>
        <v>0.76382508261777382</v>
      </c>
      <c r="K1077" s="112"/>
      <c r="L1077" s="37">
        <v>21.740158572399999</v>
      </c>
      <c r="M1077" s="37" t="s">
        <v>288</v>
      </c>
      <c r="N1077" s="37">
        <v>3592.3639024390236</v>
      </c>
      <c r="O1077" s="130">
        <f t="shared" si="78"/>
        <v>78098.560888790045</v>
      </c>
      <c r="P1077" s="132">
        <f t="shared" si="79"/>
        <v>1094.3346408656746</v>
      </c>
      <c r="Q1077" s="261">
        <v>1.8344809234496794E-2</v>
      </c>
      <c r="R1077" s="92"/>
    </row>
    <row r="1078" spans="1:18" x14ac:dyDescent="0.25">
      <c r="A1078" s="353">
        <v>41593</v>
      </c>
      <c r="B1078" s="353" t="s">
        <v>285</v>
      </c>
      <c r="C1078" s="263" t="s">
        <v>694</v>
      </c>
      <c r="D1078" s="157" t="s">
        <v>692</v>
      </c>
      <c r="E1078" s="44">
        <f t="shared" si="80"/>
        <v>41593</v>
      </c>
      <c r="F1078" s="146" t="str">
        <f t="shared" si="76"/>
        <v>2013-14</v>
      </c>
      <c r="G1078" s="1"/>
      <c r="H1078" s="161"/>
      <c r="I1078" s="37"/>
      <c r="J1078" s="135">
        <f t="shared" si="77"/>
        <v>0.76382508261777382</v>
      </c>
      <c r="K1078" s="112"/>
      <c r="L1078" s="37">
        <v>20.867307283500001</v>
      </c>
      <c r="M1078" s="37" t="s">
        <v>288</v>
      </c>
      <c r="N1078" s="37">
        <v>3592.3639024390236</v>
      </c>
      <c r="O1078" s="130">
        <f t="shared" si="78"/>
        <v>74962.961426348324</v>
      </c>
      <c r="P1078" s="132">
        <f t="shared" si="79"/>
        <v>1050.3979143424297</v>
      </c>
      <c r="Q1078" s="261">
        <v>1.8344809234496794E-2</v>
      </c>
      <c r="R1078" s="92"/>
    </row>
    <row r="1079" spans="1:18" x14ac:dyDescent="0.25">
      <c r="A1079" s="353">
        <v>41593</v>
      </c>
      <c r="B1079" s="353" t="s">
        <v>285</v>
      </c>
      <c r="C1079" s="263" t="s">
        <v>694</v>
      </c>
      <c r="D1079" s="157" t="s">
        <v>692</v>
      </c>
      <c r="E1079" s="44">
        <f t="shared" si="80"/>
        <v>41593</v>
      </c>
      <c r="F1079" s="146" t="str">
        <f t="shared" si="76"/>
        <v>2013-14</v>
      </c>
      <c r="G1079" s="1"/>
      <c r="H1079" s="161"/>
      <c r="I1079" s="37"/>
      <c r="J1079" s="135">
        <f t="shared" si="77"/>
        <v>0.76382508261777382</v>
      </c>
      <c r="K1079" s="112"/>
      <c r="L1079" s="37">
        <v>5.2412290543299997</v>
      </c>
      <c r="M1079" s="37" t="s">
        <v>288</v>
      </c>
      <c r="N1079" s="37">
        <v>950.87219512195099</v>
      </c>
      <c r="O1079" s="130">
        <f t="shared" si="78"/>
        <v>4983.7389760277138</v>
      </c>
      <c r="P1079" s="132">
        <f t="shared" si="79"/>
        <v>69.833274012125628</v>
      </c>
      <c r="Q1079" s="261">
        <v>1.8344809234496794E-2</v>
      </c>
      <c r="R1079" s="92"/>
    </row>
    <row r="1080" spans="1:18" x14ac:dyDescent="0.25">
      <c r="A1080" s="353">
        <v>41593</v>
      </c>
      <c r="B1080" s="353" t="s">
        <v>285</v>
      </c>
      <c r="C1080" s="263" t="s">
        <v>694</v>
      </c>
      <c r="D1080" s="157" t="s">
        <v>692</v>
      </c>
      <c r="E1080" s="44">
        <f t="shared" si="80"/>
        <v>41593</v>
      </c>
      <c r="F1080" s="146" t="str">
        <f t="shared" si="76"/>
        <v>2013-14</v>
      </c>
      <c r="G1080" s="1"/>
      <c r="H1080" s="161"/>
      <c r="I1080" s="37"/>
      <c r="J1080" s="135">
        <f t="shared" si="77"/>
        <v>0.76382508261777382</v>
      </c>
      <c r="K1080" s="112"/>
      <c r="L1080" s="37">
        <v>76.895336797300004</v>
      </c>
      <c r="M1080" s="37" t="s">
        <v>288</v>
      </c>
      <c r="N1080" s="37">
        <v>3592.3639024390236</v>
      </c>
      <c r="O1080" s="130">
        <f t="shared" si="78"/>
        <v>276236.03217651171</v>
      </c>
      <c r="P1080" s="132">
        <f t="shared" si="79"/>
        <v>3870.6815545103345</v>
      </c>
      <c r="Q1080" s="261">
        <v>1.8344809234496794E-2</v>
      </c>
      <c r="R1080" s="92"/>
    </row>
    <row r="1081" spans="1:18" x14ac:dyDescent="0.25">
      <c r="A1081" s="353">
        <v>41593</v>
      </c>
      <c r="B1081" s="353" t="s">
        <v>285</v>
      </c>
      <c r="C1081" s="263" t="s">
        <v>694</v>
      </c>
      <c r="D1081" s="157" t="s">
        <v>692</v>
      </c>
      <c r="E1081" s="44">
        <f t="shared" si="80"/>
        <v>41593</v>
      </c>
      <c r="F1081" s="146" t="str">
        <f t="shared" si="76"/>
        <v>2013-14</v>
      </c>
      <c r="G1081" s="1"/>
      <c r="H1081" s="161"/>
      <c r="I1081" s="37"/>
      <c r="J1081" s="135">
        <f t="shared" si="77"/>
        <v>0.76382508261777382</v>
      </c>
      <c r="K1081" s="112"/>
      <c r="L1081" s="37">
        <v>17.304808609199998</v>
      </c>
      <c r="M1081" s="37" t="s">
        <v>288</v>
      </c>
      <c r="N1081" s="37">
        <v>3592.3639024390236</v>
      </c>
      <c r="O1081" s="130">
        <f t="shared" si="78"/>
        <v>62165.16978630612</v>
      </c>
      <c r="P1081" s="132">
        <f t="shared" si="79"/>
        <v>871.07237288690771</v>
      </c>
      <c r="Q1081" s="261">
        <v>1.8344809234496794E-2</v>
      </c>
      <c r="R1081" s="92"/>
    </row>
    <row r="1082" spans="1:18" x14ac:dyDescent="0.25">
      <c r="A1082" s="353">
        <v>41593</v>
      </c>
      <c r="B1082" s="353" t="s">
        <v>285</v>
      </c>
      <c r="C1082" s="263" t="s">
        <v>694</v>
      </c>
      <c r="D1082" s="157" t="s">
        <v>692</v>
      </c>
      <c r="E1082" s="44">
        <f t="shared" si="80"/>
        <v>41593</v>
      </c>
      <c r="F1082" s="146" t="str">
        <f t="shared" si="76"/>
        <v>2013-14</v>
      </c>
      <c r="G1082" s="1"/>
      <c r="H1082" s="161"/>
      <c r="I1082" s="37"/>
      <c r="J1082" s="135">
        <f t="shared" si="77"/>
        <v>0.76382508261777382</v>
      </c>
      <c r="K1082" s="112"/>
      <c r="L1082" s="37">
        <v>17.195387003099999</v>
      </c>
      <c r="M1082" s="37" t="s">
        <v>288</v>
      </c>
      <c r="N1082" s="37">
        <v>3592.3639024390236</v>
      </c>
      <c r="O1082" s="130">
        <f t="shared" si="78"/>
        <v>61772.087558405576</v>
      </c>
      <c r="P1082" s="132">
        <f t="shared" si="79"/>
        <v>865.56441609737408</v>
      </c>
      <c r="Q1082" s="261">
        <v>1.8344809234496794E-2</v>
      </c>
      <c r="R1082" s="92"/>
    </row>
    <row r="1083" spans="1:18" x14ac:dyDescent="0.25">
      <c r="A1083" s="353">
        <v>41593</v>
      </c>
      <c r="B1083" s="353" t="s">
        <v>285</v>
      </c>
      <c r="C1083" s="263" t="s">
        <v>694</v>
      </c>
      <c r="D1083" s="157" t="s">
        <v>692</v>
      </c>
      <c r="E1083" s="44">
        <f t="shared" si="80"/>
        <v>41593</v>
      </c>
      <c r="F1083" s="146" t="str">
        <f t="shared" ref="F1083:F1146" si="81">IF(E1083="","-",IF(OR(E1083&lt;$E$15,E1083&gt;$E$16),"ERROR - date outside of range",IF(MONTH(E1083)&gt;=7,YEAR(E1083)&amp;"-"&amp;IF(YEAR(E1083)=1999,"00",IF(AND(YEAR(E1083)&gt;=2000,YEAR(E1083)&lt;2009),"0","")&amp;RIGHT(YEAR(E1083),2)+1),RIGHT(YEAR(E1083),4)-1&amp;"-"&amp;RIGHT(YEAR(E1083),2))))</f>
        <v>2013-14</v>
      </c>
      <c r="G1083" s="1"/>
      <c r="H1083" s="161"/>
      <c r="I1083" s="37"/>
      <c r="J1083" s="135">
        <f t="shared" si="77"/>
        <v>0.76382508261777382</v>
      </c>
      <c r="K1083" s="112"/>
      <c r="L1083" s="37">
        <v>96.6550806053</v>
      </c>
      <c r="M1083" s="37" t="s">
        <v>288</v>
      </c>
      <c r="N1083" s="37">
        <v>3336.4019512195118</v>
      </c>
      <c r="O1083" s="130">
        <f t="shared" si="78"/>
        <v>322480.19952680211</v>
      </c>
      <c r="P1083" s="132">
        <f t="shared" si="79"/>
        <v>4518.6652522057948</v>
      </c>
      <c r="Q1083" s="261">
        <v>1.8344809234496794E-2</v>
      </c>
      <c r="R1083" s="92"/>
    </row>
    <row r="1084" spans="1:18" x14ac:dyDescent="0.25">
      <c r="A1084" s="353">
        <v>41593</v>
      </c>
      <c r="B1084" s="353" t="s">
        <v>285</v>
      </c>
      <c r="C1084" s="263" t="s">
        <v>694</v>
      </c>
      <c r="D1084" s="157" t="s">
        <v>692</v>
      </c>
      <c r="E1084" s="44">
        <f t="shared" si="80"/>
        <v>41593</v>
      </c>
      <c r="F1084" s="146" t="str">
        <f t="shared" si="81"/>
        <v>2013-14</v>
      </c>
      <c r="G1084" s="1"/>
      <c r="H1084" s="161"/>
      <c r="I1084" s="37"/>
      <c r="J1084" s="135">
        <f t="shared" si="77"/>
        <v>0.76382508261777382</v>
      </c>
      <c r="K1084" s="112"/>
      <c r="L1084" s="37">
        <v>71.718048113500004</v>
      </c>
      <c r="M1084" s="37" t="s">
        <v>288</v>
      </c>
      <c r="N1084" s="37">
        <v>3336.4019512195118</v>
      </c>
      <c r="O1084" s="130">
        <f t="shared" si="78"/>
        <v>239280.23566353624</v>
      </c>
      <c r="P1084" s="132">
        <f t="shared" si="79"/>
        <v>3352.8486028568445</v>
      </c>
      <c r="Q1084" s="261">
        <v>1.8344809234496794E-2</v>
      </c>
      <c r="R1084" s="92"/>
    </row>
    <row r="1085" spans="1:18" x14ac:dyDescent="0.25">
      <c r="A1085" s="353">
        <v>41593</v>
      </c>
      <c r="B1085" s="353" t="s">
        <v>285</v>
      </c>
      <c r="C1085" s="263" t="s">
        <v>694</v>
      </c>
      <c r="D1085" s="157" t="s">
        <v>692</v>
      </c>
      <c r="E1085" s="44">
        <f t="shared" si="80"/>
        <v>41593</v>
      </c>
      <c r="F1085" s="146" t="str">
        <f t="shared" si="81"/>
        <v>2013-14</v>
      </c>
      <c r="G1085" s="1"/>
      <c r="H1085" s="161"/>
      <c r="I1085" s="37"/>
      <c r="J1085" s="135">
        <f t="shared" si="77"/>
        <v>0.76382508261777382</v>
      </c>
      <c r="K1085" s="112"/>
      <c r="L1085" s="37">
        <v>47.3194064678</v>
      </c>
      <c r="M1085" s="37" t="s">
        <v>288</v>
      </c>
      <c r="N1085" s="37">
        <v>3336.4019512195118</v>
      </c>
      <c r="O1085" s="130">
        <f t="shared" si="78"/>
        <v>157876.56006971712</v>
      </c>
      <c r="P1085" s="132">
        <f t="shared" si="79"/>
        <v>2212.2019496751145</v>
      </c>
      <c r="Q1085" s="261">
        <v>1.8344809234496794E-2</v>
      </c>
      <c r="R1085" s="92"/>
    </row>
    <row r="1086" spans="1:18" x14ac:dyDescent="0.25">
      <c r="A1086" s="353">
        <v>41593</v>
      </c>
      <c r="B1086" s="353" t="s">
        <v>285</v>
      </c>
      <c r="C1086" s="263" t="s">
        <v>694</v>
      </c>
      <c r="D1086" s="157" t="s">
        <v>692</v>
      </c>
      <c r="E1086" s="44">
        <f t="shared" si="80"/>
        <v>41593</v>
      </c>
      <c r="F1086" s="146" t="str">
        <f t="shared" si="81"/>
        <v>2013-14</v>
      </c>
      <c r="G1086" s="1"/>
      <c r="H1086" s="161"/>
      <c r="I1086" s="37"/>
      <c r="J1086" s="135">
        <f t="shared" si="77"/>
        <v>0.76382508261777382</v>
      </c>
      <c r="K1086" s="112"/>
      <c r="L1086" s="37">
        <v>32.824256046400002</v>
      </c>
      <c r="M1086" s="37" t="s">
        <v>288</v>
      </c>
      <c r="N1086" s="37">
        <v>3336.4019512195118</v>
      </c>
      <c r="O1086" s="130">
        <f t="shared" si="78"/>
        <v>109514.91192053782</v>
      </c>
      <c r="P1086" s="132">
        <f t="shared" si="79"/>
        <v>1534.5476336837335</v>
      </c>
      <c r="Q1086" s="261">
        <v>1.8344809234496794E-2</v>
      </c>
      <c r="R1086" s="92"/>
    </row>
    <row r="1087" spans="1:18" x14ac:dyDescent="0.25">
      <c r="A1087" s="353">
        <v>41593</v>
      </c>
      <c r="B1087" s="353" t="s">
        <v>285</v>
      </c>
      <c r="C1087" s="263" t="s">
        <v>694</v>
      </c>
      <c r="D1087" s="157" t="s">
        <v>692</v>
      </c>
      <c r="E1087" s="44">
        <f t="shared" si="80"/>
        <v>41593</v>
      </c>
      <c r="F1087" s="146" t="str">
        <f t="shared" si="81"/>
        <v>2013-14</v>
      </c>
      <c r="G1087" s="1"/>
      <c r="H1087" s="161"/>
      <c r="I1087" s="37"/>
      <c r="J1087" s="135">
        <f t="shared" si="77"/>
        <v>0.76382508261777382</v>
      </c>
      <c r="K1087" s="112"/>
      <c r="L1087" s="37">
        <v>29.485074111599999</v>
      </c>
      <c r="M1087" s="37" t="s">
        <v>288</v>
      </c>
      <c r="N1087" s="37">
        <v>3336.4019512195118</v>
      </c>
      <c r="O1087" s="130">
        <f t="shared" si="78"/>
        <v>98374.058797794147</v>
      </c>
      <c r="P1087" s="132">
        <f t="shared" si="79"/>
        <v>1378.4394882548349</v>
      </c>
      <c r="Q1087" s="261">
        <v>1.8344809234496794E-2</v>
      </c>
      <c r="R1087" s="92"/>
    </row>
    <row r="1088" spans="1:18" x14ac:dyDescent="0.25">
      <c r="A1088" s="353">
        <v>41593</v>
      </c>
      <c r="B1088" s="353" t="s">
        <v>285</v>
      </c>
      <c r="C1088" s="263" t="s">
        <v>694</v>
      </c>
      <c r="D1088" s="157" t="s">
        <v>692</v>
      </c>
      <c r="E1088" s="44">
        <f t="shared" si="80"/>
        <v>41593</v>
      </c>
      <c r="F1088" s="146" t="str">
        <f t="shared" si="81"/>
        <v>2013-14</v>
      </c>
      <c r="G1088" s="1"/>
      <c r="H1088" s="161"/>
      <c r="I1088" s="37"/>
      <c r="J1088" s="135">
        <f t="shared" si="77"/>
        <v>0.76382508261777382</v>
      </c>
      <c r="K1088" s="112"/>
      <c r="L1088" s="37">
        <v>69.554776095199998</v>
      </c>
      <c r="M1088" s="37" t="s">
        <v>288</v>
      </c>
      <c r="N1088" s="37">
        <v>812.22926829268283</v>
      </c>
      <c r="O1088" s="130">
        <f t="shared" si="78"/>
        <v>56494.424894065683</v>
      </c>
      <c r="P1088" s="132">
        <f t="shared" si="79"/>
        <v>791.61261710565191</v>
      </c>
      <c r="Q1088" s="261">
        <v>1.8344809234496794E-2</v>
      </c>
      <c r="R1088" s="92"/>
    </row>
    <row r="1089" spans="1:18" x14ac:dyDescent="0.25">
      <c r="A1089" s="353">
        <v>41593</v>
      </c>
      <c r="B1089" s="353" t="s">
        <v>285</v>
      </c>
      <c r="C1089" s="263" t="s">
        <v>694</v>
      </c>
      <c r="D1089" s="157" t="s">
        <v>692</v>
      </c>
      <c r="E1089" s="44">
        <f t="shared" si="80"/>
        <v>41593</v>
      </c>
      <c r="F1089" s="146" t="str">
        <f t="shared" si="81"/>
        <v>2013-14</v>
      </c>
      <c r="G1089" s="1"/>
      <c r="H1089" s="161"/>
      <c r="I1089" s="37"/>
      <c r="J1089" s="135">
        <f t="shared" si="77"/>
        <v>0.76382508261777382</v>
      </c>
      <c r="K1089" s="112"/>
      <c r="L1089" s="37">
        <v>16.833568102499999</v>
      </c>
      <c r="M1089" s="37" t="s">
        <v>288</v>
      </c>
      <c r="N1089" s="37">
        <v>3336.4019512195118</v>
      </c>
      <c r="O1089" s="130">
        <f t="shared" si="78"/>
        <v>56163.549463167532</v>
      </c>
      <c r="P1089" s="132">
        <f t="shared" si="79"/>
        <v>786.97631597894099</v>
      </c>
      <c r="Q1089" s="261">
        <v>1.8344809234496794E-2</v>
      </c>
      <c r="R1089" s="92"/>
    </row>
    <row r="1090" spans="1:18" x14ac:dyDescent="0.25">
      <c r="A1090" s="353">
        <v>41593</v>
      </c>
      <c r="B1090" s="353" t="s">
        <v>285</v>
      </c>
      <c r="C1090" s="263" t="s">
        <v>694</v>
      </c>
      <c r="D1090" s="157" t="s">
        <v>692</v>
      </c>
      <c r="E1090" s="44">
        <f t="shared" si="80"/>
        <v>41593</v>
      </c>
      <c r="F1090" s="146" t="str">
        <f t="shared" si="81"/>
        <v>2013-14</v>
      </c>
      <c r="G1090" s="1"/>
      <c r="H1090" s="161"/>
      <c r="I1090" s="37"/>
      <c r="J1090" s="135">
        <f t="shared" si="77"/>
        <v>0.76382508261777382</v>
      </c>
      <c r="K1090" s="112"/>
      <c r="L1090" s="37">
        <v>12.528792000799999</v>
      </c>
      <c r="M1090" s="37" t="s">
        <v>288</v>
      </c>
      <c r="N1090" s="37">
        <v>3336.4019512195118</v>
      </c>
      <c r="O1090" s="130">
        <f t="shared" si="78"/>
        <v>41801.086077892527</v>
      </c>
      <c r="P1090" s="132">
        <f t="shared" si="79"/>
        <v>585.72624130660051</v>
      </c>
      <c r="Q1090" s="261">
        <v>1.8344809234496794E-2</v>
      </c>
      <c r="R1090" s="92"/>
    </row>
    <row r="1091" spans="1:18" x14ac:dyDescent="0.25">
      <c r="A1091" s="353">
        <v>41593</v>
      </c>
      <c r="B1091" s="353" t="s">
        <v>285</v>
      </c>
      <c r="C1091" s="263" t="s">
        <v>694</v>
      </c>
      <c r="D1091" s="157" t="s">
        <v>692</v>
      </c>
      <c r="E1091" s="44">
        <f t="shared" si="80"/>
        <v>41593</v>
      </c>
      <c r="F1091" s="146" t="str">
        <f t="shared" si="81"/>
        <v>2013-14</v>
      </c>
      <c r="G1091" s="1"/>
      <c r="H1091" s="161"/>
      <c r="I1091" s="37"/>
      <c r="J1091" s="135">
        <f t="shared" si="77"/>
        <v>0.76382508261777382</v>
      </c>
      <c r="K1091" s="112"/>
      <c r="L1091" s="37">
        <v>2.23533465056</v>
      </c>
      <c r="M1091" s="37" t="s">
        <v>288</v>
      </c>
      <c r="N1091" s="37">
        <v>812.22926829268283</v>
      </c>
      <c r="O1091" s="130">
        <f t="shared" si="78"/>
        <v>1815.6042276136286</v>
      </c>
      <c r="P1091" s="132">
        <f t="shared" si="79"/>
        <v>25.440655727434148</v>
      </c>
      <c r="Q1091" s="261">
        <v>1.8344809234496794E-2</v>
      </c>
      <c r="R1091" s="92"/>
    </row>
    <row r="1092" spans="1:18" x14ac:dyDescent="0.25">
      <c r="A1092" s="353">
        <v>41593</v>
      </c>
      <c r="B1092" s="353" t="s">
        <v>285</v>
      </c>
      <c r="C1092" s="263" t="s">
        <v>694</v>
      </c>
      <c r="D1092" s="157" t="s">
        <v>692</v>
      </c>
      <c r="E1092" s="44">
        <f t="shared" si="80"/>
        <v>41593</v>
      </c>
      <c r="F1092" s="146" t="str">
        <f t="shared" si="81"/>
        <v>2013-14</v>
      </c>
      <c r="G1092" s="1"/>
      <c r="H1092" s="161"/>
      <c r="I1092" s="37"/>
      <c r="J1092" s="135">
        <f t="shared" si="77"/>
        <v>0.76382508261777382</v>
      </c>
      <c r="K1092" s="112"/>
      <c r="L1092" s="37">
        <v>62.783240050400003</v>
      </c>
      <c r="M1092" s="37" t="s">
        <v>288</v>
      </c>
      <c r="N1092" s="37">
        <v>3336.4019512195118</v>
      </c>
      <c r="O1092" s="130">
        <f t="shared" si="78"/>
        <v>209470.12460803759</v>
      </c>
      <c r="P1092" s="132">
        <f t="shared" si="79"/>
        <v>2935.142606679296</v>
      </c>
      <c r="Q1092" s="261">
        <v>1.8344809234496794E-2</v>
      </c>
      <c r="R1092" s="92"/>
    </row>
    <row r="1093" spans="1:18" x14ac:dyDescent="0.25">
      <c r="A1093" s="353">
        <v>41593</v>
      </c>
      <c r="B1093" s="353" t="s">
        <v>285</v>
      </c>
      <c r="C1093" s="263" t="s">
        <v>694</v>
      </c>
      <c r="D1093" s="157" t="s">
        <v>692</v>
      </c>
      <c r="E1093" s="44">
        <f t="shared" si="80"/>
        <v>41593</v>
      </c>
      <c r="F1093" s="146" t="str">
        <f t="shared" si="81"/>
        <v>2013-14</v>
      </c>
      <c r="G1093" s="1"/>
      <c r="H1093" s="161"/>
      <c r="I1093" s="37"/>
      <c r="J1093" s="135">
        <f t="shared" si="77"/>
        <v>0.76382508261777382</v>
      </c>
      <c r="K1093" s="112"/>
      <c r="L1093" s="37">
        <v>76.176616030700004</v>
      </c>
      <c r="M1093" s="37" t="s">
        <v>288</v>
      </c>
      <c r="N1093" s="37">
        <v>3336.4019512195118</v>
      </c>
      <c r="O1093" s="130">
        <f t="shared" si="78"/>
        <v>254155.81036212703</v>
      </c>
      <c r="P1093" s="132">
        <f t="shared" si="79"/>
        <v>3561.2885089216115</v>
      </c>
      <c r="Q1093" s="261">
        <v>1.8344809234496794E-2</v>
      </c>
      <c r="R1093" s="92"/>
    </row>
    <row r="1094" spans="1:18" x14ac:dyDescent="0.25">
      <c r="A1094" s="353">
        <v>41593</v>
      </c>
      <c r="B1094" s="353" t="s">
        <v>285</v>
      </c>
      <c r="C1094" s="263" t="s">
        <v>694</v>
      </c>
      <c r="D1094" s="157" t="s">
        <v>692</v>
      </c>
      <c r="E1094" s="44">
        <f t="shared" si="80"/>
        <v>41593</v>
      </c>
      <c r="F1094" s="146" t="str">
        <f t="shared" si="81"/>
        <v>2013-14</v>
      </c>
      <c r="G1094" s="1"/>
      <c r="H1094" s="161"/>
      <c r="I1094" s="37"/>
      <c r="J1094" s="135">
        <f t="shared" si="77"/>
        <v>0.76382508261777382</v>
      </c>
      <c r="K1094" s="112"/>
      <c r="L1094" s="37">
        <v>31.156949160700002</v>
      </c>
      <c r="M1094" s="37" t="s">
        <v>288</v>
      </c>
      <c r="N1094" s="37">
        <v>3336.4019512195118</v>
      </c>
      <c r="O1094" s="130">
        <f t="shared" si="78"/>
        <v>103952.10597380661</v>
      </c>
      <c r="P1094" s="132">
        <f t="shared" si="79"/>
        <v>1456.6003427395374</v>
      </c>
      <c r="Q1094" s="261">
        <v>1.8344809234496794E-2</v>
      </c>
      <c r="R1094" s="92"/>
    </row>
    <row r="1095" spans="1:18" x14ac:dyDescent="0.25">
      <c r="A1095" s="353">
        <v>41593</v>
      </c>
      <c r="B1095" s="353" t="s">
        <v>285</v>
      </c>
      <c r="C1095" s="263" t="s">
        <v>694</v>
      </c>
      <c r="D1095" s="157" t="s">
        <v>692</v>
      </c>
      <c r="E1095" s="44">
        <f t="shared" si="80"/>
        <v>41593</v>
      </c>
      <c r="F1095" s="146" t="str">
        <f t="shared" si="81"/>
        <v>2013-14</v>
      </c>
      <c r="G1095" s="1"/>
      <c r="H1095" s="161"/>
      <c r="I1095" s="37"/>
      <c r="J1095" s="135">
        <f t="shared" si="77"/>
        <v>0.76382508261777382</v>
      </c>
      <c r="K1095" s="112"/>
      <c r="L1095" s="37">
        <v>44.979612205499997</v>
      </c>
      <c r="M1095" s="37" t="s">
        <v>288</v>
      </c>
      <c r="N1095" s="37">
        <v>3336.4019512195118</v>
      </c>
      <c r="O1095" s="130">
        <f t="shared" si="78"/>
        <v>150070.06592752715</v>
      </c>
      <c r="P1095" s="132">
        <f t="shared" si="79"/>
        <v>2102.8155939434346</v>
      </c>
      <c r="Q1095" s="261">
        <v>1.8344809234496794E-2</v>
      </c>
      <c r="R1095" s="92"/>
    </row>
    <row r="1096" spans="1:18" x14ac:dyDescent="0.25">
      <c r="A1096" s="353">
        <v>41593</v>
      </c>
      <c r="B1096" s="353" t="s">
        <v>285</v>
      </c>
      <c r="C1096" s="263" t="s">
        <v>694</v>
      </c>
      <c r="D1096" s="157" t="s">
        <v>692</v>
      </c>
      <c r="E1096" s="44">
        <f t="shared" si="80"/>
        <v>41593</v>
      </c>
      <c r="F1096" s="146" t="str">
        <f t="shared" si="81"/>
        <v>2013-14</v>
      </c>
      <c r="G1096" s="1"/>
      <c r="H1096" s="161"/>
      <c r="I1096" s="37"/>
      <c r="J1096" s="135">
        <f t="shared" si="77"/>
        <v>0.76382508261777382</v>
      </c>
      <c r="K1096" s="112"/>
      <c r="L1096" s="37">
        <v>56.074390343300003</v>
      </c>
      <c r="M1096" s="37" t="s">
        <v>288</v>
      </c>
      <c r="N1096" s="37">
        <v>812.22926829268283</v>
      </c>
      <c r="O1096" s="130">
        <f t="shared" si="78"/>
        <v>45545.261038496843</v>
      </c>
      <c r="P1096" s="132">
        <f t="shared" si="79"/>
        <v>638.19046490075505</v>
      </c>
      <c r="Q1096" s="261">
        <v>1.8344809234496794E-2</v>
      </c>
      <c r="R1096" s="92"/>
    </row>
    <row r="1097" spans="1:18" x14ac:dyDescent="0.25">
      <c r="A1097" s="353">
        <v>41593</v>
      </c>
      <c r="B1097" s="353" t="s">
        <v>285</v>
      </c>
      <c r="C1097" s="263" t="s">
        <v>694</v>
      </c>
      <c r="D1097" s="157" t="s">
        <v>692</v>
      </c>
      <c r="E1097" s="44">
        <f t="shared" si="80"/>
        <v>41593</v>
      </c>
      <c r="F1097" s="146" t="str">
        <f t="shared" si="81"/>
        <v>2013-14</v>
      </c>
      <c r="G1097" s="1"/>
      <c r="H1097" s="161"/>
      <c r="I1097" s="37"/>
      <c r="J1097" s="135">
        <f t="shared" si="77"/>
        <v>0.76382508261777382</v>
      </c>
      <c r="K1097" s="112"/>
      <c r="L1097" s="37">
        <v>53.795880051899999</v>
      </c>
      <c r="M1097" s="37" t="s">
        <v>288</v>
      </c>
      <c r="N1097" s="37">
        <v>3336.4019512195118</v>
      </c>
      <c r="O1097" s="130">
        <f t="shared" si="78"/>
        <v>179484.67917272996</v>
      </c>
      <c r="P1097" s="132">
        <f t="shared" si="79"/>
        <v>2514.9797856463842</v>
      </c>
      <c r="Q1097" s="261">
        <v>1.8344809234496794E-2</v>
      </c>
      <c r="R1097" s="92"/>
    </row>
    <row r="1098" spans="1:18" x14ac:dyDescent="0.25">
      <c r="A1098" s="353">
        <v>41593</v>
      </c>
      <c r="B1098" s="353" t="s">
        <v>285</v>
      </c>
      <c r="C1098" s="263" t="s">
        <v>694</v>
      </c>
      <c r="D1098" s="157" t="s">
        <v>692</v>
      </c>
      <c r="E1098" s="44">
        <f t="shared" si="80"/>
        <v>41593</v>
      </c>
      <c r="F1098" s="146" t="str">
        <f t="shared" si="81"/>
        <v>2013-14</v>
      </c>
      <c r="G1098" s="1"/>
      <c r="H1098" s="161"/>
      <c r="I1098" s="37"/>
      <c r="J1098" s="135">
        <f t="shared" si="77"/>
        <v>0.76382508261777382</v>
      </c>
      <c r="K1098" s="112"/>
      <c r="L1098" s="37">
        <v>27.975656088200001</v>
      </c>
      <c r="M1098" s="37" t="s">
        <v>288</v>
      </c>
      <c r="N1098" s="37">
        <v>3336.4019512195118</v>
      </c>
      <c r="O1098" s="130">
        <f t="shared" si="78"/>
        <v>93338.033559316493</v>
      </c>
      <c r="P1098" s="132">
        <f t="shared" si="79"/>
        <v>1307.8735673464132</v>
      </c>
      <c r="Q1098" s="261">
        <v>1.8344809234496794E-2</v>
      </c>
      <c r="R1098" s="92"/>
    </row>
    <row r="1099" spans="1:18" x14ac:dyDescent="0.25">
      <c r="A1099" s="353">
        <v>41593</v>
      </c>
      <c r="B1099" s="353" t="s">
        <v>285</v>
      </c>
      <c r="C1099" s="263" t="s">
        <v>694</v>
      </c>
      <c r="D1099" s="157" t="s">
        <v>692</v>
      </c>
      <c r="E1099" s="44">
        <f t="shared" si="80"/>
        <v>41593</v>
      </c>
      <c r="F1099" s="146" t="str">
        <f t="shared" si="81"/>
        <v>2013-14</v>
      </c>
      <c r="G1099" s="1"/>
      <c r="H1099" s="161"/>
      <c r="I1099" s="37"/>
      <c r="J1099" s="135">
        <f t="shared" si="77"/>
        <v>0.76382508261777382</v>
      </c>
      <c r="K1099" s="112"/>
      <c r="L1099" s="37">
        <v>22.5970139629</v>
      </c>
      <c r="M1099" s="37" t="s">
        <v>288</v>
      </c>
      <c r="N1099" s="37">
        <v>3336.4019512195118</v>
      </c>
      <c r="O1099" s="130">
        <f t="shared" si="78"/>
        <v>75392.721477554107</v>
      </c>
      <c r="P1099" s="132">
        <f t="shared" si="79"/>
        <v>1056.4198090603668</v>
      </c>
      <c r="Q1099" s="261">
        <v>1.8344809234496794E-2</v>
      </c>
      <c r="R1099" s="92"/>
    </row>
    <row r="1100" spans="1:18" x14ac:dyDescent="0.25">
      <c r="A1100" s="353">
        <v>41593</v>
      </c>
      <c r="B1100" s="353" t="s">
        <v>285</v>
      </c>
      <c r="C1100" s="263" t="s">
        <v>694</v>
      </c>
      <c r="D1100" s="157" t="s">
        <v>692</v>
      </c>
      <c r="E1100" s="44">
        <f t="shared" si="80"/>
        <v>41593</v>
      </c>
      <c r="F1100" s="146" t="str">
        <f t="shared" si="81"/>
        <v>2013-14</v>
      </c>
      <c r="G1100" s="1"/>
      <c r="H1100" s="161"/>
      <c r="I1100" s="37"/>
      <c r="J1100" s="135">
        <f t="shared" si="77"/>
        <v>0.76382508261777382</v>
      </c>
      <c r="K1100" s="112"/>
      <c r="L1100" s="37">
        <v>38.342238130200002</v>
      </c>
      <c r="M1100" s="37" t="s">
        <v>288</v>
      </c>
      <c r="N1100" s="37">
        <v>3336.4019512195118</v>
      </c>
      <c r="O1100" s="130">
        <f t="shared" si="78"/>
        <v>127925.11811172245</v>
      </c>
      <c r="P1100" s="132">
        <f t="shared" si="79"/>
        <v>1792.5155930316869</v>
      </c>
      <c r="Q1100" s="261">
        <v>1.8344809234496794E-2</v>
      </c>
      <c r="R1100" s="92"/>
    </row>
    <row r="1101" spans="1:18" x14ac:dyDescent="0.25">
      <c r="A1101" s="353">
        <v>41593</v>
      </c>
      <c r="B1101" s="353" t="s">
        <v>285</v>
      </c>
      <c r="C1101" s="263" t="s">
        <v>694</v>
      </c>
      <c r="D1101" s="157" t="s">
        <v>692</v>
      </c>
      <c r="E1101" s="44">
        <f t="shared" si="80"/>
        <v>41593</v>
      </c>
      <c r="F1101" s="146" t="str">
        <f t="shared" si="81"/>
        <v>2013-14</v>
      </c>
      <c r="G1101" s="1"/>
      <c r="H1101" s="161"/>
      <c r="I1101" s="37"/>
      <c r="J1101" s="135">
        <f t="shared" si="77"/>
        <v>0.76382508261777382</v>
      </c>
      <c r="K1101" s="112"/>
      <c r="L1101" s="37">
        <v>47.183201302400001</v>
      </c>
      <c r="M1101" s="37" t="s">
        <v>288</v>
      </c>
      <c r="N1101" s="37">
        <v>3336.4019512195118</v>
      </c>
      <c r="O1101" s="130">
        <f t="shared" si="78"/>
        <v>157422.12489011037</v>
      </c>
      <c r="P1101" s="132">
        <f t="shared" si="79"/>
        <v>2205.8343014955299</v>
      </c>
      <c r="Q1101" s="261">
        <v>1.8344809234496794E-2</v>
      </c>
      <c r="R1101" s="92"/>
    </row>
    <row r="1102" spans="1:18" x14ac:dyDescent="0.25">
      <c r="A1102" s="353">
        <v>41593</v>
      </c>
      <c r="B1102" s="353" t="s">
        <v>285</v>
      </c>
      <c r="C1102" s="263" t="s">
        <v>694</v>
      </c>
      <c r="D1102" s="157" t="s">
        <v>692</v>
      </c>
      <c r="E1102" s="44">
        <f t="shared" si="80"/>
        <v>41593</v>
      </c>
      <c r="F1102" s="146" t="str">
        <f t="shared" si="81"/>
        <v>2013-14</v>
      </c>
      <c r="G1102" s="1"/>
      <c r="H1102" s="161"/>
      <c r="I1102" s="37"/>
      <c r="J1102" s="135">
        <f t="shared" si="77"/>
        <v>0.76382508261777382</v>
      </c>
      <c r="K1102" s="112"/>
      <c r="L1102" s="37">
        <v>28.986505785999999</v>
      </c>
      <c r="M1102" s="37" t="s">
        <v>288</v>
      </c>
      <c r="N1102" s="37">
        <v>3336.4019512195118</v>
      </c>
      <c r="O1102" s="130">
        <f t="shared" si="78"/>
        <v>96710.634463446069</v>
      </c>
      <c r="P1102" s="132">
        <f t="shared" si="79"/>
        <v>1355.1312114976213</v>
      </c>
      <c r="Q1102" s="261">
        <v>1.8344809234496794E-2</v>
      </c>
      <c r="R1102" s="92"/>
    </row>
    <row r="1103" spans="1:18" x14ac:dyDescent="0.25">
      <c r="A1103" s="353">
        <v>41593</v>
      </c>
      <c r="B1103" s="353" t="s">
        <v>285</v>
      </c>
      <c r="C1103" s="263" t="s">
        <v>694</v>
      </c>
      <c r="D1103" s="157" t="s">
        <v>692</v>
      </c>
      <c r="E1103" s="44">
        <f t="shared" si="80"/>
        <v>41593</v>
      </c>
      <c r="F1103" s="146" t="str">
        <f t="shared" si="81"/>
        <v>2013-14</v>
      </c>
      <c r="G1103" s="1"/>
      <c r="H1103" s="161"/>
      <c r="I1103" s="37"/>
      <c r="J1103" s="135">
        <f t="shared" si="77"/>
        <v>0.76382508261777382</v>
      </c>
      <c r="K1103" s="112"/>
      <c r="L1103" s="37">
        <v>37.741657259599997</v>
      </c>
      <c r="M1103" s="37" t="s">
        <v>288</v>
      </c>
      <c r="N1103" s="37">
        <v>3336.4019512195118</v>
      </c>
      <c r="O1103" s="130">
        <f t="shared" si="78"/>
        <v>125921.33892318748</v>
      </c>
      <c r="P1103" s="132">
        <f t="shared" si="79"/>
        <v>1764.438187331702</v>
      </c>
      <c r="Q1103" s="261">
        <v>1.8344809234496794E-2</v>
      </c>
      <c r="R1103" s="92"/>
    </row>
    <row r="1104" spans="1:18" x14ac:dyDescent="0.25">
      <c r="A1104" s="353">
        <v>41593</v>
      </c>
      <c r="B1104" s="353" t="s">
        <v>285</v>
      </c>
      <c r="C1104" s="263" t="s">
        <v>694</v>
      </c>
      <c r="D1104" s="157" t="s">
        <v>692</v>
      </c>
      <c r="E1104" s="44">
        <f t="shared" si="80"/>
        <v>41593</v>
      </c>
      <c r="F1104" s="146" t="str">
        <f t="shared" si="81"/>
        <v>2013-14</v>
      </c>
      <c r="G1104" s="1"/>
      <c r="H1104" s="161"/>
      <c r="I1104" s="37"/>
      <c r="J1104" s="135">
        <f t="shared" si="77"/>
        <v>0.76382508261777382</v>
      </c>
      <c r="K1104" s="112"/>
      <c r="L1104" s="37">
        <v>22.575843070299999</v>
      </c>
      <c r="M1104" s="37" t="s">
        <v>288</v>
      </c>
      <c r="N1104" s="37">
        <v>812.22926829268283</v>
      </c>
      <c r="O1104" s="130">
        <f t="shared" si="78"/>
        <v>18336.760498080203</v>
      </c>
      <c r="P1104" s="132">
        <f t="shared" si="79"/>
        <v>256.93882173937419</v>
      </c>
      <c r="Q1104" s="261">
        <v>1.8344809234496794E-2</v>
      </c>
      <c r="R1104" s="92"/>
    </row>
    <row r="1105" spans="1:18" x14ac:dyDescent="0.25">
      <c r="A1105" s="353">
        <v>41593</v>
      </c>
      <c r="B1105" s="353" t="s">
        <v>285</v>
      </c>
      <c r="C1105" s="263" t="s">
        <v>694</v>
      </c>
      <c r="D1105" s="157" t="s">
        <v>692</v>
      </c>
      <c r="E1105" s="44">
        <f t="shared" si="80"/>
        <v>41593</v>
      </c>
      <c r="F1105" s="146" t="str">
        <f t="shared" si="81"/>
        <v>2013-14</v>
      </c>
      <c r="G1105" s="1"/>
      <c r="H1105" s="161"/>
      <c r="I1105" s="37"/>
      <c r="J1105" s="135">
        <f t="shared" si="77"/>
        <v>0.76382508261777382</v>
      </c>
      <c r="K1105" s="112"/>
      <c r="L1105" s="37">
        <v>27.571542212899999</v>
      </c>
      <c r="M1105" s="37" t="s">
        <v>288</v>
      </c>
      <c r="N1105" s="37">
        <v>3336.4019512195118</v>
      </c>
      <c r="O1105" s="130">
        <f t="shared" si="78"/>
        <v>91989.747237250689</v>
      </c>
      <c r="P1105" s="132">
        <f t="shared" si="79"/>
        <v>1288.9810754585919</v>
      </c>
      <c r="Q1105" s="261">
        <v>1.8344809234496794E-2</v>
      </c>
      <c r="R1105" s="92"/>
    </row>
    <row r="1106" spans="1:18" x14ac:dyDescent="0.25">
      <c r="A1106" s="353">
        <v>41593</v>
      </c>
      <c r="B1106" s="353" t="s">
        <v>285</v>
      </c>
      <c r="C1106" s="263" t="s">
        <v>694</v>
      </c>
      <c r="D1106" s="157" t="s">
        <v>692</v>
      </c>
      <c r="E1106" s="44">
        <f t="shared" si="80"/>
        <v>41593</v>
      </c>
      <c r="F1106" s="146" t="str">
        <f t="shared" si="81"/>
        <v>2013-14</v>
      </c>
      <c r="G1106" s="1"/>
      <c r="H1106" s="161"/>
      <c r="I1106" s="37"/>
      <c r="J1106" s="135">
        <f t="shared" si="77"/>
        <v>0.76382508261777382</v>
      </c>
      <c r="K1106" s="112"/>
      <c r="L1106" s="37">
        <v>12.593896943300001</v>
      </c>
      <c r="M1106" s="37" t="s">
        <v>288</v>
      </c>
      <c r="N1106" s="37">
        <v>812.22926829268283</v>
      </c>
      <c r="O1106" s="130">
        <f t="shared" si="78"/>
        <v>10229.131699210015</v>
      </c>
      <c r="P1106" s="132">
        <f t="shared" si="79"/>
        <v>143.33289931376231</v>
      </c>
      <c r="Q1106" s="261">
        <v>1.8344809234496794E-2</v>
      </c>
      <c r="R1106" s="92"/>
    </row>
    <row r="1107" spans="1:18" x14ac:dyDescent="0.25">
      <c r="A1107" s="353">
        <v>41593</v>
      </c>
      <c r="B1107" s="353" t="s">
        <v>285</v>
      </c>
      <c r="C1107" s="263" t="s">
        <v>694</v>
      </c>
      <c r="D1107" s="157" t="s">
        <v>692</v>
      </c>
      <c r="E1107" s="44">
        <f t="shared" si="80"/>
        <v>41593</v>
      </c>
      <c r="F1107" s="146" t="str">
        <f t="shared" si="81"/>
        <v>2013-14</v>
      </c>
      <c r="G1107" s="1"/>
      <c r="H1107" s="161"/>
      <c r="I1107" s="37"/>
      <c r="J1107" s="135">
        <f t="shared" si="77"/>
        <v>0.76382508261777382</v>
      </c>
      <c r="K1107" s="112"/>
      <c r="L1107" s="37">
        <v>3.8736826147699999</v>
      </c>
      <c r="M1107" s="37" t="s">
        <v>288</v>
      </c>
      <c r="N1107" s="37">
        <v>3336.4019512195118</v>
      </c>
      <c r="O1107" s="130">
        <f t="shared" si="78"/>
        <v>12924.162234323729</v>
      </c>
      <c r="P1107" s="132">
        <f t="shared" si="79"/>
        <v>181.09627471020985</v>
      </c>
      <c r="Q1107" s="261">
        <v>1.8344809234496794E-2</v>
      </c>
      <c r="R1107" s="92"/>
    </row>
    <row r="1108" spans="1:18" x14ac:dyDescent="0.25">
      <c r="A1108" s="353">
        <v>41593</v>
      </c>
      <c r="B1108" s="353" t="s">
        <v>285</v>
      </c>
      <c r="C1108" s="263" t="s">
        <v>694</v>
      </c>
      <c r="D1108" s="157" t="s">
        <v>692</v>
      </c>
      <c r="E1108" s="44">
        <f t="shared" si="80"/>
        <v>41593</v>
      </c>
      <c r="F1108" s="146" t="str">
        <f t="shared" si="81"/>
        <v>2013-14</v>
      </c>
      <c r="G1108" s="1"/>
      <c r="H1108" s="161"/>
      <c r="I1108" s="37"/>
      <c r="J1108" s="135">
        <f t="shared" si="77"/>
        <v>0.76382508261777382</v>
      </c>
      <c r="K1108" s="112"/>
      <c r="L1108" s="37">
        <v>32.797535536399998</v>
      </c>
      <c r="M1108" s="37" t="s">
        <v>288</v>
      </c>
      <c r="N1108" s="37">
        <v>3336.4019512195118</v>
      </c>
      <c r="O1108" s="130">
        <f t="shared" si="78"/>
        <v>109425.76155883624</v>
      </c>
      <c r="P1108" s="132">
        <f t="shared" si="79"/>
        <v>1533.2984387184811</v>
      </c>
      <c r="Q1108" s="261">
        <v>1.8344809234496794E-2</v>
      </c>
      <c r="R1108" s="92"/>
    </row>
    <row r="1109" spans="1:18" x14ac:dyDescent="0.25">
      <c r="A1109" s="353">
        <v>41593</v>
      </c>
      <c r="B1109" s="353" t="s">
        <v>285</v>
      </c>
      <c r="C1109" s="263" t="s">
        <v>694</v>
      </c>
      <c r="D1109" s="157" t="s">
        <v>692</v>
      </c>
      <c r="E1109" s="44">
        <f t="shared" si="80"/>
        <v>41593</v>
      </c>
      <c r="F1109" s="146" t="str">
        <f t="shared" si="81"/>
        <v>2013-14</v>
      </c>
      <c r="G1109" s="1"/>
      <c r="H1109" s="161"/>
      <c r="I1109" s="37"/>
      <c r="J1109" s="135">
        <f t="shared" si="77"/>
        <v>0.76382508261777382</v>
      </c>
      <c r="K1109" s="112"/>
      <c r="L1109" s="37">
        <v>25.989032188500001</v>
      </c>
      <c r="M1109" s="37" t="s">
        <v>288</v>
      </c>
      <c r="N1109" s="37">
        <v>3336.4019512195118</v>
      </c>
      <c r="O1109" s="130">
        <f t="shared" si="78"/>
        <v>86709.857704018097</v>
      </c>
      <c r="P1109" s="132">
        <f t="shared" si="79"/>
        <v>1214.9980730779439</v>
      </c>
      <c r="Q1109" s="261">
        <v>1.8344809234496794E-2</v>
      </c>
      <c r="R1109" s="92"/>
    </row>
    <row r="1110" spans="1:18" x14ac:dyDescent="0.25">
      <c r="A1110" s="353">
        <v>41593</v>
      </c>
      <c r="B1110" s="353" t="s">
        <v>285</v>
      </c>
      <c r="C1110" s="263" t="s">
        <v>694</v>
      </c>
      <c r="D1110" s="157" t="s">
        <v>692</v>
      </c>
      <c r="E1110" s="44">
        <f t="shared" si="80"/>
        <v>41593</v>
      </c>
      <c r="F1110" s="146" t="str">
        <f t="shared" si="81"/>
        <v>2013-14</v>
      </c>
      <c r="G1110" s="1"/>
      <c r="H1110" s="161"/>
      <c r="I1110" s="37"/>
      <c r="J1110" s="135">
        <f t="shared" si="77"/>
        <v>0.76382508261777382</v>
      </c>
      <c r="K1110" s="112"/>
      <c r="L1110" s="37">
        <v>4.0558891750099999</v>
      </c>
      <c r="M1110" s="37" t="s">
        <v>288</v>
      </c>
      <c r="N1110" s="37">
        <v>3336.4019512195118</v>
      </c>
      <c r="O1110" s="130">
        <f t="shared" si="78"/>
        <v>13532.07655743346</v>
      </c>
      <c r="P1110" s="132">
        <f t="shared" si="79"/>
        <v>189.61450724723059</v>
      </c>
      <c r="Q1110" s="261">
        <v>1.8344809234496794E-2</v>
      </c>
      <c r="R1110" s="92"/>
    </row>
    <row r="1111" spans="1:18" x14ac:dyDescent="0.25">
      <c r="A1111" s="353">
        <v>41837</v>
      </c>
      <c r="B1111" s="353" t="s">
        <v>285</v>
      </c>
      <c r="C1111" s="263" t="s">
        <v>695</v>
      </c>
      <c r="D1111" s="157" t="s">
        <v>692</v>
      </c>
      <c r="E1111" s="44">
        <f t="shared" si="80"/>
        <v>41837</v>
      </c>
      <c r="F1111" s="146" t="str">
        <f t="shared" si="81"/>
        <v>2014-15</v>
      </c>
      <c r="G1111" s="1"/>
      <c r="H1111" s="161"/>
      <c r="I1111" s="37"/>
      <c r="J1111" s="135">
        <f t="shared" si="77"/>
        <v>0.76382508261777382</v>
      </c>
      <c r="K1111" s="112"/>
      <c r="L1111" s="37">
        <v>75.045395898600006</v>
      </c>
      <c r="M1111" s="37" t="s">
        <v>288</v>
      </c>
      <c r="N1111" s="37">
        <v>950.87219512195099</v>
      </c>
      <c r="O1111" s="130">
        <f t="shared" si="78"/>
        <v>71358.58033189764</v>
      </c>
      <c r="P1111" s="132">
        <f t="shared" si="79"/>
        <v>1077.436837836153</v>
      </c>
      <c r="Q1111" s="261">
        <v>1.9767497983303385E-2</v>
      </c>
      <c r="R1111" s="92"/>
    </row>
    <row r="1112" spans="1:18" x14ac:dyDescent="0.25">
      <c r="A1112" s="353">
        <v>41837</v>
      </c>
      <c r="B1112" s="353" t="s">
        <v>285</v>
      </c>
      <c r="C1112" s="263" t="s">
        <v>695</v>
      </c>
      <c r="D1112" s="157" t="s">
        <v>692</v>
      </c>
      <c r="E1112" s="44">
        <f t="shared" si="80"/>
        <v>41837</v>
      </c>
      <c r="F1112" s="146" t="str">
        <f t="shared" si="81"/>
        <v>2014-15</v>
      </c>
      <c r="G1112" s="1"/>
      <c r="H1112" s="161"/>
      <c r="I1112" s="37"/>
      <c r="J1112" s="135">
        <f t="shared" si="77"/>
        <v>0.76382508261777382</v>
      </c>
      <c r="K1112" s="112"/>
      <c r="L1112" s="37">
        <v>20.688611611100001</v>
      </c>
      <c r="M1112" s="37" t="s">
        <v>288</v>
      </c>
      <c r="N1112" s="37">
        <v>950.87219512195099</v>
      </c>
      <c r="O1112" s="130">
        <f t="shared" si="78"/>
        <v>19672.22553667214</v>
      </c>
      <c r="P1112" s="132">
        <f t="shared" si="79"/>
        <v>297.02917822703819</v>
      </c>
      <c r="Q1112" s="261">
        <v>1.9767497983303385E-2</v>
      </c>
      <c r="R1112" s="92"/>
    </row>
    <row r="1113" spans="1:18" x14ac:dyDescent="0.25">
      <c r="A1113" s="353">
        <v>41837</v>
      </c>
      <c r="B1113" s="353" t="s">
        <v>285</v>
      </c>
      <c r="C1113" s="263" t="s">
        <v>695</v>
      </c>
      <c r="D1113" s="157" t="s">
        <v>692</v>
      </c>
      <c r="E1113" s="44">
        <f t="shared" si="80"/>
        <v>41837</v>
      </c>
      <c r="F1113" s="146" t="str">
        <f t="shared" si="81"/>
        <v>2014-15</v>
      </c>
      <c r="G1113" s="1"/>
      <c r="H1113" s="161"/>
      <c r="I1113" s="37"/>
      <c r="J1113" s="135">
        <f t="shared" si="77"/>
        <v>0.76382508261777382</v>
      </c>
      <c r="K1113" s="112"/>
      <c r="L1113" s="37">
        <v>29.901530830399999</v>
      </c>
      <c r="M1113" s="37" t="s">
        <v>288</v>
      </c>
      <c r="N1113" s="37">
        <v>950.87219512195099</v>
      </c>
      <c r="O1113" s="130">
        <f t="shared" si="78"/>
        <v>28432.53425820914</v>
      </c>
      <c r="P1113" s="132">
        <f t="shared" si="79"/>
        <v>429.30029802091332</v>
      </c>
      <c r="Q1113" s="261">
        <v>1.9767497983303385E-2</v>
      </c>
      <c r="R1113" s="92"/>
    </row>
    <row r="1114" spans="1:18" x14ac:dyDescent="0.25">
      <c r="A1114" s="353">
        <v>41837</v>
      </c>
      <c r="B1114" s="353" t="s">
        <v>285</v>
      </c>
      <c r="C1114" s="263" t="s">
        <v>695</v>
      </c>
      <c r="D1114" s="157" t="s">
        <v>692</v>
      </c>
      <c r="E1114" s="44">
        <f t="shared" si="80"/>
        <v>41837</v>
      </c>
      <c r="F1114" s="146" t="str">
        <f t="shared" si="81"/>
        <v>2014-15</v>
      </c>
      <c r="G1114" s="1"/>
      <c r="H1114" s="161"/>
      <c r="I1114" s="37"/>
      <c r="J1114" s="135">
        <f t="shared" ref="J1114:J1177" si="82">J1113</f>
        <v>0.76382508261777382</v>
      </c>
      <c r="K1114" s="112"/>
      <c r="L1114" s="37">
        <v>33.474181364899998</v>
      </c>
      <c r="M1114" s="37" t="s">
        <v>288</v>
      </c>
      <c r="N1114" s="37">
        <v>950.87219512195099</v>
      </c>
      <c r="O1114" s="130">
        <f t="shared" ref="O1114:O1177" si="83">IF(N1114="","-",L1114*N1114)</f>
        <v>31829.668314352766</v>
      </c>
      <c r="P1114" s="132">
        <f t="shared" ref="P1114:P1177" si="84">IF(O1114="-","-",IF(OR(E1114&lt;$E$15,E1114&gt;$E$16),0,O1114*J1114))*Q1114</f>
        <v>480.59332204315234</v>
      </c>
      <c r="Q1114" s="261">
        <v>1.9767497983303385E-2</v>
      </c>
      <c r="R1114" s="92"/>
    </row>
    <row r="1115" spans="1:18" x14ac:dyDescent="0.25">
      <c r="A1115" s="353">
        <v>41837</v>
      </c>
      <c r="B1115" s="353" t="s">
        <v>285</v>
      </c>
      <c r="C1115" s="263" t="s">
        <v>695</v>
      </c>
      <c r="D1115" s="157" t="s">
        <v>692</v>
      </c>
      <c r="E1115" s="44">
        <f t="shared" ref="E1115:E1178" si="85">IF(VALUE(A1115)&lt;2022,DATEVALUE("30 Jun "&amp;A1115),A1115)</f>
        <v>41837</v>
      </c>
      <c r="F1115" s="146" t="str">
        <f t="shared" si="81"/>
        <v>2014-15</v>
      </c>
      <c r="G1115" s="1"/>
      <c r="H1115" s="161"/>
      <c r="I1115" s="37"/>
      <c r="J1115" s="135">
        <f t="shared" si="82"/>
        <v>0.76382508261777382</v>
      </c>
      <c r="K1115" s="112"/>
      <c r="L1115" s="37">
        <v>27.6772640989</v>
      </c>
      <c r="M1115" s="37" t="s">
        <v>288</v>
      </c>
      <c r="N1115" s="37">
        <v>950.87219512195099</v>
      </c>
      <c r="O1115" s="130">
        <f t="shared" si="83"/>
        <v>26317.540868691009</v>
      </c>
      <c r="P1115" s="132">
        <f t="shared" si="84"/>
        <v>397.36620153177449</v>
      </c>
      <c r="Q1115" s="261">
        <v>1.9767497983303385E-2</v>
      </c>
      <c r="R1115" s="92"/>
    </row>
    <row r="1116" spans="1:18" x14ac:dyDescent="0.25">
      <c r="A1116" s="353">
        <v>41837</v>
      </c>
      <c r="B1116" s="353" t="s">
        <v>285</v>
      </c>
      <c r="C1116" s="263" t="s">
        <v>695</v>
      </c>
      <c r="D1116" s="157" t="s">
        <v>692</v>
      </c>
      <c r="E1116" s="44">
        <f t="shared" si="85"/>
        <v>41837</v>
      </c>
      <c r="F1116" s="146" t="str">
        <f t="shared" si="81"/>
        <v>2014-15</v>
      </c>
      <c r="G1116" s="1"/>
      <c r="H1116" s="161"/>
      <c r="I1116" s="37"/>
      <c r="J1116" s="135">
        <f t="shared" si="82"/>
        <v>0.76382508261777382</v>
      </c>
      <c r="K1116" s="112"/>
      <c r="L1116" s="37">
        <v>13.089939446300001</v>
      </c>
      <c r="M1116" s="37" t="s">
        <v>288</v>
      </c>
      <c r="N1116" s="37">
        <v>950.87219512195099</v>
      </c>
      <c r="O1116" s="130">
        <f t="shared" si="83"/>
        <v>12446.859455316697</v>
      </c>
      <c r="P1116" s="132">
        <f t="shared" si="84"/>
        <v>187.93402041005561</v>
      </c>
      <c r="Q1116" s="261">
        <v>1.9767497983303385E-2</v>
      </c>
      <c r="R1116" s="92"/>
    </row>
    <row r="1117" spans="1:18" x14ac:dyDescent="0.25">
      <c r="A1117" s="353">
        <v>41837</v>
      </c>
      <c r="B1117" s="353" t="s">
        <v>285</v>
      </c>
      <c r="C1117" s="263" t="s">
        <v>695</v>
      </c>
      <c r="D1117" s="157" t="s">
        <v>692</v>
      </c>
      <c r="E1117" s="44">
        <f t="shared" si="85"/>
        <v>41837</v>
      </c>
      <c r="F1117" s="146" t="str">
        <f t="shared" si="81"/>
        <v>2014-15</v>
      </c>
      <c r="G1117" s="1"/>
      <c r="H1117" s="161"/>
      <c r="I1117" s="37"/>
      <c r="J1117" s="135">
        <f t="shared" si="82"/>
        <v>0.76382508261777382</v>
      </c>
      <c r="K1117" s="112"/>
      <c r="L1117" s="37">
        <v>27.769513459799999</v>
      </c>
      <c r="M1117" s="37" t="s">
        <v>288</v>
      </c>
      <c r="N1117" s="37">
        <v>950.87219512195099</v>
      </c>
      <c r="O1117" s="130">
        <f t="shared" si="83"/>
        <v>26405.258220988588</v>
      </c>
      <c r="P1117" s="132">
        <f t="shared" si="84"/>
        <v>398.69063800799489</v>
      </c>
      <c r="Q1117" s="261">
        <v>1.9767497983303385E-2</v>
      </c>
      <c r="R1117" s="92"/>
    </row>
    <row r="1118" spans="1:18" x14ac:dyDescent="0.25">
      <c r="A1118" s="353">
        <v>41837</v>
      </c>
      <c r="B1118" s="353" t="s">
        <v>285</v>
      </c>
      <c r="C1118" s="263" t="s">
        <v>695</v>
      </c>
      <c r="D1118" s="157" t="s">
        <v>692</v>
      </c>
      <c r="E1118" s="44">
        <f t="shared" si="85"/>
        <v>41837</v>
      </c>
      <c r="F1118" s="146" t="str">
        <f t="shared" si="81"/>
        <v>2014-15</v>
      </c>
      <c r="G1118" s="1"/>
      <c r="H1118" s="161"/>
      <c r="I1118" s="37"/>
      <c r="J1118" s="135">
        <f t="shared" si="82"/>
        <v>0.76382508261777382</v>
      </c>
      <c r="K1118" s="112"/>
      <c r="L1118" s="37">
        <v>61.527703592800002</v>
      </c>
      <c r="M1118" s="37" t="s">
        <v>288</v>
      </c>
      <c r="N1118" s="37">
        <v>812.22926829268283</v>
      </c>
      <c r="O1118" s="130">
        <f t="shared" si="83"/>
        <v>49974.601668909017</v>
      </c>
      <c r="P1118" s="132">
        <f t="shared" si="84"/>
        <v>754.5620518770595</v>
      </c>
      <c r="Q1118" s="261">
        <v>1.9767497983303385E-2</v>
      </c>
      <c r="R1118" s="92"/>
    </row>
    <row r="1119" spans="1:18" x14ac:dyDescent="0.25">
      <c r="A1119" s="353">
        <v>41837</v>
      </c>
      <c r="B1119" s="353" t="s">
        <v>285</v>
      </c>
      <c r="C1119" s="263" t="s">
        <v>695</v>
      </c>
      <c r="D1119" s="157" t="s">
        <v>692</v>
      </c>
      <c r="E1119" s="44">
        <f t="shared" si="85"/>
        <v>41837</v>
      </c>
      <c r="F1119" s="146" t="str">
        <f t="shared" si="81"/>
        <v>2014-15</v>
      </c>
      <c r="G1119" s="1"/>
      <c r="H1119" s="161"/>
      <c r="I1119" s="37"/>
      <c r="J1119" s="135">
        <f t="shared" si="82"/>
        <v>0.76382508261777382</v>
      </c>
      <c r="K1119" s="112"/>
      <c r="L1119" s="37">
        <v>42.195978808699998</v>
      </c>
      <c r="M1119" s="37" t="s">
        <v>288</v>
      </c>
      <c r="N1119" s="37">
        <v>3336.4019512195118</v>
      </c>
      <c r="O1119" s="130">
        <f t="shared" si="83"/>
        <v>140782.74603096384</v>
      </c>
      <c r="P1119" s="132">
        <f t="shared" si="84"/>
        <v>2125.6661217191863</v>
      </c>
      <c r="Q1119" s="261">
        <v>1.9767497983303385E-2</v>
      </c>
      <c r="R1119" s="92"/>
    </row>
    <row r="1120" spans="1:18" x14ac:dyDescent="0.25">
      <c r="A1120" s="353">
        <v>41837</v>
      </c>
      <c r="B1120" s="353" t="s">
        <v>285</v>
      </c>
      <c r="C1120" s="263" t="s">
        <v>695</v>
      </c>
      <c r="D1120" s="157" t="s">
        <v>692</v>
      </c>
      <c r="E1120" s="44">
        <f t="shared" si="85"/>
        <v>41837</v>
      </c>
      <c r="F1120" s="146" t="str">
        <f t="shared" si="81"/>
        <v>2014-15</v>
      </c>
      <c r="G1120" s="1"/>
      <c r="H1120" s="161"/>
      <c r="I1120" s="37"/>
      <c r="J1120" s="135">
        <f t="shared" si="82"/>
        <v>0.76382508261777382</v>
      </c>
      <c r="K1120" s="112"/>
      <c r="L1120" s="37">
        <v>31.019552432000001</v>
      </c>
      <c r="M1120" s="37" t="s">
        <v>288</v>
      </c>
      <c r="N1120" s="37">
        <v>3336.4019512195118</v>
      </c>
      <c r="O1120" s="130">
        <f t="shared" si="83"/>
        <v>103493.69526008076</v>
      </c>
      <c r="P1120" s="132">
        <f t="shared" si="84"/>
        <v>1562.642071049657</v>
      </c>
      <c r="Q1120" s="261">
        <v>1.9767497983303385E-2</v>
      </c>
      <c r="R1120" s="92"/>
    </row>
    <row r="1121" spans="1:18" x14ac:dyDescent="0.25">
      <c r="A1121" s="353">
        <v>41837</v>
      </c>
      <c r="B1121" s="353" t="s">
        <v>285</v>
      </c>
      <c r="C1121" s="263" t="s">
        <v>695</v>
      </c>
      <c r="D1121" s="157" t="s">
        <v>692</v>
      </c>
      <c r="E1121" s="44">
        <f t="shared" si="85"/>
        <v>41837</v>
      </c>
      <c r="F1121" s="146" t="str">
        <f t="shared" si="81"/>
        <v>2014-15</v>
      </c>
      <c r="G1121" s="1"/>
      <c r="H1121" s="161"/>
      <c r="I1121" s="37"/>
      <c r="J1121" s="135">
        <f t="shared" si="82"/>
        <v>0.76382508261777382</v>
      </c>
      <c r="K1121" s="112"/>
      <c r="L1121" s="37">
        <v>19.197275879300001</v>
      </c>
      <c r="M1121" s="37" t="s">
        <v>288</v>
      </c>
      <c r="N1121" s="37">
        <v>3336.4019512195118</v>
      </c>
      <c r="O1121" s="130">
        <f t="shared" si="83"/>
        <v>64049.828701795792</v>
      </c>
      <c r="P1121" s="132">
        <f t="shared" si="84"/>
        <v>967.08264905828673</v>
      </c>
      <c r="Q1121" s="261">
        <v>1.9767497983303385E-2</v>
      </c>
      <c r="R1121" s="92"/>
    </row>
    <row r="1122" spans="1:18" x14ac:dyDescent="0.25">
      <c r="A1122" s="353">
        <v>41837</v>
      </c>
      <c r="B1122" s="353" t="s">
        <v>285</v>
      </c>
      <c r="C1122" s="263" t="s">
        <v>695</v>
      </c>
      <c r="D1122" s="157" t="s">
        <v>692</v>
      </c>
      <c r="E1122" s="44">
        <f t="shared" si="85"/>
        <v>41837</v>
      </c>
      <c r="F1122" s="146" t="str">
        <f t="shared" si="81"/>
        <v>2014-15</v>
      </c>
      <c r="G1122" s="1"/>
      <c r="H1122" s="161"/>
      <c r="I1122" s="37"/>
      <c r="J1122" s="135">
        <f t="shared" si="82"/>
        <v>0.76382508261777382</v>
      </c>
      <c r="K1122" s="112"/>
      <c r="L1122" s="37">
        <v>30.817890373499999</v>
      </c>
      <c r="M1122" s="37" t="s">
        <v>288</v>
      </c>
      <c r="N1122" s="37">
        <v>3336.4019512195118</v>
      </c>
      <c r="O1122" s="130">
        <f t="shared" si="83"/>
        <v>102820.86957461441</v>
      </c>
      <c r="P1122" s="132">
        <f t="shared" si="84"/>
        <v>1552.4831360541446</v>
      </c>
      <c r="Q1122" s="261">
        <v>1.9767497983303385E-2</v>
      </c>
      <c r="R1122" s="92"/>
    </row>
    <row r="1123" spans="1:18" x14ac:dyDescent="0.25">
      <c r="A1123" s="353">
        <v>41837</v>
      </c>
      <c r="B1123" s="353" t="s">
        <v>285</v>
      </c>
      <c r="C1123" s="263" t="s">
        <v>695</v>
      </c>
      <c r="D1123" s="157" t="s">
        <v>692</v>
      </c>
      <c r="E1123" s="44">
        <f t="shared" si="85"/>
        <v>41837</v>
      </c>
      <c r="F1123" s="146" t="str">
        <f t="shared" si="81"/>
        <v>2014-15</v>
      </c>
      <c r="G1123" s="1"/>
      <c r="H1123" s="161"/>
      <c r="I1123" s="37"/>
      <c r="J1123" s="135">
        <f t="shared" si="82"/>
        <v>0.76382508261777382</v>
      </c>
      <c r="K1123" s="112"/>
      <c r="L1123" s="37">
        <v>47.030528397200001</v>
      </c>
      <c r="M1123" s="37" t="s">
        <v>288</v>
      </c>
      <c r="N1123" s="37">
        <v>3592.3639024390236</v>
      </c>
      <c r="O1123" s="130">
        <f t="shared" si="83"/>
        <v>168950.77252673471</v>
      </c>
      <c r="P1123" s="132">
        <f t="shared" si="84"/>
        <v>2550.9726406343625</v>
      </c>
      <c r="Q1123" s="261">
        <v>1.9767497983303385E-2</v>
      </c>
      <c r="R1123" s="92"/>
    </row>
    <row r="1124" spans="1:18" x14ac:dyDescent="0.25">
      <c r="A1124" s="353">
        <v>41837</v>
      </c>
      <c r="B1124" s="353" t="s">
        <v>285</v>
      </c>
      <c r="C1124" s="263" t="s">
        <v>695</v>
      </c>
      <c r="D1124" s="157" t="s">
        <v>692</v>
      </c>
      <c r="E1124" s="44">
        <f t="shared" si="85"/>
        <v>41837</v>
      </c>
      <c r="F1124" s="146" t="str">
        <f t="shared" si="81"/>
        <v>2014-15</v>
      </c>
      <c r="G1124" s="1"/>
      <c r="H1124" s="161"/>
      <c r="I1124" s="37"/>
      <c r="J1124" s="135">
        <f t="shared" si="82"/>
        <v>0.76382508261777382</v>
      </c>
      <c r="K1124" s="112"/>
      <c r="L1124" s="37">
        <v>13.5341365828</v>
      </c>
      <c r="M1124" s="37" t="s">
        <v>288</v>
      </c>
      <c r="N1124" s="37">
        <v>950.87219512195099</v>
      </c>
      <c r="O1124" s="130">
        <f t="shared" si="83"/>
        <v>12869.234161567338</v>
      </c>
      <c r="P1124" s="132">
        <f t="shared" si="84"/>
        <v>194.3114184155655</v>
      </c>
      <c r="Q1124" s="261">
        <v>1.9767497983303385E-2</v>
      </c>
      <c r="R1124" s="92"/>
    </row>
    <row r="1125" spans="1:18" x14ac:dyDescent="0.25">
      <c r="A1125" s="353">
        <v>41837</v>
      </c>
      <c r="B1125" s="353" t="s">
        <v>285</v>
      </c>
      <c r="C1125" s="263" t="s">
        <v>695</v>
      </c>
      <c r="D1125" s="157" t="s">
        <v>692</v>
      </c>
      <c r="E1125" s="44">
        <f t="shared" si="85"/>
        <v>41837</v>
      </c>
      <c r="F1125" s="146" t="str">
        <f t="shared" si="81"/>
        <v>2014-15</v>
      </c>
      <c r="G1125" s="1"/>
      <c r="H1125" s="161"/>
      <c r="I1125" s="37"/>
      <c r="J1125" s="135">
        <f t="shared" si="82"/>
        <v>0.76382508261777382</v>
      </c>
      <c r="K1125" s="112"/>
      <c r="L1125" s="37">
        <v>41.258763068500002</v>
      </c>
      <c r="M1125" s="37" t="s">
        <v>288</v>
      </c>
      <c r="N1125" s="37">
        <v>812.22926829268283</v>
      </c>
      <c r="O1125" s="130">
        <f t="shared" si="83"/>
        <v>33511.574937788922</v>
      </c>
      <c r="P1125" s="132">
        <f t="shared" si="84"/>
        <v>505.9882800911152</v>
      </c>
      <c r="Q1125" s="261">
        <v>1.9767497983303385E-2</v>
      </c>
      <c r="R1125" s="92"/>
    </row>
    <row r="1126" spans="1:18" x14ac:dyDescent="0.25">
      <c r="A1126" s="353">
        <v>41837</v>
      </c>
      <c r="B1126" s="353" t="s">
        <v>285</v>
      </c>
      <c r="C1126" s="263" t="s">
        <v>695</v>
      </c>
      <c r="D1126" s="157" t="s">
        <v>692</v>
      </c>
      <c r="E1126" s="44">
        <f t="shared" si="85"/>
        <v>41837</v>
      </c>
      <c r="F1126" s="146" t="str">
        <f t="shared" si="81"/>
        <v>2014-15</v>
      </c>
      <c r="G1126" s="1"/>
      <c r="H1126" s="161"/>
      <c r="I1126" s="37"/>
      <c r="J1126" s="135">
        <f t="shared" si="82"/>
        <v>0.76382508261777382</v>
      </c>
      <c r="K1126" s="112"/>
      <c r="L1126" s="37">
        <v>29.586692085399999</v>
      </c>
      <c r="M1126" s="37" t="s">
        <v>288</v>
      </c>
      <c r="N1126" s="37">
        <v>3336.4019512195118</v>
      </c>
      <c r="O1126" s="130">
        <f t="shared" si="83"/>
        <v>98713.097203859448</v>
      </c>
      <c r="P1126" s="132">
        <f t="shared" si="84"/>
        <v>1490.4602475225668</v>
      </c>
      <c r="Q1126" s="261">
        <v>1.9767497983303385E-2</v>
      </c>
      <c r="R1126" s="92"/>
    </row>
    <row r="1127" spans="1:18" x14ac:dyDescent="0.25">
      <c r="A1127" s="353">
        <v>41837</v>
      </c>
      <c r="B1127" s="353" t="s">
        <v>285</v>
      </c>
      <c r="C1127" s="263" t="s">
        <v>695</v>
      </c>
      <c r="D1127" s="157" t="s">
        <v>692</v>
      </c>
      <c r="E1127" s="44">
        <f t="shared" si="85"/>
        <v>41837</v>
      </c>
      <c r="F1127" s="146" t="str">
        <f t="shared" si="81"/>
        <v>2014-15</v>
      </c>
      <c r="G1127" s="1"/>
      <c r="H1127" s="161"/>
      <c r="I1127" s="37"/>
      <c r="J1127" s="135">
        <f t="shared" si="82"/>
        <v>0.76382508261777382</v>
      </c>
      <c r="K1127" s="112"/>
      <c r="L1127" s="37">
        <v>25.1768995125</v>
      </c>
      <c r="M1127" s="37" t="s">
        <v>288</v>
      </c>
      <c r="N1127" s="37">
        <v>3336.4019512195118</v>
      </c>
      <c r="O1127" s="130">
        <f t="shared" si="83"/>
        <v>84000.25665916258</v>
      </c>
      <c r="P1127" s="132">
        <f t="shared" si="84"/>
        <v>1268.3123808142411</v>
      </c>
      <c r="Q1127" s="261">
        <v>1.9767497983303385E-2</v>
      </c>
      <c r="R1127" s="92"/>
    </row>
    <row r="1128" spans="1:18" x14ac:dyDescent="0.25">
      <c r="A1128" s="353">
        <v>41837</v>
      </c>
      <c r="B1128" s="353" t="s">
        <v>285</v>
      </c>
      <c r="C1128" s="263" t="s">
        <v>695</v>
      </c>
      <c r="D1128" s="157" t="s">
        <v>692</v>
      </c>
      <c r="E1128" s="44">
        <f t="shared" si="85"/>
        <v>41837</v>
      </c>
      <c r="F1128" s="146" t="str">
        <f t="shared" si="81"/>
        <v>2014-15</v>
      </c>
      <c r="G1128" s="1"/>
      <c r="H1128" s="161"/>
      <c r="I1128" s="37"/>
      <c r="J1128" s="135">
        <f t="shared" si="82"/>
        <v>0.76382508261777382</v>
      </c>
      <c r="K1128" s="112"/>
      <c r="L1128" s="37">
        <v>26.5413195239</v>
      </c>
      <c r="M1128" s="37" t="s">
        <v>288</v>
      </c>
      <c r="N1128" s="37">
        <v>3336.4019512195118</v>
      </c>
      <c r="O1128" s="130">
        <f t="shared" si="83"/>
        <v>88552.510247480488</v>
      </c>
      <c r="P1128" s="132">
        <f t="shared" si="84"/>
        <v>1337.0464515932961</v>
      </c>
      <c r="Q1128" s="261">
        <v>1.9767497983303385E-2</v>
      </c>
      <c r="R1128" s="92"/>
    </row>
    <row r="1129" spans="1:18" x14ac:dyDescent="0.25">
      <c r="A1129" s="353">
        <v>41837</v>
      </c>
      <c r="B1129" s="353" t="s">
        <v>285</v>
      </c>
      <c r="C1129" s="263" t="s">
        <v>695</v>
      </c>
      <c r="D1129" s="157" t="s">
        <v>692</v>
      </c>
      <c r="E1129" s="44">
        <f t="shared" si="85"/>
        <v>41837</v>
      </c>
      <c r="F1129" s="146" t="str">
        <f t="shared" si="81"/>
        <v>2014-15</v>
      </c>
      <c r="G1129" s="1"/>
      <c r="H1129" s="161"/>
      <c r="I1129" s="37"/>
      <c r="J1129" s="135">
        <f t="shared" si="82"/>
        <v>0.76382508261777382</v>
      </c>
      <c r="K1129" s="112"/>
      <c r="L1129" s="37">
        <v>43.939398584199999</v>
      </c>
      <c r="M1129" s="37" t="s">
        <v>288</v>
      </c>
      <c r="N1129" s="37">
        <v>3336.4019512195118</v>
      </c>
      <c r="O1129" s="130">
        <f t="shared" si="83"/>
        <v>146599.49517173672</v>
      </c>
      <c r="P1129" s="132">
        <f t="shared" si="84"/>
        <v>2213.4926980267737</v>
      </c>
      <c r="Q1129" s="261">
        <v>1.9767497983303385E-2</v>
      </c>
      <c r="R1129" s="92"/>
    </row>
    <row r="1130" spans="1:18" x14ac:dyDescent="0.25">
      <c r="A1130" s="353">
        <v>41837</v>
      </c>
      <c r="B1130" s="353" t="s">
        <v>285</v>
      </c>
      <c r="C1130" s="263" t="s">
        <v>695</v>
      </c>
      <c r="D1130" s="157" t="s">
        <v>692</v>
      </c>
      <c r="E1130" s="44">
        <f t="shared" si="85"/>
        <v>41837</v>
      </c>
      <c r="F1130" s="146" t="str">
        <f t="shared" si="81"/>
        <v>2014-15</v>
      </c>
      <c r="G1130" s="1"/>
      <c r="H1130" s="161"/>
      <c r="I1130" s="37"/>
      <c r="J1130" s="135">
        <f t="shared" si="82"/>
        <v>0.76382508261777382</v>
      </c>
      <c r="K1130" s="112"/>
      <c r="L1130" s="37">
        <v>22.198865286299998</v>
      </c>
      <c r="M1130" s="37" t="s">
        <v>288</v>
      </c>
      <c r="N1130" s="37">
        <v>3336.4019512195118</v>
      </c>
      <c r="O1130" s="130">
        <f t="shared" si="83"/>
        <v>74064.337456070396</v>
      </c>
      <c r="P1130" s="132">
        <f t="shared" si="84"/>
        <v>1118.2908232470454</v>
      </c>
      <c r="Q1130" s="261">
        <v>1.9767497983303385E-2</v>
      </c>
      <c r="R1130" s="92"/>
    </row>
    <row r="1131" spans="1:18" x14ac:dyDescent="0.25">
      <c r="A1131" s="353">
        <v>41837</v>
      </c>
      <c r="B1131" s="353" t="s">
        <v>285</v>
      </c>
      <c r="C1131" s="263" t="s">
        <v>695</v>
      </c>
      <c r="D1131" s="157" t="s">
        <v>692</v>
      </c>
      <c r="E1131" s="44">
        <f t="shared" si="85"/>
        <v>41837</v>
      </c>
      <c r="F1131" s="146" t="str">
        <f t="shared" si="81"/>
        <v>2014-15</v>
      </c>
      <c r="G1131" s="1"/>
      <c r="H1131" s="161"/>
      <c r="I1131" s="37"/>
      <c r="J1131" s="135">
        <f t="shared" si="82"/>
        <v>0.76382508261777382</v>
      </c>
      <c r="K1131" s="112"/>
      <c r="L1131" s="37">
        <v>22.845616494200002</v>
      </c>
      <c r="M1131" s="37" t="s">
        <v>288</v>
      </c>
      <c r="N1131" s="37">
        <v>3336.4019512195118</v>
      </c>
      <c r="O1131" s="130">
        <f t="shared" si="83"/>
        <v>76222.159448061546</v>
      </c>
      <c r="P1131" s="132">
        <f t="shared" si="84"/>
        <v>1150.8715849837668</v>
      </c>
      <c r="Q1131" s="261">
        <v>1.9767497983303385E-2</v>
      </c>
      <c r="R1131" s="92"/>
    </row>
    <row r="1132" spans="1:18" x14ac:dyDescent="0.25">
      <c r="A1132" s="353">
        <v>41837</v>
      </c>
      <c r="B1132" s="353" t="s">
        <v>285</v>
      </c>
      <c r="C1132" s="263" t="s">
        <v>695</v>
      </c>
      <c r="D1132" s="157" t="s">
        <v>692</v>
      </c>
      <c r="E1132" s="44">
        <f t="shared" si="85"/>
        <v>41837</v>
      </c>
      <c r="F1132" s="146" t="str">
        <f t="shared" si="81"/>
        <v>2014-15</v>
      </c>
      <c r="G1132" s="1"/>
      <c r="H1132" s="161"/>
      <c r="I1132" s="37"/>
      <c r="J1132" s="135">
        <f t="shared" si="82"/>
        <v>0.76382508261777382</v>
      </c>
      <c r="K1132" s="112"/>
      <c r="L1132" s="37">
        <v>55.484528482800002</v>
      </c>
      <c r="M1132" s="37" t="s">
        <v>288</v>
      </c>
      <c r="N1132" s="37">
        <v>3336.4019512195118</v>
      </c>
      <c r="O1132" s="130">
        <f t="shared" si="83"/>
        <v>185118.68909250852</v>
      </c>
      <c r="P1132" s="132">
        <f t="shared" si="84"/>
        <v>2795.0905703634003</v>
      </c>
      <c r="Q1132" s="261">
        <v>1.9767497983303385E-2</v>
      </c>
      <c r="R1132" s="92"/>
    </row>
    <row r="1133" spans="1:18" x14ac:dyDescent="0.25">
      <c r="A1133" s="353">
        <v>41837</v>
      </c>
      <c r="B1133" s="353" t="s">
        <v>285</v>
      </c>
      <c r="C1133" s="263" t="s">
        <v>695</v>
      </c>
      <c r="D1133" s="157" t="s">
        <v>692</v>
      </c>
      <c r="E1133" s="44">
        <f t="shared" si="85"/>
        <v>41837</v>
      </c>
      <c r="F1133" s="146" t="str">
        <f t="shared" si="81"/>
        <v>2014-15</v>
      </c>
      <c r="G1133" s="1"/>
      <c r="H1133" s="161"/>
      <c r="I1133" s="37"/>
      <c r="J1133" s="135">
        <f t="shared" si="82"/>
        <v>0.76382508261777382</v>
      </c>
      <c r="K1133" s="112"/>
      <c r="L1133" s="37">
        <v>47.439436544700001</v>
      </c>
      <c r="M1133" s="37" t="s">
        <v>288</v>
      </c>
      <c r="N1133" s="37">
        <v>812.22926829268283</v>
      </c>
      <c r="O1133" s="130">
        <f t="shared" si="83"/>
        <v>38531.698832918839</v>
      </c>
      <c r="P1133" s="132">
        <f t="shared" si="84"/>
        <v>581.78668288944971</v>
      </c>
      <c r="Q1133" s="261">
        <v>1.9767497983303385E-2</v>
      </c>
      <c r="R1133" s="92"/>
    </row>
    <row r="1134" spans="1:18" x14ac:dyDescent="0.25">
      <c r="A1134" s="353">
        <v>41837</v>
      </c>
      <c r="B1134" s="353" t="s">
        <v>285</v>
      </c>
      <c r="C1134" s="263" t="s">
        <v>695</v>
      </c>
      <c r="D1134" s="157" t="s">
        <v>692</v>
      </c>
      <c r="E1134" s="44">
        <f t="shared" si="85"/>
        <v>41837</v>
      </c>
      <c r="F1134" s="146" t="str">
        <f t="shared" si="81"/>
        <v>2014-15</v>
      </c>
      <c r="G1134" s="1"/>
      <c r="H1134" s="161"/>
      <c r="I1134" s="37"/>
      <c r="J1134" s="135">
        <f t="shared" si="82"/>
        <v>0.76382508261777382</v>
      </c>
      <c r="K1134" s="112"/>
      <c r="L1134" s="37">
        <v>27.756719717700001</v>
      </c>
      <c r="M1134" s="37" t="s">
        <v>288</v>
      </c>
      <c r="N1134" s="37">
        <v>3336.4019512195118</v>
      </c>
      <c r="O1134" s="130">
        <f t="shared" si="83"/>
        <v>92607.573825587388</v>
      </c>
      <c r="P1134" s="132">
        <f t="shared" si="84"/>
        <v>1398.2734947673466</v>
      </c>
      <c r="Q1134" s="261">
        <v>1.9767497983303385E-2</v>
      </c>
      <c r="R1134" s="92"/>
    </row>
    <row r="1135" spans="1:18" x14ac:dyDescent="0.25">
      <c r="A1135" s="353">
        <v>41837</v>
      </c>
      <c r="B1135" s="353" t="s">
        <v>285</v>
      </c>
      <c r="C1135" s="263" t="s">
        <v>695</v>
      </c>
      <c r="D1135" s="157" t="s">
        <v>692</v>
      </c>
      <c r="E1135" s="44">
        <f t="shared" si="85"/>
        <v>41837</v>
      </c>
      <c r="F1135" s="146" t="str">
        <f t="shared" si="81"/>
        <v>2014-15</v>
      </c>
      <c r="G1135" s="1"/>
      <c r="H1135" s="161"/>
      <c r="I1135" s="37"/>
      <c r="J1135" s="135">
        <f t="shared" si="82"/>
        <v>0.76382508261777382</v>
      </c>
      <c r="K1135" s="112"/>
      <c r="L1135" s="37">
        <v>37.284414569699997</v>
      </c>
      <c r="M1135" s="37" t="s">
        <v>288</v>
      </c>
      <c r="N1135" s="37">
        <v>812.22926829268283</v>
      </c>
      <c r="O1135" s="130">
        <f t="shared" si="83"/>
        <v>30283.492764668474</v>
      </c>
      <c r="P1135" s="132">
        <f t="shared" si="84"/>
        <v>457.24775536787536</v>
      </c>
      <c r="Q1135" s="261">
        <v>1.9767497983303385E-2</v>
      </c>
      <c r="R1135" s="92"/>
    </row>
    <row r="1136" spans="1:18" x14ac:dyDescent="0.25">
      <c r="A1136" s="353">
        <v>41837</v>
      </c>
      <c r="B1136" s="353" t="s">
        <v>285</v>
      </c>
      <c r="C1136" s="263" t="s">
        <v>695</v>
      </c>
      <c r="D1136" s="157" t="s">
        <v>692</v>
      </c>
      <c r="E1136" s="44">
        <f t="shared" si="85"/>
        <v>41837</v>
      </c>
      <c r="F1136" s="146" t="str">
        <f t="shared" si="81"/>
        <v>2014-15</v>
      </c>
      <c r="G1136" s="1"/>
      <c r="H1136" s="161"/>
      <c r="I1136" s="37"/>
      <c r="J1136" s="135">
        <f t="shared" si="82"/>
        <v>0.76382508261777382</v>
      </c>
      <c r="K1136" s="112"/>
      <c r="L1136" s="37">
        <v>42.196881427999998</v>
      </c>
      <c r="M1136" s="37" t="s">
        <v>288</v>
      </c>
      <c r="N1136" s="37">
        <v>812.22926829268283</v>
      </c>
      <c r="O1136" s="130">
        <f t="shared" si="83"/>
        <v>34273.542126497538</v>
      </c>
      <c r="P1136" s="132">
        <f t="shared" si="84"/>
        <v>517.49315469089947</v>
      </c>
      <c r="Q1136" s="261">
        <v>1.9767497983303385E-2</v>
      </c>
      <c r="R1136" s="92"/>
    </row>
    <row r="1137" spans="1:18" x14ac:dyDescent="0.25">
      <c r="A1137" s="353">
        <v>41837</v>
      </c>
      <c r="B1137" s="353" t="s">
        <v>285</v>
      </c>
      <c r="C1137" s="263" t="s">
        <v>695</v>
      </c>
      <c r="D1137" s="157" t="s">
        <v>692</v>
      </c>
      <c r="E1137" s="44">
        <f t="shared" si="85"/>
        <v>41837</v>
      </c>
      <c r="F1137" s="146" t="str">
        <f t="shared" si="81"/>
        <v>2014-15</v>
      </c>
      <c r="G1137" s="1"/>
      <c r="H1137" s="161"/>
      <c r="I1137" s="37"/>
      <c r="J1137" s="135">
        <f t="shared" si="82"/>
        <v>0.76382508261777382</v>
      </c>
      <c r="K1137" s="112"/>
      <c r="L1137" s="37">
        <v>31.413895177299999</v>
      </c>
      <c r="M1137" s="37" t="s">
        <v>288</v>
      </c>
      <c r="N1137" s="37">
        <v>3336.4019512195118</v>
      </c>
      <c r="O1137" s="130">
        <f t="shared" si="83"/>
        <v>104809.38116494892</v>
      </c>
      <c r="P1137" s="132">
        <f t="shared" si="84"/>
        <v>1582.5074951420852</v>
      </c>
      <c r="Q1137" s="261">
        <v>1.9767497983303385E-2</v>
      </c>
      <c r="R1137" s="92"/>
    </row>
    <row r="1138" spans="1:18" x14ac:dyDescent="0.25">
      <c r="A1138" s="353">
        <v>41837</v>
      </c>
      <c r="B1138" s="353" t="s">
        <v>285</v>
      </c>
      <c r="C1138" s="263" t="s">
        <v>695</v>
      </c>
      <c r="D1138" s="157" t="s">
        <v>692</v>
      </c>
      <c r="E1138" s="44">
        <f t="shared" si="85"/>
        <v>41837</v>
      </c>
      <c r="F1138" s="146" t="str">
        <f t="shared" si="81"/>
        <v>2014-15</v>
      </c>
      <c r="G1138" s="1"/>
      <c r="H1138" s="161"/>
      <c r="I1138" s="37"/>
      <c r="J1138" s="135">
        <f t="shared" si="82"/>
        <v>0.76382508261777382</v>
      </c>
      <c r="K1138" s="112"/>
      <c r="L1138" s="37">
        <v>42.681484674099998</v>
      </c>
      <c r="M1138" s="37" t="s">
        <v>288</v>
      </c>
      <c r="N1138" s="37">
        <v>3336.4019512195118</v>
      </c>
      <c r="O1138" s="130">
        <f t="shared" si="83"/>
        <v>142402.58874761293</v>
      </c>
      <c r="P1138" s="132">
        <f t="shared" si="84"/>
        <v>2150.1239823758983</v>
      </c>
      <c r="Q1138" s="261">
        <v>1.9767497983303385E-2</v>
      </c>
      <c r="R1138" s="92"/>
    </row>
    <row r="1139" spans="1:18" x14ac:dyDescent="0.25">
      <c r="A1139" s="353">
        <v>41837</v>
      </c>
      <c r="B1139" s="353" t="s">
        <v>285</v>
      </c>
      <c r="C1139" s="263" t="s">
        <v>695</v>
      </c>
      <c r="D1139" s="157" t="s">
        <v>692</v>
      </c>
      <c r="E1139" s="44">
        <f t="shared" si="85"/>
        <v>41837</v>
      </c>
      <c r="F1139" s="146" t="str">
        <f t="shared" si="81"/>
        <v>2014-15</v>
      </c>
      <c r="G1139" s="1"/>
      <c r="H1139" s="161"/>
      <c r="I1139" s="37"/>
      <c r="J1139" s="135">
        <f t="shared" si="82"/>
        <v>0.76382508261777382</v>
      </c>
      <c r="K1139" s="112"/>
      <c r="L1139" s="37">
        <v>2.2246224398800001</v>
      </c>
      <c r="M1139" s="37" t="s">
        <v>288</v>
      </c>
      <c r="N1139" s="37">
        <v>812.22926829268283</v>
      </c>
      <c r="O1139" s="130">
        <f t="shared" si="83"/>
        <v>1806.9034565712152</v>
      </c>
      <c r="P1139" s="132">
        <f t="shared" si="84"/>
        <v>27.282274079282161</v>
      </c>
      <c r="Q1139" s="261">
        <v>1.9767497983303385E-2</v>
      </c>
      <c r="R1139" s="92"/>
    </row>
    <row r="1140" spans="1:18" x14ac:dyDescent="0.25">
      <c r="A1140" s="353">
        <v>41837</v>
      </c>
      <c r="B1140" s="353" t="s">
        <v>285</v>
      </c>
      <c r="C1140" s="263" t="s">
        <v>695</v>
      </c>
      <c r="D1140" s="157" t="s">
        <v>692</v>
      </c>
      <c r="E1140" s="44">
        <f t="shared" si="85"/>
        <v>41837</v>
      </c>
      <c r="F1140" s="146" t="str">
        <f t="shared" si="81"/>
        <v>2014-15</v>
      </c>
      <c r="G1140" s="1"/>
      <c r="H1140" s="161"/>
      <c r="I1140" s="37"/>
      <c r="J1140" s="135">
        <f t="shared" si="82"/>
        <v>0.76382508261777382</v>
      </c>
      <c r="K1140" s="112"/>
      <c r="L1140" s="37">
        <v>13.323674802999999</v>
      </c>
      <c r="M1140" s="37" t="s">
        <v>288</v>
      </c>
      <c r="N1140" s="37">
        <v>3336.4019512195118</v>
      </c>
      <c r="O1140" s="130">
        <f t="shared" si="83"/>
        <v>44453.134610143446</v>
      </c>
      <c r="P1140" s="132">
        <f t="shared" si="84"/>
        <v>671.19391338070534</v>
      </c>
      <c r="Q1140" s="261">
        <v>1.9767497983303385E-2</v>
      </c>
      <c r="R1140" s="92"/>
    </row>
    <row r="1141" spans="1:18" x14ac:dyDescent="0.25">
      <c r="A1141" s="353">
        <v>41837</v>
      </c>
      <c r="B1141" s="353" t="s">
        <v>285</v>
      </c>
      <c r="C1141" s="263" t="s">
        <v>695</v>
      </c>
      <c r="D1141" s="157" t="s">
        <v>692</v>
      </c>
      <c r="E1141" s="44">
        <f t="shared" si="85"/>
        <v>41837</v>
      </c>
      <c r="F1141" s="146" t="str">
        <f t="shared" si="81"/>
        <v>2014-15</v>
      </c>
      <c r="G1141" s="1"/>
      <c r="H1141" s="161"/>
      <c r="I1141" s="37"/>
      <c r="J1141" s="135">
        <f t="shared" si="82"/>
        <v>0.76382508261777382</v>
      </c>
      <c r="K1141" s="112"/>
      <c r="L1141" s="37">
        <v>2.2373287643999999</v>
      </c>
      <c r="M1141" s="37" t="s">
        <v>288</v>
      </c>
      <c r="N1141" s="37">
        <v>812.22926829268283</v>
      </c>
      <c r="O1141" s="130">
        <f t="shared" si="83"/>
        <v>1817.223905238784</v>
      </c>
      <c r="P1141" s="132">
        <f t="shared" si="84"/>
        <v>27.438101612925859</v>
      </c>
      <c r="Q1141" s="261">
        <v>1.9767497983303385E-2</v>
      </c>
      <c r="R1141" s="92"/>
    </row>
    <row r="1142" spans="1:18" x14ac:dyDescent="0.25">
      <c r="A1142" s="353">
        <v>41837</v>
      </c>
      <c r="B1142" s="353" t="s">
        <v>285</v>
      </c>
      <c r="C1142" s="263" t="s">
        <v>695</v>
      </c>
      <c r="D1142" s="157" t="s">
        <v>692</v>
      </c>
      <c r="E1142" s="44">
        <f t="shared" si="85"/>
        <v>41837</v>
      </c>
      <c r="F1142" s="146" t="str">
        <f t="shared" si="81"/>
        <v>2014-15</v>
      </c>
      <c r="G1142" s="1"/>
      <c r="H1142" s="161"/>
      <c r="I1142" s="37"/>
      <c r="J1142" s="135">
        <f t="shared" si="82"/>
        <v>0.76382508261777382</v>
      </c>
      <c r="K1142" s="112"/>
      <c r="L1142" s="37">
        <v>67.036266367600007</v>
      </c>
      <c r="M1142" s="37" t="s">
        <v>288</v>
      </c>
      <c r="N1142" s="37">
        <v>812.22926829268283</v>
      </c>
      <c r="O1142" s="130">
        <f t="shared" si="83"/>
        <v>54448.817580829134</v>
      </c>
      <c r="P1142" s="132">
        <f t="shared" si="84"/>
        <v>822.11783874268656</v>
      </c>
      <c r="Q1142" s="261">
        <v>1.9767497983303385E-2</v>
      </c>
      <c r="R1142" s="92"/>
    </row>
    <row r="1143" spans="1:18" x14ac:dyDescent="0.25">
      <c r="A1143" s="353">
        <v>41837</v>
      </c>
      <c r="B1143" s="353" t="s">
        <v>285</v>
      </c>
      <c r="C1143" s="263" t="s">
        <v>695</v>
      </c>
      <c r="D1143" s="157" t="s">
        <v>692</v>
      </c>
      <c r="E1143" s="44">
        <f t="shared" si="85"/>
        <v>41837</v>
      </c>
      <c r="F1143" s="146" t="str">
        <f t="shared" si="81"/>
        <v>2014-15</v>
      </c>
      <c r="G1143" s="1"/>
      <c r="H1143" s="161"/>
      <c r="I1143" s="37"/>
      <c r="J1143" s="135">
        <f t="shared" si="82"/>
        <v>0.76382508261777382</v>
      </c>
      <c r="K1143" s="112"/>
      <c r="L1143" s="37">
        <v>99.553936145099996</v>
      </c>
      <c r="M1143" s="37" t="s">
        <v>288</v>
      </c>
      <c r="N1143" s="37">
        <v>3336.4019512195118</v>
      </c>
      <c r="O1143" s="130">
        <f t="shared" si="83"/>
        <v>332151.94680609432</v>
      </c>
      <c r="P1143" s="132">
        <f t="shared" si="84"/>
        <v>5015.1326103093652</v>
      </c>
      <c r="Q1143" s="261">
        <v>1.9767497983303385E-2</v>
      </c>
      <c r="R1143" s="92"/>
    </row>
    <row r="1144" spans="1:18" x14ac:dyDescent="0.25">
      <c r="A1144" s="353">
        <v>41837</v>
      </c>
      <c r="B1144" s="353" t="s">
        <v>285</v>
      </c>
      <c r="C1144" s="263" t="s">
        <v>695</v>
      </c>
      <c r="D1144" s="157" t="s">
        <v>692</v>
      </c>
      <c r="E1144" s="44">
        <f t="shared" si="85"/>
        <v>41837</v>
      </c>
      <c r="F1144" s="146" t="str">
        <f t="shared" si="81"/>
        <v>2014-15</v>
      </c>
      <c r="G1144" s="1"/>
      <c r="H1144" s="161"/>
      <c r="I1144" s="37"/>
      <c r="J1144" s="135">
        <f t="shared" si="82"/>
        <v>0.76382508261777382</v>
      </c>
      <c r="K1144" s="112"/>
      <c r="L1144" s="37">
        <v>45.327158849299998</v>
      </c>
      <c r="M1144" s="37" t="s">
        <v>288</v>
      </c>
      <c r="N1144" s="37">
        <v>3336.4019512195118</v>
      </c>
      <c r="O1144" s="130">
        <f t="shared" si="83"/>
        <v>151229.62122804127</v>
      </c>
      <c r="P1144" s="132">
        <f t="shared" si="84"/>
        <v>2283.4025582521963</v>
      </c>
      <c r="Q1144" s="261">
        <v>1.9767497983303385E-2</v>
      </c>
      <c r="R1144" s="92"/>
    </row>
    <row r="1145" spans="1:18" x14ac:dyDescent="0.25">
      <c r="A1145" s="353">
        <v>41837</v>
      </c>
      <c r="B1145" s="353" t="s">
        <v>285</v>
      </c>
      <c r="C1145" s="263" t="s">
        <v>695</v>
      </c>
      <c r="D1145" s="157" t="s">
        <v>692</v>
      </c>
      <c r="E1145" s="44">
        <f t="shared" si="85"/>
        <v>41837</v>
      </c>
      <c r="F1145" s="146" t="str">
        <f t="shared" si="81"/>
        <v>2014-15</v>
      </c>
      <c r="G1145" s="1"/>
      <c r="H1145" s="161"/>
      <c r="I1145" s="37"/>
      <c r="J1145" s="135">
        <f t="shared" si="82"/>
        <v>0.76382508261777382</v>
      </c>
      <c r="K1145" s="112"/>
      <c r="L1145" s="37">
        <v>50.2770381355</v>
      </c>
      <c r="M1145" s="37" t="s">
        <v>288</v>
      </c>
      <c r="N1145" s="37">
        <v>812.22926829268283</v>
      </c>
      <c r="O1145" s="130">
        <f t="shared" si="83"/>
        <v>40836.481896720477</v>
      </c>
      <c r="P1145" s="132">
        <f t="shared" si="84"/>
        <v>616.58639673760672</v>
      </c>
      <c r="Q1145" s="261">
        <v>1.9767497983303385E-2</v>
      </c>
      <c r="R1145" s="92"/>
    </row>
    <row r="1146" spans="1:18" x14ac:dyDescent="0.25">
      <c r="A1146" s="353">
        <v>41837</v>
      </c>
      <c r="B1146" s="353" t="s">
        <v>285</v>
      </c>
      <c r="C1146" s="263" t="s">
        <v>695</v>
      </c>
      <c r="D1146" s="157" t="s">
        <v>692</v>
      </c>
      <c r="E1146" s="44">
        <f t="shared" si="85"/>
        <v>41837</v>
      </c>
      <c r="F1146" s="146" t="str">
        <f t="shared" si="81"/>
        <v>2014-15</v>
      </c>
      <c r="G1146" s="1"/>
      <c r="H1146" s="161"/>
      <c r="I1146" s="37"/>
      <c r="J1146" s="135">
        <f t="shared" si="82"/>
        <v>0.76382508261777382</v>
      </c>
      <c r="K1146" s="112"/>
      <c r="L1146" s="37">
        <v>16.392358036600001</v>
      </c>
      <c r="M1146" s="37" t="s">
        <v>288</v>
      </c>
      <c r="N1146" s="37">
        <v>3336.4019512195118</v>
      </c>
      <c r="O1146" s="130">
        <f t="shared" si="83"/>
        <v>54691.495338401088</v>
      </c>
      <c r="P1146" s="132">
        <f t="shared" si="84"/>
        <v>825.78200855261503</v>
      </c>
      <c r="Q1146" s="261">
        <v>1.9767497983303385E-2</v>
      </c>
      <c r="R1146" s="92"/>
    </row>
    <row r="1147" spans="1:18" x14ac:dyDescent="0.25">
      <c r="A1147" s="353">
        <v>41837</v>
      </c>
      <c r="B1147" s="353" t="s">
        <v>285</v>
      </c>
      <c r="C1147" s="263" t="s">
        <v>695</v>
      </c>
      <c r="D1147" s="157" t="s">
        <v>692</v>
      </c>
      <c r="E1147" s="44">
        <f t="shared" si="85"/>
        <v>41837</v>
      </c>
      <c r="F1147" s="146" t="str">
        <f t="shared" ref="F1147:F1210" si="86">IF(E1147="","-",IF(OR(E1147&lt;$E$15,E1147&gt;$E$16),"ERROR - date outside of range",IF(MONTH(E1147)&gt;=7,YEAR(E1147)&amp;"-"&amp;IF(YEAR(E1147)=1999,"00",IF(AND(YEAR(E1147)&gt;=2000,YEAR(E1147)&lt;2009),"0","")&amp;RIGHT(YEAR(E1147),2)+1),RIGHT(YEAR(E1147),4)-1&amp;"-"&amp;RIGHT(YEAR(E1147),2))))</f>
        <v>2014-15</v>
      </c>
      <c r="G1147" s="1"/>
      <c r="H1147" s="161"/>
      <c r="I1147" s="37"/>
      <c r="J1147" s="135">
        <f t="shared" si="82"/>
        <v>0.76382508261777382</v>
      </c>
      <c r="K1147" s="112"/>
      <c r="L1147" s="37">
        <v>80.3835458768</v>
      </c>
      <c r="M1147" s="37" t="s">
        <v>288</v>
      </c>
      <c r="N1147" s="37">
        <v>3336.4019512195118</v>
      </c>
      <c r="O1147" s="130">
        <f t="shared" si="83"/>
        <v>268191.81930929865</v>
      </c>
      <c r="P1147" s="132">
        <f t="shared" si="84"/>
        <v>4049.4043517422556</v>
      </c>
      <c r="Q1147" s="261">
        <v>1.9767497983303385E-2</v>
      </c>
      <c r="R1147" s="92"/>
    </row>
    <row r="1148" spans="1:18" x14ac:dyDescent="0.25">
      <c r="A1148" s="353">
        <v>41837</v>
      </c>
      <c r="B1148" s="353" t="s">
        <v>285</v>
      </c>
      <c r="C1148" s="263" t="s">
        <v>695</v>
      </c>
      <c r="D1148" s="157" t="s">
        <v>692</v>
      </c>
      <c r="E1148" s="44">
        <f t="shared" si="85"/>
        <v>41837</v>
      </c>
      <c r="F1148" s="146" t="str">
        <f t="shared" si="86"/>
        <v>2014-15</v>
      </c>
      <c r="G1148" s="1"/>
      <c r="H1148" s="161"/>
      <c r="I1148" s="37"/>
      <c r="J1148" s="135">
        <f t="shared" si="82"/>
        <v>0.76382508261777382</v>
      </c>
      <c r="K1148" s="112"/>
      <c r="L1148" s="37">
        <v>16.392823117900001</v>
      </c>
      <c r="M1148" s="37" t="s">
        <v>288</v>
      </c>
      <c r="N1148" s="37">
        <v>3336.4019512195118</v>
      </c>
      <c r="O1148" s="130">
        <f t="shared" si="83"/>
        <v>54693.047036557888</v>
      </c>
      <c r="P1148" s="132">
        <f t="shared" si="84"/>
        <v>825.80543750464233</v>
      </c>
      <c r="Q1148" s="261">
        <v>1.9767497983303385E-2</v>
      </c>
      <c r="R1148" s="92"/>
    </row>
    <row r="1149" spans="1:18" x14ac:dyDescent="0.25">
      <c r="A1149" s="353">
        <v>41837</v>
      </c>
      <c r="B1149" s="353" t="s">
        <v>285</v>
      </c>
      <c r="C1149" s="263" t="s">
        <v>695</v>
      </c>
      <c r="D1149" s="157" t="s">
        <v>692</v>
      </c>
      <c r="E1149" s="44">
        <f t="shared" si="85"/>
        <v>41837</v>
      </c>
      <c r="F1149" s="146" t="str">
        <f t="shared" si="86"/>
        <v>2014-15</v>
      </c>
      <c r="G1149" s="1"/>
      <c r="H1149" s="161"/>
      <c r="I1149" s="37"/>
      <c r="J1149" s="135">
        <f t="shared" si="82"/>
        <v>0.76382508261777382</v>
      </c>
      <c r="K1149" s="112"/>
      <c r="L1149" s="37">
        <v>67.078534389200001</v>
      </c>
      <c r="M1149" s="37" t="s">
        <v>288</v>
      </c>
      <c r="N1149" s="37">
        <v>812.22926829268283</v>
      </c>
      <c r="O1149" s="130">
        <f t="shared" si="83"/>
        <v>54483.14890508548</v>
      </c>
      <c r="P1149" s="132">
        <f t="shared" si="84"/>
        <v>822.63620434460074</v>
      </c>
      <c r="Q1149" s="261">
        <v>1.9767497983303385E-2</v>
      </c>
      <c r="R1149" s="92"/>
    </row>
    <row r="1150" spans="1:18" x14ac:dyDescent="0.25">
      <c r="A1150" s="353">
        <v>41837</v>
      </c>
      <c r="B1150" s="353" t="s">
        <v>285</v>
      </c>
      <c r="C1150" s="263" t="s">
        <v>695</v>
      </c>
      <c r="D1150" s="157" t="s">
        <v>692</v>
      </c>
      <c r="E1150" s="44">
        <f t="shared" si="85"/>
        <v>41837</v>
      </c>
      <c r="F1150" s="146" t="str">
        <f t="shared" si="86"/>
        <v>2014-15</v>
      </c>
      <c r="G1150" s="1"/>
      <c r="H1150" s="161"/>
      <c r="I1150" s="37"/>
      <c r="J1150" s="135">
        <f t="shared" si="82"/>
        <v>0.76382508261777382</v>
      </c>
      <c r="K1150" s="112"/>
      <c r="L1150" s="37">
        <v>18.012596544600001</v>
      </c>
      <c r="M1150" s="37" t="s">
        <v>288</v>
      </c>
      <c r="N1150" s="37">
        <v>3336.4019512195118</v>
      </c>
      <c r="O1150" s="130">
        <f t="shared" si="83"/>
        <v>60097.262257933282</v>
      </c>
      <c r="P1150" s="132">
        <f t="shared" si="84"/>
        <v>907.40320096942287</v>
      </c>
      <c r="Q1150" s="261">
        <v>1.9767497983303385E-2</v>
      </c>
      <c r="R1150" s="92"/>
    </row>
    <row r="1151" spans="1:18" x14ac:dyDescent="0.25">
      <c r="A1151" s="353">
        <v>41837</v>
      </c>
      <c r="B1151" s="353" t="s">
        <v>285</v>
      </c>
      <c r="C1151" s="263" t="s">
        <v>695</v>
      </c>
      <c r="D1151" s="157" t="s">
        <v>692</v>
      </c>
      <c r="E1151" s="44">
        <f t="shared" si="85"/>
        <v>41837</v>
      </c>
      <c r="F1151" s="146" t="str">
        <f t="shared" si="86"/>
        <v>2014-15</v>
      </c>
      <c r="G1151" s="1"/>
      <c r="H1151" s="161"/>
      <c r="I1151" s="37"/>
      <c r="J1151" s="135">
        <f t="shared" si="82"/>
        <v>0.76382508261777382</v>
      </c>
      <c r="K1151" s="112"/>
      <c r="L1151" s="37">
        <v>12.5974478767</v>
      </c>
      <c r="M1151" s="37" t="s">
        <v>288</v>
      </c>
      <c r="N1151" s="37">
        <v>812.22926829268283</v>
      </c>
      <c r="O1151" s="130">
        <f t="shared" si="83"/>
        <v>10232.015871247253</v>
      </c>
      <c r="P1151" s="132">
        <f t="shared" si="84"/>
        <v>154.49229474199657</v>
      </c>
      <c r="Q1151" s="261">
        <v>1.9767497983303385E-2</v>
      </c>
      <c r="R1151" s="92"/>
    </row>
    <row r="1152" spans="1:18" x14ac:dyDescent="0.25">
      <c r="A1152" s="353">
        <v>41837</v>
      </c>
      <c r="B1152" s="353" t="s">
        <v>285</v>
      </c>
      <c r="C1152" s="263" t="s">
        <v>695</v>
      </c>
      <c r="D1152" s="157" t="s">
        <v>692</v>
      </c>
      <c r="E1152" s="44">
        <f t="shared" si="85"/>
        <v>41837</v>
      </c>
      <c r="F1152" s="146" t="str">
        <f t="shared" si="86"/>
        <v>2014-15</v>
      </c>
      <c r="G1152" s="1"/>
      <c r="H1152" s="161"/>
      <c r="I1152" s="37"/>
      <c r="J1152" s="135">
        <f t="shared" si="82"/>
        <v>0.76382508261777382</v>
      </c>
      <c r="K1152" s="112"/>
      <c r="L1152" s="37">
        <v>29.676443077599998</v>
      </c>
      <c r="M1152" s="37" t="s">
        <v>288</v>
      </c>
      <c r="N1152" s="37">
        <v>3336.4019512195118</v>
      </c>
      <c r="O1152" s="130">
        <f t="shared" si="83"/>
        <v>99012.542589359407</v>
      </c>
      <c r="P1152" s="132">
        <f t="shared" si="84"/>
        <v>1494.9815466817863</v>
      </c>
      <c r="Q1152" s="261">
        <v>1.9767497983303385E-2</v>
      </c>
      <c r="R1152" s="92"/>
    </row>
    <row r="1153" spans="1:18" x14ac:dyDescent="0.25">
      <c r="A1153" s="353">
        <v>41837</v>
      </c>
      <c r="B1153" s="353" t="s">
        <v>285</v>
      </c>
      <c r="C1153" s="263" t="s">
        <v>695</v>
      </c>
      <c r="D1153" s="157" t="s">
        <v>692</v>
      </c>
      <c r="E1153" s="44">
        <f t="shared" si="85"/>
        <v>41837</v>
      </c>
      <c r="F1153" s="146" t="str">
        <f t="shared" si="86"/>
        <v>2014-15</v>
      </c>
      <c r="G1153" s="1"/>
      <c r="H1153" s="161"/>
      <c r="I1153" s="37"/>
      <c r="J1153" s="135">
        <f t="shared" si="82"/>
        <v>0.76382508261777382</v>
      </c>
      <c r="K1153" s="112"/>
      <c r="L1153" s="37">
        <v>12.5199754474</v>
      </c>
      <c r="M1153" s="37" t="s">
        <v>288</v>
      </c>
      <c r="N1153" s="37">
        <v>812.22926829268283</v>
      </c>
      <c r="O1153" s="130">
        <f t="shared" si="83"/>
        <v>10169.090496684057</v>
      </c>
      <c r="P1153" s="132">
        <f t="shared" si="84"/>
        <v>153.54219012565346</v>
      </c>
      <c r="Q1153" s="261">
        <v>1.9767497983303385E-2</v>
      </c>
      <c r="R1153" s="92"/>
    </row>
    <row r="1154" spans="1:18" x14ac:dyDescent="0.25">
      <c r="A1154" s="353">
        <v>43353</v>
      </c>
      <c r="B1154" s="353" t="s">
        <v>285</v>
      </c>
      <c r="C1154" s="263" t="s">
        <v>696</v>
      </c>
      <c r="D1154" s="157" t="s">
        <v>697</v>
      </c>
      <c r="E1154" s="44">
        <f t="shared" si="85"/>
        <v>43353</v>
      </c>
      <c r="F1154" s="146" t="str">
        <f t="shared" si="86"/>
        <v>2018-19</v>
      </c>
      <c r="G1154" s="1"/>
      <c r="H1154" s="161"/>
      <c r="I1154" s="37"/>
      <c r="J1154" s="135">
        <f t="shared" si="82"/>
        <v>0.76382508261777382</v>
      </c>
      <c r="K1154" s="112"/>
      <c r="L1154" s="37">
        <v>65.776626472900006</v>
      </c>
      <c r="M1154" s="37" t="s">
        <v>288</v>
      </c>
      <c r="N1154" s="37">
        <v>812.22926829268283</v>
      </c>
      <c r="O1154" s="130">
        <f t="shared" si="83"/>
        <v>53425.70119084468</v>
      </c>
      <c r="P1154" s="132">
        <f t="shared" si="84"/>
        <v>1252.2465823355344</v>
      </c>
      <c r="Q1154" s="261">
        <v>3.0686383518617813E-2</v>
      </c>
      <c r="R1154" s="92"/>
    </row>
    <row r="1155" spans="1:18" x14ac:dyDescent="0.25">
      <c r="A1155" s="353">
        <v>43353</v>
      </c>
      <c r="B1155" s="353" t="s">
        <v>285</v>
      </c>
      <c r="C1155" s="263" t="s">
        <v>696</v>
      </c>
      <c r="D1155" s="157" t="s">
        <v>697</v>
      </c>
      <c r="E1155" s="44">
        <f t="shared" si="85"/>
        <v>43353</v>
      </c>
      <c r="F1155" s="146" t="str">
        <f t="shared" si="86"/>
        <v>2018-19</v>
      </c>
      <c r="G1155" s="1"/>
      <c r="H1155" s="161"/>
      <c r="I1155" s="37"/>
      <c r="J1155" s="135">
        <f t="shared" si="82"/>
        <v>0.76382508261777382</v>
      </c>
      <c r="K1155" s="112"/>
      <c r="L1155" s="37">
        <v>85.571753264899996</v>
      </c>
      <c r="M1155" s="37" t="s">
        <v>288</v>
      </c>
      <c r="N1155" s="37">
        <v>812.22926829268283</v>
      </c>
      <c r="O1155" s="130">
        <f t="shared" si="83"/>
        <v>69503.882540871724</v>
      </c>
      <c r="P1155" s="132">
        <f t="shared" si="84"/>
        <v>1629.1035481209929</v>
      </c>
      <c r="Q1155" s="261">
        <v>3.0686383518617813E-2</v>
      </c>
      <c r="R1155" s="92"/>
    </row>
    <row r="1156" spans="1:18" x14ac:dyDescent="0.25">
      <c r="A1156" s="353">
        <v>43353</v>
      </c>
      <c r="B1156" s="353" t="s">
        <v>285</v>
      </c>
      <c r="C1156" s="263" t="s">
        <v>696</v>
      </c>
      <c r="D1156" s="157" t="s">
        <v>697</v>
      </c>
      <c r="E1156" s="44">
        <f t="shared" si="85"/>
        <v>43353</v>
      </c>
      <c r="F1156" s="146" t="str">
        <f t="shared" si="86"/>
        <v>2018-19</v>
      </c>
      <c r="G1156" s="1"/>
      <c r="H1156" s="161"/>
      <c r="I1156" s="37"/>
      <c r="J1156" s="135">
        <f t="shared" si="82"/>
        <v>0.76382508261777382</v>
      </c>
      <c r="K1156" s="112"/>
      <c r="L1156" s="37">
        <v>16.3815523691</v>
      </c>
      <c r="M1156" s="37" t="s">
        <v>288</v>
      </c>
      <c r="N1156" s="37">
        <v>812.22926829268283</v>
      </c>
      <c r="O1156" s="130">
        <f t="shared" si="83"/>
        <v>13305.576294252358</v>
      </c>
      <c r="P1156" s="132">
        <f t="shared" si="84"/>
        <v>311.86979429551195</v>
      </c>
      <c r="Q1156" s="261">
        <v>3.0686383518617813E-2</v>
      </c>
      <c r="R1156" s="92"/>
    </row>
    <row r="1157" spans="1:18" x14ac:dyDescent="0.25">
      <c r="A1157" s="353">
        <v>43353</v>
      </c>
      <c r="B1157" s="353" t="s">
        <v>285</v>
      </c>
      <c r="C1157" s="263" t="s">
        <v>696</v>
      </c>
      <c r="D1157" s="157" t="s">
        <v>697</v>
      </c>
      <c r="E1157" s="44">
        <f t="shared" si="85"/>
        <v>43353</v>
      </c>
      <c r="F1157" s="146" t="str">
        <f t="shared" si="86"/>
        <v>2018-19</v>
      </c>
      <c r="G1157" s="1"/>
      <c r="H1157" s="161"/>
      <c r="I1157" s="37"/>
      <c r="J1157" s="135">
        <f t="shared" si="82"/>
        <v>0.76382508261777382</v>
      </c>
      <c r="K1157" s="112"/>
      <c r="L1157" s="37">
        <v>18.448488009799998</v>
      </c>
      <c r="M1157" s="37" t="s">
        <v>288</v>
      </c>
      <c r="N1157" s="37">
        <v>812.22926829268283</v>
      </c>
      <c r="O1157" s="130">
        <f t="shared" si="83"/>
        <v>14984.401917306186</v>
      </c>
      <c r="P1157" s="132">
        <f t="shared" si="84"/>
        <v>351.2198374759792</v>
      </c>
      <c r="Q1157" s="261">
        <v>3.0686383518617813E-2</v>
      </c>
      <c r="R1157" s="92"/>
    </row>
    <row r="1158" spans="1:18" x14ac:dyDescent="0.25">
      <c r="A1158" s="353">
        <v>43353</v>
      </c>
      <c r="B1158" s="353" t="s">
        <v>285</v>
      </c>
      <c r="C1158" s="263" t="s">
        <v>696</v>
      </c>
      <c r="D1158" s="157" t="s">
        <v>697</v>
      </c>
      <c r="E1158" s="44">
        <f t="shared" si="85"/>
        <v>43353</v>
      </c>
      <c r="F1158" s="146" t="str">
        <f t="shared" si="86"/>
        <v>2018-19</v>
      </c>
      <c r="G1158" s="1"/>
      <c r="H1158" s="161"/>
      <c r="I1158" s="37"/>
      <c r="J1158" s="135">
        <f t="shared" si="82"/>
        <v>0.76382508261777382</v>
      </c>
      <c r="K1158" s="112"/>
      <c r="L1158" s="37">
        <v>13.9622976258</v>
      </c>
      <c r="M1158" s="37" t="s">
        <v>288</v>
      </c>
      <c r="N1158" s="37">
        <v>812.22926829268283</v>
      </c>
      <c r="O1158" s="130">
        <f t="shared" si="83"/>
        <v>11340.586784288196</v>
      </c>
      <c r="P1158" s="132">
        <f t="shared" si="84"/>
        <v>265.81234734899499</v>
      </c>
      <c r="Q1158" s="261">
        <v>3.0686383518617813E-2</v>
      </c>
      <c r="R1158" s="92"/>
    </row>
    <row r="1159" spans="1:18" x14ac:dyDescent="0.25">
      <c r="A1159" s="353">
        <v>43353</v>
      </c>
      <c r="B1159" s="353" t="s">
        <v>285</v>
      </c>
      <c r="C1159" s="263" t="s">
        <v>696</v>
      </c>
      <c r="D1159" s="157" t="s">
        <v>697</v>
      </c>
      <c r="E1159" s="44">
        <f t="shared" si="85"/>
        <v>43353</v>
      </c>
      <c r="F1159" s="146" t="str">
        <f t="shared" si="86"/>
        <v>2018-19</v>
      </c>
      <c r="G1159" s="1"/>
      <c r="H1159" s="161"/>
      <c r="I1159" s="37"/>
      <c r="J1159" s="135">
        <f t="shared" si="82"/>
        <v>0.76382508261777382</v>
      </c>
      <c r="K1159" s="112"/>
      <c r="L1159" s="37">
        <v>15.9351899925</v>
      </c>
      <c r="M1159" s="37" t="s">
        <v>288</v>
      </c>
      <c r="N1159" s="37">
        <v>812.22926829268283</v>
      </c>
      <c r="O1159" s="130">
        <f t="shared" si="83"/>
        <v>12943.027707713158</v>
      </c>
      <c r="P1159" s="132">
        <f t="shared" si="84"/>
        <v>303.3720073071384</v>
      </c>
      <c r="Q1159" s="261">
        <v>3.0686383518617813E-2</v>
      </c>
      <c r="R1159" s="92"/>
    </row>
    <row r="1160" spans="1:18" x14ac:dyDescent="0.25">
      <c r="A1160" s="353">
        <v>43353</v>
      </c>
      <c r="B1160" s="353" t="s">
        <v>285</v>
      </c>
      <c r="C1160" s="263" t="s">
        <v>696</v>
      </c>
      <c r="D1160" s="157" t="s">
        <v>697</v>
      </c>
      <c r="E1160" s="44">
        <f t="shared" si="85"/>
        <v>43353</v>
      </c>
      <c r="F1160" s="146" t="str">
        <f t="shared" si="86"/>
        <v>2018-19</v>
      </c>
      <c r="G1160" s="1"/>
      <c r="H1160" s="161"/>
      <c r="I1160" s="37"/>
      <c r="J1160" s="135">
        <f t="shared" si="82"/>
        <v>0.76382508261777382</v>
      </c>
      <c r="K1160" s="112"/>
      <c r="L1160" s="37">
        <v>67.105438534800001</v>
      </c>
      <c r="M1160" s="37" t="s">
        <v>288</v>
      </c>
      <c r="N1160" s="37">
        <v>3592.3639024390236</v>
      </c>
      <c r="O1160" s="130">
        <f t="shared" si="83"/>
        <v>241067.15504975617</v>
      </c>
      <c r="P1160" s="132">
        <f t="shared" si="84"/>
        <v>5650.3801409374582</v>
      </c>
      <c r="Q1160" s="261">
        <v>3.0686383518617813E-2</v>
      </c>
      <c r="R1160" s="92"/>
    </row>
    <row r="1161" spans="1:18" x14ac:dyDescent="0.25">
      <c r="A1161" s="353">
        <v>43353</v>
      </c>
      <c r="B1161" s="353" t="s">
        <v>285</v>
      </c>
      <c r="C1161" s="263" t="s">
        <v>696</v>
      </c>
      <c r="D1161" s="157" t="s">
        <v>697</v>
      </c>
      <c r="E1161" s="44">
        <f t="shared" si="85"/>
        <v>43353</v>
      </c>
      <c r="F1161" s="146" t="str">
        <f t="shared" si="86"/>
        <v>2018-19</v>
      </c>
      <c r="G1161" s="1"/>
      <c r="H1161" s="161"/>
      <c r="I1161" s="37"/>
      <c r="J1161" s="135">
        <f t="shared" si="82"/>
        <v>0.76382508261777382</v>
      </c>
      <c r="K1161" s="112"/>
      <c r="L1161" s="37">
        <v>81.911472316399994</v>
      </c>
      <c r="M1161" s="37" t="s">
        <v>288</v>
      </c>
      <c r="N1161" s="37">
        <v>3336.4019512195118</v>
      </c>
      <c r="O1161" s="130">
        <f t="shared" si="83"/>
        <v>273289.59606369998</v>
      </c>
      <c r="P1161" s="132">
        <f t="shared" si="84"/>
        <v>6405.6428840520803</v>
      </c>
      <c r="Q1161" s="261">
        <v>3.0686383518617813E-2</v>
      </c>
      <c r="R1161" s="92"/>
    </row>
    <row r="1162" spans="1:18" x14ac:dyDescent="0.25">
      <c r="A1162" s="353">
        <v>43353</v>
      </c>
      <c r="B1162" s="353" t="s">
        <v>285</v>
      </c>
      <c r="C1162" s="263" t="s">
        <v>696</v>
      </c>
      <c r="D1162" s="157" t="s">
        <v>697</v>
      </c>
      <c r="E1162" s="44">
        <f t="shared" si="85"/>
        <v>43353</v>
      </c>
      <c r="F1162" s="146" t="str">
        <f t="shared" si="86"/>
        <v>2018-19</v>
      </c>
      <c r="G1162" s="1"/>
      <c r="H1162" s="161"/>
      <c r="I1162" s="37"/>
      <c r="J1162" s="135">
        <f t="shared" si="82"/>
        <v>0.76382508261777382</v>
      </c>
      <c r="K1162" s="112"/>
      <c r="L1162" s="37">
        <v>29.005435807400001</v>
      </c>
      <c r="M1162" s="37" t="s">
        <v>288</v>
      </c>
      <c r="N1162" s="37">
        <v>950.87219512195099</v>
      </c>
      <c r="O1162" s="130">
        <f t="shared" si="83"/>
        <v>27580.462416651277</v>
      </c>
      <c r="P1162" s="132">
        <f t="shared" si="84"/>
        <v>646.45927017620033</v>
      </c>
      <c r="Q1162" s="261">
        <v>3.0686383518617813E-2</v>
      </c>
      <c r="R1162" s="92"/>
    </row>
    <row r="1163" spans="1:18" x14ac:dyDescent="0.25">
      <c r="A1163" s="353">
        <v>43353</v>
      </c>
      <c r="B1163" s="353" t="s">
        <v>285</v>
      </c>
      <c r="C1163" s="263" t="s">
        <v>696</v>
      </c>
      <c r="D1163" s="157" t="s">
        <v>697</v>
      </c>
      <c r="E1163" s="44">
        <f t="shared" si="85"/>
        <v>43353</v>
      </c>
      <c r="F1163" s="146" t="str">
        <f t="shared" si="86"/>
        <v>2018-19</v>
      </c>
      <c r="G1163" s="1"/>
      <c r="H1163" s="161"/>
      <c r="I1163" s="37"/>
      <c r="J1163" s="135">
        <f t="shared" si="82"/>
        <v>0.76382508261777382</v>
      </c>
      <c r="K1163" s="112"/>
      <c r="L1163" s="37">
        <v>25.0933130813</v>
      </c>
      <c r="M1163" s="37" t="s">
        <v>288</v>
      </c>
      <c r="N1163" s="37">
        <v>950.87219512195099</v>
      </c>
      <c r="O1163" s="130">
        <f t="shared" si="83"/>
        <v>23860.533692498098</v>
      </c>
      <c r="P1163" s="132">
        <f t="shared" si="84"/>
        <v>559.2677513468534</v>
      </c>
      <c r="Q1163" s="261">
        <v>3.0686383518617813E-2</v>
      </c>
      <c r="R1163" s="92"/>
    </row>
    <row r="1164" spans="1:18" x14ac:dyDescent="0.25">
      <c r="A1164" s="353">
        <v>43353</v>
      </c>
      <c r="B1164" s="353" t="s">
        <v>285</v>
      </c>
      <c r="C1164" s="263" t="s">
        <v>696</v>
      </c>
      <c r="D1164" s="157" t="s">
        <v>697</v>
      </c>
      <c r="E1164" s="44">
        <f t="shared" si="85"/>
        <v>43353</v>
      </c>
      <c r="F1164" s="146" t="str">
        <f t="shared" si="86"/>
        <v>2018-19</v>
      </c>
      <c r="G1164" s="1"/>
      <c r="H1164" s="161"/>
      <c r="I1164" s="37"/>
      <c r="J1164" s="135">
        <f t="shared" si="82"/>
        <v>0.76382508261777382</v>
      </c>
      <c r="K1164" s="112"/>
      <c r="L1164" s="37">
        <v>18.577981833399999</v>
      </c>
      <c r="M1164" s="37" t="s">
        <v>288</v>
      </c>
      <c r="N1164" s="37">
        <v>3592.3639024390236</v>
      </c>
      <c r="O1164" s="130">
        <f t="shared" si="83"/>
        <v>66738.871318474106</v>
      </c>
      <c r="P1164" s="132">
        <f t="shared" si="84"/>
        <v>1564.29436871503</v>
      </c>
      <c r="Q1164" s="261">
        <v>3.0686383518617813E-2</v>
      </c>
      <c r="R1164" s="92"/>
    </row>
    <row r="1165" spans="1:18" x14ac:dyDescent="0.25">
      <c r="A1165" s="353">
        <v>43353</v>
      </c>
      <c r="B1165" s="353" t="s">
        <v>285</v>
      </c>
      <c r="C1165" s="263" t="s">
        <v>696</v>
      </c>
      <c r="D1165" s="157" t="s">
        <v>697</v>
      </c>
      <c r="E1165" s="44">
        <f t="shared" si="85"/>
        <v>43353</v>
      </c>
      <c r="F1165" s="146" t="str">
        <f t="shared" si="86"/>
        <v>2018-19</v>
      </c>
      <c r="G1165" s="1"/>
      <c r="H1165" s="161"/>
      <c r="I1165" s="37"/>
      <c r="J1165" s="135">
        <f t="shared" si="82"/>
        <v>0.76382508261777382</v>
      </c>
      <c r="K1165" s="112"/>
      <c r="L1165" s="37">
        <v>64.507842942300002</v>
      </c>
      <c r="M1165" s="37" t="s">
        <v>288</v>
      </c>
      <c r="N1165" s="37">
        <v>812.22926829268283</v>
      </c>
      <c r="O1165" s="130">
        <f t="shared" si="83"/>
        <v>52395.158072163635</v>
      </c>
      <c r="P1165" s="132">
        <f t="shared" si="84"/>
        <v>1228.0916518516478</v>
      </c>
      <c r="Q1165" s="261">
        <v>3.0686383518617813E-2</v>
      </c>
      <c r="R1165" s="92"/>
    </row>
    <row r="1166" spans="1:18" x14ac:dyDescent="0.25">
      <c r="A1166" s="353">
        <v>43353</v>
      </c>
      <c r="B1166" s="353" t="s">
        <v>285</v>
      </c>
      <c r="C1166" s="263" t="s">
        <v>696</v>
      </c>
      <c r="D1166" s="157" t="s">
        <v>697</v>
      </c>
      <c r="E1166" s="44">
        <f t="shared" si="85"/>
        <v>43353</v>
      </c>
      <c r="F1166" s="146" t="str">
        <f t="shared" si="86"/>
        <v>2018-19</v>
      </c>
      <c r="G1166" s="1"/>
      <c r="H1166" s="161"/>
      <c r="I1166" s="37"/>
      <c r="J1166" s="135">
        <f t="shared" si="82"/>
        <v>0.76382508261777382</v>
      </c>
      <c r="K1166" s="112"/>
      <c r="L1166" s="37">
        <v>73.666132429900003</v>
      </c>
      <c r="M1166" s="37" t="s">
        <v>288</v>
      </c>
      <c r="N1166" s="37">
        <v>3592.3639024390236</v>
      </c>
      <c r="O1166" s="130">
        <f t="shared" si="83"/>
        <v>264635.55497346551</v>
      </c>
      <c r="P1166" s="132">
        <f t="shared" si="84"/>
        <v>6202.8005602812418</v>
      </c>
      <c r="Q1166" s="261">
        <v>3.0686383518617813E-2</v>
      </c>
      <c r="R1166" s="92"/>
    </row>
    <row r="1167" spans="1:18" x14ac:dyDescent="0.25">
      <c r="A1167" s="353">
        <v>43353</v>
      </c>
      <c r="B1167" s="353" t="s">
        <v>285</v>
      </c>
      <c r="C1167" s="263" t="s">
        <v>696</v>
      </c>
      <c r="D1167" s="157" t="s">
        <v>697</v>
      </c>
      <c r="E1167" s="44">
        <f t="shared" si="85"/>
        <v>43353</v>
      </c>
      <c r="F1167" s="146" t="str">
        <f t="shared" si="86"/>
        <v>2018-19</v>
      </c>
      <c r="G1167" s="1"/>
      <c r="H1167" s="161"/>
      <c r="I1167" s="37"/>
      <c r="J1167" s="135">
        <f t="shared" si="82"/>
        <v>0.76382508261777382</v>
      </c>
      <c r="K1167" s="112"/>
      <c r="L1167" s="37">
        <v>63.886345216199999</v>
      </c>
      <c r="M1167" s="37" t="s">
        <v>288</v>
      </c>
      <c r="N1167" s="37">
        <v>3336.4019512195118</v>
      </c>
      <c r="O1167" s="130">
        <f t="shared" si="83"/>
        <v>213150.52683561301</v>
      </c>
      <c r="P1167" s="132">
        <f t="shared" si="84"/>
        <v>4996.0414707417131</v>
      </c>
      <c r="Q1167" s="261">
        <v>3.0686383518617813E-2</v>
      </c>
      <c r="R1167" s="92"/>
    </row>
    <row r="1168" spans="1:18" x14ac:dyDescent="0.25">
      <c r="A1168" s="353">
        <v>43353</v>
      </c>
      <c r="B1168" s="353" t="s">
        <v>285</v>
      </c>
      <c r="C1168" s="263" t="s">
        <v>696</v>
      </c>
      <c r="D1168" s="157" t="s">
        <v>697</v>
      </c>
      <c r="E1168" s="44">
        <f t="shared" si="85"/>
        <v>43353</v>
      </c>
      <c r="F1168" s="146" t="str">
        <f t="shared" si="86"/>
        <v>2018-19</v>
      </c>
      <c r="G1168" s="1"/>
      <c r="H1168" s="161"/>
      <c r="I1168" s="37"/>
      <c r="J1168" s="135">
        <f t="shared" si="82"/>
        <v>0.76382508261777382</v>
      </c>
      <c r="K1168" s="112"/>
      <c r="L1168" s="37">
        <v>23.0807313631</v>
      </c>
      <c r="M1168" s="37" t="s">
        <v>288</v>
      </c>
      <c r="N1168" s="37">
        <v>812.22926829268283</v>
      </c>
      <c r="O1168" s="130">
        <f t="shared" si="83"/>
        <v>18746.845546710691</v>
      </c>
      <c r="P1168" s="132">
        <f t="shared" si="84"/>
        <v>439.40786442057055</v>
      </c>
      <c r="Q1168" s="261">
        <v>3.0686383518617813E-2</v>
      </c>
      <c r="R1168" s="92"/>
    </row>
    <row r="1169" spans="1:18" x14ac:dyDescent="0.25">
      <c r="A1169" s="353">
        <v>43353</v>
      </c>
      <c r="B1169" s="353" t="s">
        <v>285</v>
      </c>
      <c r="C1169" s="263" t="s">
        <v>696</v>
      </c>
      <c r="D1169" s="157" t="s">
        <v>697</v>
      </c>
      <c r="E1169" s="44">
        <f t="shared" si="85"/>
        <v>43353</v>
      </c>
      <c r="F1169" s="146" t="str">
        <f t="shared" si="86"/>
        <v>2018-19</v>
      </c>
      <c r="G1169" s="1"/>
      <c r="H1169" s="161"/>
      <c r="I1169" s="37"/>
      <c r="J1169" s="135">
        <f t="shared" si="82"/>
        <v>0.76382508261777382</v>
      </c>
      <c r="K1169" s="112"/>
      <c r="L1169" s="37">
        <v>17.226095359599999</v>
      </c>
      <c r="M1169" s="37" t="s">
        <v>288</v>
      </c>
      <c r="N1169" s="37">
        <v>812.22926829268283</v>
      </c>
      <c r="O1169" s="130">
        <f t="shared" si="83"/>
        <v>13991.538829467887</v>
      </c>
      <c r="P1169" s="132">
        <f t="shared" si="84"/>
        <v>327.94809034380171</v>
      </c>
      <c r="Q1169" s="261">
        <v>3.0686383518617813E-2</v>
      </c>
      <c r="R1169" s="92"/>
    </row>
    <row r="1170" spans="1:18" x14ac:dyDescent="0.25">
      <c r="A1170" s="353">
        <v>43353</v>
      </c>
      <c r="B1170" s="353" t="s">
        <v>285</v>
      </c>
      <c r="C1170" s="263" t="s">
        <v>696</v>
      </c>
      <c r="D1170" s="157" t="s">
        <v>697</v>
      </c>
      <c r="E1170" s="44">
        <f t="shared" si="85"/>
        <v>43353</v>
      </c>
      <c r="F1170" s="146" t="str">
        <f t="shared" si="86"/>
        <v>2018-19</v>
      </c>
      <c r="G1170" s="1"/>
      <c r="H1170" s="161"/>
      <c r="I1170" s="37"/>
      <c r="J1170" s="135">
        <f t="shared" si="82"/>
        <v>0.76382508261777382</v>
      </c>
      <c r="K1170" s="112"/>
      <c r="L1170" s="37">
        <v>74.631969335799994</v>
      </c>
      <c r="M1170" s="37" t="s">
        <v>288</v>
      </c>
      <c r="N1170" s="37">
        <v>3336.4019512195118</v>
      </c>
      <c r="O1170" s="130">
        <f t="shared" si="83"/>
        <v>249002.24811531787</v>
      </c>
      <c r="P1170" s="132">
        <f t="shared" si="84"/>
        <v>5836.3710208019766</v>
      </c>
      <c r="Q1170" s="261">
        <v>3.0686383518617813E-2</v>
      </c>
      <c r="R1170" s="92"/>
    </row>
    <row r="1171" spans="1:18" x14ac:dyDescent="0.25">
      <c r="A1171" s="353">
        <v>43353</v>
      </c>
      <c r="B1171" s="353" t="s">
        <v>285</v>
      </c>
      <c r="C1171" s="263" t="s">
        <v>696</v>
      </c>
      <c r="D1171" s="157" t="s">
        <v>697</v>
      </c>
      <c r="E1171" s="44">
        <f t="shared" si="85"/>
        <v>43353</v>
      </c>
      <c r="F1171" s="146" t="str">
        <f t="shared" si="86"/>
        <v>2018-19</v>
      </c>
      <c r="G1171" s="1"/>
      <c r="H1171" s="161"/>
      <c r="I1171" s="37"/>
      <c r="J1171" s="135">
        <f t="shared" si="82"/>
        <v>0.76382508261777382</v>
      </c>
      <c r="K1171" s="112"/>
      <c r="L1171" s="37">
        <v>87.168316113100005</v>
      </c>
      <c r="M1171" s="37" t="s">
        <v>288</v>
      </c>
      <c r="N1171" s="37">
        <v>3336.4019512195118</v>
      </c>
      <c r="O1171" s="130">
        <f t="shared" si="83"/>
        <v>290828.53996426606</v>
      </c>
      <c r="P1171" s="132">
        <f t="shared" si="84"/>
        <v>6816.7387062445314</v>
      </c>
      <c r="Q1171" s="261">
        <v>3.0686383518617813E-2</v>
      </c>
      <c r="R1171" s="92"/>
    </row>
    <row r="1172" spans="1:18" x14ac:dyDescent="0.25">
      <c r="A1172" s="353">
        <v>43353</v>
      </c>
      <c r="B1172" s="353" t="s">
        <v>285</v>
      </c>
      <c r="C1172" s="263" t="s">
        <v>696</v>
      </c>
      <c r="D1172" s="157" t="s">
        <v>697</v>
      </c>
      <c r="E1172" s="44">
        <f t="shared" si="85"/>
        <v>43353</v>
      </c>
      <c r="F1172" s="146" t="str">
        <f t="shared" si="86"/>
        <v>2018-19</v>
      </c>
      <c r="G1172" s="1"/>
      <c r="H1172" s="161"/>
      <c r="I1172" s="37"/>
      <c r="J1172" s="135">
        <f t="shared" si="82"/>
        <v>0.76382508261777382</v>
      </c>
      <c r="K1172" s="112"/>
      <c r="L1172" s="37">
        <v>83.996278726699998</v>
      </c>
      <c r="M1172" s="37" t="s">
        <v>288</v>
      </c>
      <c r="N1172" s="37">
        <v>3336.4019512195118</v>
      </c>
      <c r="O1172" s="130">
        <f t="shared" si="83"/>
        <v>280245.34823893983</v>
      </c>
      <c r="P1172" s="132">
        <f t="shared" si="84"/>
        <v>6568.6789639699182</v>
      </c>
      <c r="Q1172" s="261">
        <v>3.0686383518617813E-2</v>
      </c>
      <c r="R1172" s="92"/>
    </row>
    <row r="1173" spans="1:18" x14ac:dyDescent="0.25">
      <c r="A1173" s="353">
        <v>43353</v>
      </c>
      <c r="B1173" s="353" t="s">
        <v>285</v>
      </c>
      <c r="C1173" s="263" t="s">
        <v>696</v>
      </c>
      <c r="D1173" s="157" t="s">
        <v>697</v>
      </c>
      <c r="E1173" s="44">
        <f t="shared" si="85"/>
        <v>43353</v>
      </c>
      <c r="F1173" s="146" t="str">
        <f t="shared" si="86"/>
        <v>2018-19</v>
      </c>
      <c r="G1173" s="1"/>
      <c r="H1173" s="161"/>
      <c r="I1173" s="37"/>
      <c r="J1173" s="135">
        <f t="shared" si="82"/>
        <v>0.76382508261777382</v>
      </c>
      <c r="K1173" s="112"/>
      <c r="L1173" s="37">
        <v>76.814056535299997</v>
      </c>
      <c r="M1173" s="37" t="s">
        <v>288</v>
      </c>
      <c r="N1173" s="37">
        <v>812.22926829268283</v>
      </c>
      <c r="O1173" s="130">
        <f t="shared" si="83"/>
        <v>62390.624934259489</v>
      </c>
      <c r="P1173" s="132">
        <f t="shared" si="84"/>
        <v>1462.3756937624084</v>
      </c>
      <c r="Q1173" s="261">
        <v>3.0686383518617813E-2</v>
      </c>
      <c r="R1173" s="92"/>
    </row>
    <row r="1174" spans="1:18" x14ac:dyDescent="0.25">
      <c r="A1174" s="353">
        <v>43353</v>
      </c>
      <c r="B1174" s="353" t="s">
        <v>285</v>
      </c>
      <c r="C1174" s="263" t="s">
        <v>696</v>
      </c>
      <c r="D1174" s="157" t="s">
        <v>697</v>
      </c>
      <c r="E1174" s="44">
        <f t="shared" si="85"/>
        <v>43353</v>
      </c>
      <c r="F1174" s="146" t="str">
        <f t="shared" si="86"/>
        <v>2018-19</v>
      </c>
      <c r="G1174" s="1"/>
      <c r="H1174" s="161"/>
      <c r="I1174" s="37"/>
      <c r="J1174" s="135">
        <f t="shared" si="82"/>
        <v>0.76382508261777382</v>
      </c>
      <c r="K1174" s="112"/>
      <c r="L1174" s="37">
        <v>56.654786655800002</v>
      </c>
      <c r="M1174" s="37" t="s">
        <v>288</v>
      </c>
      <c r="N1174" s="37">
        <v>812.22926829268283</v>
      </c>
      <c r="O1174" s="130">
        <f t="shared" si="83"/>
        <v>46016.675910718484</v>
      </c>
      <c r="P1174" s="132">
        <f t="shared" si="84"/>
        <v>1078.5862207740931</v>
      </c>
      <c r="Q1174" s="261">
        <v>3.0686383518617813E-2</v>
      </c>
      <c r="R1174" s="92"/>
    </row>
    <row r="1175" spans="1:18" x14ac:dyDescent="0.25">
      <c r="A1175" s="353">
        <v>43353</v>
      </c>
      <c r="B1175" s="353" t="s">
        <v>285</v>
      </c>
      <c r="C1175" s="263" t="s">
        <v>696</v>
      </c>
      <c r="D1175" s="157" t="s">
        <v>697</v>
      </c>
      <c r="E1175" s="44">
        <f t="shared" si="85"/>
        <v>43353</v>
      </c>
      <c r="F1175" s="146" t="str">
        <f t="shared" si="86"/>
        <v>2018-19</v>
      </c>
      <c r="G1175" s="1"/>
      <c r="H1175" s="161"/>
      <c r="I1175" s="37"/>
      <c r="J1175" s="135">
        <f t="shared" si="82"/>
        <v>0.76382508261777382</v>
      </c>
      <c r="K1175" s="112"/>
      <c r="L1175" s="37">
        <v>67.431260411899999</v>
      </c>
      <c r="M1175" s="37" t="s">
        <v>288</v>
      </c>
      <c r="N1175" s="37">
        <v>812.22926829268283</v>
      </c>
      <c r="O1175" s="130">
        <f t="shared" si="83"/>
        <v>54769.643304410885</v>
      </c>
      <c r="P1175" s="132">
        <f t="shared" si="84"/>
        <v>1283.7472810827221</v>
      </c>
      <c r="Q1175" s="261">
        <v>3.0686383518617813E-2</v>
      </c>
      <c r="R1175" s="92"/>
    </row>
    <row r="1176" spans="1:18" x14ac:dyDescent="0.25">
      <c r="A1176" s="353">
        <v>43353</v>
      </c>
      <c r="B1176" s="353" t="s">
        <v>285</v>
      </c>
      <c r="C1176" s="263" t="s">
        <v>696</v>
      </c>
      <c r="D1176" s="157" t="s">
        <v>697</v>
      </c>
      <c r="E1176" s="44">
        <f t="shared" si="85"/>
        <v>43353</v>
      </c>
      <c r="F1176" s="146" t="str">
        <f t="shared" si="86"/>
        <v>2018-19</v>
      </c>
      <c r="G1176" s="1"/>
      <c r="H1176" s="161"/>
      <c r="I1176" s="37"/>
      <c r="J1176" s="135">
        <f t="shared" si="82"/>
        <v>0.76382508261777382</v>
      </c>
      <c r="K1176" s="112"/>
      <c r="L1176" s="37">
        <v>98.423087476700005</v>
      </c>
      <c r="M1176" s="37" t="s">
        <v>288</v>
      </c>
      <c r="N1176" s="37">
        <v>812.22926829268283</v>
      </c>
      <c r="O1176" s="130">
        <f t="shared" si="83"/>
        <v>79942.112324306756</v>
      </c>
      <c r="P1176" s="132">
        <f t="shared" si="84"/>
        <v>1873.7655231739186</v>
      </c>
      <c r="Q1176" s="261">
        <v>3.0686383518617813E-2</v>
      </c>
      <c r="R1176" s="92"/>
    </row>
    <row r="1177" spans="1:18" x14ac:dyDescent="0.25">
      <c r="A1177" s="353">
        <v>43353</v>
      </c>
      <c r="B1177" s="353" t="s">
        <v>285</v>
      </c>
      <c r="C1177" s="263" t="s">
        <v>696</v>
      </c>
      <c r="D1177" s="157" t="s">
        <v>697</v>
      </c>
      <c r="E1177" s="44">
        <f t="shared" si="85"/>
        <v>43353</v>
      </c>
      <c r="F1177" s="146" t="str">
        <f t="shared" si="86"/>
        <v>2018-19</v>
      </c>
      <c r="G1177" s="1"/>
      <c r="H1177" s="161"/>
      <c r="I1177" s="37"/>
      <c r="J1177" s="135">
        <f t="shared" si="82"/>
        <v>0.76382508261777382</v>
      </c>
      <c r="K1177" s="112"/>
      <c r="L1177" s="37">
        <v>88.284275662699997</v>
      </c>
      <c r="M1177" s="37" t="s">
        <v>288</v>
      </c>
      <c r="N1177" s="37">
        <v>812.22926829268283</v>
      </c>
      <c r="O1177" s="130">
        <f t="shared" si="83"/>
        <v>71707.072623264321</v>
      </c>
      <c r="P1177" s="132">
        <f t="shared" si="84"/>
        <v>1680.7441852940333</v>
      </c>
      <c r="Q1177" s="261">
        <v>3.0686383518617813E-2</v>
      </c>
      <c r="R1177" s="92"/>
    </row>
    <row r="1178" spans="1:18" x14ac:dyDescent="0.25">
      <c r="A1178" s="353">
        <v>43353</v>
      </c>
      <c r="B1178" s="353" t="s">
        <v>285</v>
      </c>
      <c r="C1178" s="263" t="s">
        <v>696</v>
      </c>
      <c r="D1178" s="157" t="s">
        <v>697</v>
      </c>
      <c r="E1178" s="44">
        <f t="shared" si="85"/>
        <v>43353</v>
      </c>
      <c r="F1178" s="146" t="str">
        <f t="shared" si="86"/>
        <v>2018-19</v>
      </c>
      <c r="G1178" s="1"/>
      <c r="H1178" s="161"/>
      <c r="I1178" s="37"/>
      <c r="J1178" s="135">
        <f t="shared" ref="J1178:J1241" si="87">J1177</f>
        <v>0.76382508261777382</v>
      </c>
      <c r="K1178" s="112"/>
      <c r="L1178" s="37">
        <v>55.654001760900002</v>
      </c>
      <c r="M1178" s="37" t="s">
        <v>288</v>
      </c>
      <c r="N1178" s="37">
        <v>950.87219512195099</v>
      </c>
      <c r="O1178" s="130">
        <f t="shared" ref="O1178:O1241" si="88">IF(N1178="","-",L1178*N1178)</f>
        <v>52919.842821707913</v>
      </c>
      <c r="P1178" s="132">
        <f t="shared" ref="P1178:P1241" si="89">IF(O1178="-","-",IF(OR(E1178&lt;$E$15,E1178&gt;$E$16),0,O1178*J1178))*Q1178</f>
        <v>1240.3897531357727</v>
      </c>
      <c r="Q1178" s="261">
        <v>3.0686383518617813E-2</v>
      </c>
      <c r="R1178" s="92"/>
    </row>
    <row r="1179" spans="1:18" x14ac:dyDescent="0.25">
      <c r="A1179" s="353">
        <v>43353</v>
      </c>
      <c r="B1179" s="353" t="s">
        <v>285</v>
      </c>
      <c r="C1179" s="263" t="s">
        <v>696</v>
      </c>
      <c r="D1179" s="157" t="s">
        <v>697</v>
      </c>
      <c r="E1179" s="44">
        <f t="shared" ref="E1179:E1242" si="90">IF(VALUE(A1179)&lt;2022,DATEVALUE("30 Jun "&amp;A1179),A1179)</f>
        <v>43353</v>
      </c>
      <c r="F1179" s="146" t="str">
        <f t="shared" si="86"/>
        <v>2018-19</v>
      </c>
      <c r="G1179" s="1"/>
      <c r="H1179" s="161"/>
      <c r="I1179" s="37"/>
      <c r="J1179" s="135">
        <f t="shared" si="87"/>
        <v>0.76382508261777382</v>
      </c>
      <c r="K1179" s="112"/>
      <c r="L1179" s="37">
        <v>29.0365012687</v>
      </c>
      <c r="M1179" s="37" t="s">
        <v>288</v>
      </c>
      <c r="N1179" s="37">
        <v>3336.4019512195118</v>
      </c>
      <c r="O1179" s="130">
        <f t="shared" si="88"/>
        <v>96877.439489478507</v>
      </c>
      <c r="P1179" s="132">
        <f t="shared" si="89"/>
        <v>2270.7131549432261</v>
      </c>
      <c r="Q1179" s="261">
        <v>3.0686383518617813E-2</v>
      </c>
      <c r="R1179" s="92"/>
    </row>
    <row r="1180" spans="1:18" x14ac:dyDescent="0.25">
      <c r="A1180" s="353">
        <v>43353</v>
      </c>
      <c r="B1180" s="353" t="s">
        <v>285</v>
      </c>
      <c r="C1180" s="263" t="s">
        <v>696</v>
      </c>
      <c r="D1180" s="157" t="s">
        <v>697</v>
      </c>
      <c r="E1180" s="44">
        <f t="shared" si="90"/>
        <v>43353</v>
      </c>
      <c r="F1180" s="146" t="str">
        <f t="shared" si="86"/>
        <v>2018-19</v>
      </c>
      <c r="G1180" s="1"/>
      <c r="H1180" s="161"/>
      <c r="I1180" s="37"/>
      <c r="J1180" s="135">
        <f t="shared" si="87"/>
        <v>0.76382508261777382</v>
      </c>
      <c r="K1180" s="112"/>
      <c r="L1180" s="37">
        <v>61.459693661800003</v>
      </c>
      <c r="M1180" s="37" t="s">
        <v>288</v>
      </c>
      <c r="N1180" s="37">
        <v>950.87219512195099</v>
      </c>
      <c r="O1180" s="130">
        <f t="shared" si="88"/>
        <v>58440.313823718425</v>
      </c>
      <c r="P1180" s="132">
        <f t="shared" si="89"/>
        <v>1369.784235399203</v>
      </c>
      <c r="Q1180" s="261">
        <v>3.0686383518617813E-2</v>
      </c>
      <c r="R1180" s="92"/>
    </row>
    <row r="1181" spans="1:18" x14ac:dyDescent="0.25">
      <c r="A1181" s="353">
        <v>43353</v>
      </c>
      <c r="B1181" s="353" t="s">
        <v>285</v>
      </c>
      <c r="C1181" s="263" t="s">
        <v>696</v>
      </c>
      <c r="D1181" s="157" t="s">
        <v>697</v>
      </c>
      <c r="E1181" s="44">
        <f t="shared" si="90"/>
        <v>43353</v>
      </c>
      <c r="F1181" s="146" t="str">
        <f t="shared" si="86"/>
        <v>2018-19</v>
      </c>
      <c r="G1181" s="1"/>
      <c r="H1181" s="161"/>
      <c r="I1181" s="37"/>
      <c r="J1181" s="135">
        <f t="shared" si="87"/>
        <v>0.76382508261777382</v>
      </c>
      <c r="K1181" s="112"/>
      <c r="L1181" s="37">
        <v>22.648431940599998</v>
      </c>
      <c r="M1181" s="37" t="s">
        <v>288</v>
      </c>
      <c r="N1181" s="37">
        <v>812.22926829268283</v>
      </c>
      <c r="O1181" s="130">
        <f t="shared" si="88"/>
        <v>18395.719303090162</v>
      </c>
      <c r="P1181" s="132">
        <f t="shared" si="89"/>
        <v>431.1778060639856</v>
      </c>
      <c r="Q1181" s="261">
        <v>3.0686383518617813E-2</v>
      </c>
      <c r="R1181" s="92"/>
    </row>
    <row r="1182" spans="1:18" x14ac:dyDescent="0.25">
      <c r="A1182" s="353">
        <v>43353</v>
      </c>
      <c r="B1182" s="353" t="s">
        <v>285</v>
      </c>
      <c r="C1182" s="263" t="s">
        <v>696</v>
      </c>
      <c r="D1182" s="157" t="s">
        <v>697</v>
      </c>
      <c r="E1182" s="44">
        <f t="shared" si="90"/>
        <v>43353</v>
      </c>
      <c r="F1182" s="146" t="str">
        <f t="shared" si="86"/>
        <v>2018-19</v>
      </c>
      <c r="G1182" s="1"/>
      <c r="H1182" s="161"/>
      <c r="I1182" s="37"/>
      <c r="J1182" s="135">
        <f t="shared" si="87"/>
        <v>0.76382508261777382</v>
      </c>
      <c r="K1182" s="112"/>
      <c r="L1182" s="37">
        <v>23.517364607800001</v>
      </c>
      <c r="M1182" s="37" t="s">
        <v>288</v>
      </c>
      <c r="N1182" s="37">
        <v>812.22926829268283</v>
      </c>
      <c r="O1182" s="130">
        <f t="shared" si="88"/>
        <v>19101.49184756563</v>
      </c>
      <c r="P1182" s="132">
        <f t="shared" si="89"/>
        <v>447.72042950225523</v>
      </c>
      <c r="Q1182" s="261">
        <v>3.0686383518617813E-2</v>
      </c>
      <c r="R1182" s="92"/>
    </row>
    <row r="1183" spans="1:18" x14ac:dyDescent="0.25">
      <c r="A1183" s="353">
        <v>43353</v>
      </c>
      <c r="B1183" s="353" t="s">
        <v>285</v>
      </c>
      <c r="C1183" s="263" t="s">
        <v>696</v>
      </c>
      <c r="D1183" s="157" t="s">
        <v>697</v>
      </c>
      <c r="E1183" s="44">
        <f t="shared" si="90"/>
        <v>43353</v>
      </c>
      <c r="F1183" s="146" t="str">
        <f t="shared" si="86"/>
        <v>2018-19</v>
      </c>
      <c r="G1183" s="1"/>
      <c r="H1183" s="161"/>
      <c r="I1183" s="37"/>
      <c r="J1183" s="135">
        <f t="shared" si="87"/>
        <v>0.76382508261777382</v>
      </c>
      <c r="K1183" s="112"/>
      <c r="L1183" s="37">
        <v>18.099864226000001</v>
      </c>
      <c r="M1183" s="37" t="s">
        <v>288</v>
      </c>
      <c r="N1183" s="37">
        <v>950.87219512195099</v>
      </c>
      <c r="O1183" s="130">
        <f t="shared" si="88"/>
        <v>17210.657627985893</v>
      </c>
      <c r="P1183" s="132">
        <f t="shared" si="89"/>
        <v>403.4011105891783</v>
      </c>
      <c r="Q1183" s="261">
        <v>3.0686383518617813E-2</v>
      </c>
      <c r="R1183" s="92"/>
    </row>
    <row r="1184" spans="1:18" x14ac:dyDescent="0.25">
      <c r="A1184" s="353">
        <v>43353</v>
      </c>
      <c r="B1184" s="353" t="s">
        <v>285</v>
      </c>
      <c r="C1184" s="263" t="s">
        <v>696</v>
      </c>
      <c r="D1184" s="157" t="s">
        <v>697</v>
      </c>
      <c r="E1184" s="44">
        <f t="shared" si="90"/>
        <v>43353</v>
      </c>
      <c r="F1184" s="146" t="str">
        <f t="shared" si="86"/>
        <v>2018-19</v>
      </c>
      <c r="G1184" s="1"/>
      <c r="H1184" s="161"/>
      <c r="I1184" s="37"/>
      <c r="J1184" s="135">
        <f t="shared" si="87"/>
        <v>0.76382508261777382</v>
      </c>
      <c r="K1184" s="112"/>
      <c r="L1184" s="37">
        <v>3.7242494545899998</v>
      </c>
      <c r="M1184" s="37" t="s">
        <v>288</v>
      </c>
      <c r="N1184" s="37">
        <v>1162.6195121951216</v>
      </c>
      <c r="O1184" s="130">
        <f t="shared" si="88"/>
        <v>4329.8850841883732</v>
      </c>
      <c r="P1184" s="132">
        <f t="shared" si="89"/>
        <v>101.48830390100065</v>
      </c>
      <c r="Q1184" s="261">
        <v>3.0686383518617813E-2</v>
      </c>
      <c r="R1184" s="92"/>
    </row>
    <row r="1185" spans="1:18" x14ac:dyDescent="0.25">
      <c r="A1185" s="353">
        <v>43353</v>
      </c>
      <c r="B1185" s="353" t="s">
        <v>285</v>
      </c>
      <c r="C1185" s="263" t="s">
        <v>696</v>
      </c>
      <c r="D1185" s="157" t="s">
        <v>697</v>
      </c>
      <c r="E1185" s="44">
        <f t="shared" si="90"/>
        <v>43353</v>
      </c>
      <c r="F1185" s="146" t="str">
        <f t="shared" si="86"/>
        <v>2018-19</v>
      </c>
      <c r="G1185" s="1"/>
      <c r="H1185" s="161"/>
      <c r="I1185" s="37"/>
      <c r="J1185" s="135">
        <f t="shared" si="87"/>
        <v>0.76382508261777382</v>
      </c>
      <c r="K1185" s="112"/>
      <c r="L1185" s="37">
        <v>9.8543534596600004</v>
      </c>
      <c r="M1185" s="37" t="s">
        <v>288</v>
      </c>
      <c r="N1185" s="37">
        <v>950.87219512195099</v>
      </c>
      <c r="O1185" s="130">
        <f t="shared" si="88"/>
        <v>9370.2307056944974</v>
      </c>
      <c r="P1185" s="132">
        <f t="shared" si="89"/>
        <v>219.62911324245175</v>
      </c>
      <c r="Q1185" s="261">
        <v>3.0686383518617813E-2</v>
      </c>
      <c r="R1185" s="92"/>
    </row>
    <row r="1186" spans="1:18" x14ac:dyDescent="0.25">
      <c r="A1186" s="353">
        <v>43353</v>
      </c>
      <c r="B1186" s="353" t="s">
        <v>285</v>
      </c>
      <c r="C1186" s="263" t="s">
        <v>696</v>
      </c>
      <c r="D1186" s="157" t="s">
        <v>697</v>
      </c>
      <c r="E1186" s="44">
        <f t="shared" si="90"/>
        <v>43353</v>
      </c>
      <c r="F1186" s="146" t="str">
        <f t="shared" si="86"/>
        <v>2018-19</v>
      </c>
      <c r="G1186" s="1"/>
      <c r="H1186" s="161"/>
      <c r="I1186" s="37"/>
      <c r="J1186" s="135">
        <f t="shared" si="87"/>
        <v>0.76382508261777382</v>
      </c>
      <c r="K1186" s="112"/>
      <c r="L1186" s="37">
        <v>72.1710934356</v>
      </c>
      <c r="M1186" s="37" t="s">
        <v>288</v>
      </c>
      <c r="N1186" s="37">
        <v>812.22926829268283</v>
      </c>
      <c r="O1186" s="130">
        <f t="shared" si="88"/>
        <v>58619.474413080236</v>
      </c>
      <c r="P1186" s="132">
        <f t="shared" si="89"/>
        <v>1373.9835857252965</v>
      </c>
      <c r="Q1186" s="261">
        <v>3.0686383518617813E-2</v>
      </c>
      <c r="R1186" s="92"/>
    </row>
    <row r="1187" spans="1:18" x14ac:dyDescent="0.25">
      <c r="A1187" s="353">
        <v>43353</v>
      </c>
      <c r="B1187" s="353" t="s">
        <v>285</v>
      </c>
      <c r="C1187" s="263" t="s">
        <v>696</v>
      </c>
      <c r="D1187" s="157" t="s">
        <v>697</v>
      </c>
      <c r="E1187" s="44">
        <f t="shared" si="90"/>
        <v>43353</v>
      </c>
      <c r="F1187" s="146" t="str">
        <f t="shared" si="86"/>
        <v>2018-19</v>
      </c>
      <c r="G1187" s="1"/>
      <c r="H1187" s="161"/>
      <c r="I1187" s="37"/>
      <c r="J1187" s="135">
        <f t="shared" si="87"/>
        <v>0.76382508261777382</v>
      </c>
      <c r="K1187" s="112"/>
      <c r="L1187" s="37">
        <v>23.062121202299998</v>
      </c>
      <c r="M1187" s="37" t="s">
        <v>288</v>
      </c>
      <c r="N1187" s="37">
        <v>3592.3639024390236</v>
      </c>
      <c r="O1187" s="130">
        <f t="shared" si="88"/>
        <v>82847.531720816172</v>
      </c>
      <c r="P1187" s="132">
        <f t="shared" si="89"/>
        <v>1941.8657339045878</v>
      </c>
      <c r="Q1187" s="261">
        <v>3.0686383518617813E-2</v>
      </c>
      <c r="R1187" s="92"/>
    </row>
    <row r="1188" spans="1:18" x14ac:dyDescent="0.25">
      <c r="A1188" s="353">
        <v>43353</v>
      </c>
      <c r="B1188" s="353" t="s">
        <v>285</v>
      </c>
      <c r="C1188" s="263" t="s">
        <v>696</v>
      </c>
      <c r="D1188" s="157" t="s">
        <v>697</v>
      </c>
      <c r="E1188" s="44">
        <f t="shared" si="90"/>
        <v>43353</v>
      </c>
      <c r="F1188" s="146" t="str">
        <f t="shared" si="86"/>
        <v>2018-19</v>
      </c>
      <c r="G1188" s="1"/>
      <c r="H1188" s="161"/>
      <c r="I1188" s="37"/>
      <c r="J1188" s="135">
        <f t="shared" si="87"/>
        <v>0.76382508261777382</v>
      </c>
      <c r="K1188" s="112"/>
      <c r="L1188" s="37">
        <v>25.743360448499999</v>
      </c>
      <c r="M1188" s="37" t="s">
        <v>288</v>
      </c>
      <c r="N1188" s="37">
        <v>950.87219512195099</v>
      </c>
      <c r="O1188" s="130">
        <f t="shared" si="88"/>
        <v>24478.645659480808</v>
      </c>
      <c r="P1188" s="132">
        <f t="shared" si="89"/>
        <v>573.75569592973955</v>
      </c>
      <c r="Q1188" s="261">
        <v>3.0686383518617813E-2</v>
      </c>
      <c r="R1188" s="92"/>
    </row>
    <row r="1189" spans="1:18" x14ac:dyDescent="0.25">
      <c r="A1189" s="353">
        <v>43353</v>
      </c>
      <c r="B1189" s="353" t="s">
        <v>285</v>
      </c>
      <c r="C1189" s="263" t="s">
        <v>696</v>
      </c>
      <c r="D1189" s="157" t="s">
        <v>697</v>
      </c>
      <c r="E1189" s="44">
        <f t="shared" si="90"/>
        <v>43353</v>
      </c>
      <c r="F1189" s="146" t="str">
        <f t="shared" si="86"/>
        <v>2018-19</v>
      </c>
      <c r="G1189" s="1"/>
      <c r="H1189" s="161"/>
      <c r="I1189" s="37"/>
      <c r="J1189" s="135">
        <f t="shared" si="87"/>
        <v>0.76382508261777382</v>
      </c>
      <c r="K1189" s="112"/>
      <c r="L1189" s="37">
        <v>13.681888947999999</v>
      </c>
      <c r="M1189" s="37" t="s">
        <v>288</v>
      </c>
      <c r="N1189" s="37">
        <v>950.87219512195099</v>
      </c>
      <c r="O1189" s="130">
        <f t="shared" si="88"/>
        <v>13009.727777399519</v>
      </c>
      <c r="P1189" s="132">
        <f t="shared" si="89"/>
        <v>304.93539220325658</v>
      </c>
      <c r="Q1189" s="261">
        <v>3.0686383518617813E-2</v>
      </c>
      <c r="R1189" s="92"/>
    </row>
    <row r="1190" spans="1:18" x14ac:dyDescent="0.25">
      <c r="A1190" s="353">
        <v>43353</v>
      </c>
      <c r="B1190" s="353" t="s">
        <v>285</v>
      </c>
      <c r="C1190" s="263" t="s">
        <v>696</v>
      </c>
      <c r="D1190" s="157" t="s">
        <v>697</v>
      </c>
      <c r="E1190" s="44">
        <f t="shared" si="90"/>
        <v>43353</v>
      </c>
      <c r="F1190" s="146" t="str">
        <f t="shared" si="86"/>
        <v>2018-19</v>
      </c>
      <c r="G1190" s="1"/>
      <c r="H1190" s="161"/>
      <c r="I1190" s="37"/>
      <c r="J1190" s="135">
        <f t="shared" si="87"/>
        <v>0.76382508261777382</v>
      </c>
      <c r="K1190" s="112"/>
      <c r="L1190" s="37">
        <v>5.6378819785000003</v>
      </c>
      <c r="M1190" s="37" t="s">
        <v>288</v>
      </c>
      <c r="N1190" s="37">
        <v>812.22926829268283</v>
      </c>
      <c r="O1190" s="130">
        <f t="shared" si="88"/>
        <v>4579.2527541175587</v>
      </c>
      <c r="P1190" s="132">
        <f t="shared" si="89"/>
        <v>107.3332400544509</v>
      </c>
      <c r="Q1190" s="261">
        <v>3.0686383518617813E-2</v>
      </c>
      <c r="R1190" s="92"/>
    </row>
    <row r="1191" spans="1:18" x14ac:dyDescent="0.25">
      <c r="A1191" s="353">
        <v>43353</v>
      </c>
      <c r="B1191" s="353" t="s">
        <v>285</v>
      </c>
      <c r="C1191" s="263" t="s">
        <v>696</v>
      </c>
      <c r="D1191" s="157" t="s">
        <v>697</v>
      </c>
      <c r="E1191" s="44">
        <f t="shared" si="90"/>
        <v>43353</v>
      </c>
      <c r="F1191" s="146" t="str">
        <f t="shared" si="86"/>
        <v>2018-19</v>
      </c>
      <c r="G1191" s="1"/>
      <c r="H1191" s="161"/>
      <c r="I1191" s="37"/>
      <c r="J1191" s="135">
        <f t="shared" si="87"/>
        <v>0.76382508261777382</v>
      </c>
      <c r="K1191" s="112"/>
      <c r="L1191" s="37">
        <v>5.1042433327600003</v>
      </c>
      <c r="M1191" s="37" t="s">
        <v>288</v>
      </c>
      <c r="N1191" s="37">
        <v>812.22926829268283</v>
      </c>
      <c r="O1191" s="130">
        <f t="shared" si="88"/>
        <v>4145.81582735546</v>
      </c>
      <c r="P1191" s="132">
        <f t="shared" si="89"/>
        <v>97.173899173607822</v>
      </c>
      <c r="Q1191" s="261">
        <v>3.0686383518617813E-2</v>
      </c>
      <c r="R1191" s="92"/>
    </row>
    <row r="1192" spans="1:18" x14ac:dyDescent="0.25">
      <c r="A1192" s="353">
        <v>43353</v>
      </c>
      <c r="B1192" s="353" t="s">
        <v>285</v>
      </c>
      <c r="C1192" s="263" t="s">
        <v>696</v>
      </c>
      <c r="D1192" s="157" t="s">
        <v>697</v>
      </c>
      <c r="E1192" s="44">
        <f t="shared" si="90"/>
        <v>43353</v>
      </c>
      <c r="F1192" s="146" t="str">
        <f t="shared" si="86"/>
        <v>2018-19</v>
      </c>
      <c r="G1192" s="1"/>
      <c r="H1192" s="161"/>
      <c r="I1192" s="37"/>
      <c r="J1192" s="135">
        <f t="shared" si="87"/>
        <v>0.76382508261777382</v>
      </c>
      <c r="K1192" s="112"/>
      <c r="L1192" s="37">
        <v>21.900967435599998</v>
      </c>
      <c r="M1192" s="37" t="s">
        <v>288</v>
      </c>
      <c r="N1192" s="37">
        <v>812.22926829268283</v>
      </c>
      <c r="O1192" s="130">
        <f t="shared" si="88"/>
        <v>17788.606755119261</v>
      </c>
      <c r="P1192" s="132">
        <f t="shared" si="89"/>
        <v>416.94767718698995</v>
      </c>
      <c r="Q1192" s="261">
        <v>3.0686383518617813E-2</v>
      </c>
      <c r="R1192" s="92"/>
    </row>
    <row r="1193" spans="1:18" x14ac:dyDescent="0.25">
      <c r="A1193" s="353">
        <v>43353</v>
      </c>
      <c r="B1193" s="353" t="s">
        <v>285</v>
      </c>
      <c r="C1193" s="263" t="s">
        <v>696</v>
      </c>
      <c r="D1193" s="157" t="s">
        <v>697</v>
      </c>
      <c r="E1193" s="44">
        <f t="shared" si="90"/>
        <v>43353</v>
      </c>
      <c r="F1193" s="146" t="str">
        <f t="shared" si="86"/>
        <v>2018-19</v>
      </c>
      <c r="G1193" s="1"/>
      <c r="H1193" s="161"/>
      <c r="I1193" s="37"/>
      <c r="J1193" s="135">
        <f t="shared" si="87"/>
        <v>0.76382508261777382</v>
      </c>
      <c r="K1193" s="112"/>
      <c r="L1193" s="37">
        <v>24.186511386900001</v>
      </c>
      <c r="M1193" s="37" t="s">
        <v>288</v>
      </c>
      <c r="N1193" s="37">
        <v>3336.4019512195118</v>
      </c>
      <c r="O1193" s="130">
        <f t="shared" si="88"/>
        <v>80695.923784446102</v>
      </c>
      <c r="P1193" s="132">
        <f t="shared" si="89"/>
        <v>1891.4341321700438</v>
      </c>
      <c r="Q1193" s="261">
        <v>3.0686383518617813E-2</v>
      </c>
      <c r="R1193" s="92"/>
    </row>
    <row r="1194" spans="1:18" x14ac:dyDescent="0.25">
      <c r="A1194" s="353">
        <v>43353</v>
      </c>
      <c r="B1194" s="353" t="s">
        <v>285</v>
      </c>
      <c r="C1194" s="263" t="s">
        <v>696</v>
      </c>
      <c r="D1194" s="157" t="s">
        <v>697</v>
      </c>
      <c r="E1194" s="44">
        <f t="shared" si="90"/>
        <v>43353</v>
      </c>
      <c r="F1194" s="146" t="str">
        <f t="shared" si="86"/>
        <v>2018-19</v>
      </c>
      <c r="G1194" s="1"/>
      <c r="H1194" s="161"/>
      <c r="I1194" s="37"/>
      <c r="J1194" s="135">
        <f t="shared" si="87"/>
        <v>0.76382508261777382</v>
      </c>
      <c r="K1194" s="112"/>
      <c r="L1194" s="37">
        <v>2.6071810447299999</v>
      </c>
      <c r="M1194" s="37" t="s">
        <v>288</v>
      </c>
      <c r="N1194" s="37">
        <v>812.22926829268283</v>
      </c>
      <c r="O1194" s="130">
        <f t="shared" si="88"/>
        <v>2117.6287522676002</v>
      </c>
      <c r="P1194" s="132">
        <f t="shared" si="89"/>
        <v>49.635162638482882</v>
      </c>
      <c r="Q1194" s="261">
        <v>3.0686383518617813E-2</v>
      </c>
      <c r="R1194" s="92"/>
    </row>
    <row r="1195" spans="1:18" x14ac:dyDescent="0.25">
      <c r="A1195" s="353">
        <v>43353</v>
      </c>
      <c r="B1195" s="353" t="s">
        <v>285</v>
      </c>
      <c r="C1195" s="263" t="s">
        <v>696</v>
      </c>
      <c r="D1195" s="157" t="s">
        <v>697</v>
      </c>
      <c r="E1195" s="44">
        <f t="shared" si="90"/>
        <v>43353</v>
      </c>
      <c r="F1195" s="146" t="str">
        <f t="shared" si="86"/>
        <v>2018-19</v>
      </c>
      <c r="G1195" s="1"/>
      <c r="H1195" s="161"/>
      <c r="I1195" s="37"/>
      <c r="J1195" s="135">
        <f t="shared" si="87"/>
        <v>0.76382508261777382</v>
      </c>
      <c r="K1195" s="112"/>
      <c r="L1195" s="37">
        <v>98.2271883242</v>
      </c>
      <c r="M1195" s="37" t="s">
        <v>288</v>
      </c>
      <c r="N1195" s="37">
        <v>812.22926829268283</v>
      </c>
      <c r="O1195" s="130">
        <f t="shared" si="88"/>
        <v>79782.997299012524</v>
      </c>
      <c r="P1195" s="132">
        <f t="shared" si="89"/>
        <v>1870.036021413873</v>
      </c>
      <c r="Q1195" s="261">
        <v>3.0686383518617813E-2</v>
      </c>
      <c r="R1195" s="92"/>
    </row>
    <row r="1196" spans="1:18" x14ac:dyDescent="0.25">
      <c r="A1196" s="353">
        <v>43353</v>
      </c>
      <c r="B1196" s="353" t="s">
        <v>285</v>
      </c>
      <c r="C1196" s="263" t="s">
        <v>696</v>
      </c>
      <c r="D1196" s="157" t="s">
        <v>697</v>
      </c>
      <c r="E1196" s="44">
        <f t="shared" si="90"/>
        <v>43353</v>
      </c>
      <c r="F1196" s="146" t="str">
        <f t="shared" si="86"/>
        <v>2018-19</v>
      </c>
      <c r="G1196" s="1"/>
      <c r="H1196" s="161"/>
      <c r="I1196" s="37"/>
      <c r="J1196" s="135">
        <f t="shared" si="87"/>
        <v>0.76382508261777382</v>
      </c>
      <c r="K1196" s="112"/>
      <c r="L1196" s="37">
        <v>110.44967522499999</v>
      </c>
      <c r="M1196" s="37" t="s">
        <v>288</v>
      </c>
      <c r="N1196" s="37">
        <v>812.22926829268283</v>
      </c>
      <c r="O1196" s="130">
        <f t="shared" si="88"/>
        <v>89710.458891166199</v>
      </c>
      <c r="P1196" s="132">
        <f t="shared" si="89"/>
        <v>2102.7260858013119</v>
      </c>
      <c r="Q1196" s="261">
        <v>3.0686383518617813E-2</v>
      </c>
      <c r="R1196" s="92"/>
    </row>
    <row r="1197" spans="1:18" x14ac:dyDescent="0.25">
      <c r="A1197" s="353">
        <v>43353</v>
      </c>
      <c r="B1197" s="353" t="s">
        <v>285</v>
      </c>
      <c r="C1197" s="263" t="s">
        <v>696</v>
      </c>
      <c r="D1197" s="157" t="s">
        <v>697</v>
      </c>
      <c r="E1197" s="44">
        <f t="shared" si="90"/>
        <v>43353</v>
      </c>
      <c r="F1197" s="146" t="str">
        <f t="shared" si="86"/>
        <v>2018-19</v>
      </c>
      <c r="G1197" s="1"/>
      <c r="H1197" s="161"/>
      <c r="I1197" s="37"/>
      <c r="J1197" s="135">
        <f t="shared" si="87"/>
        <v>0.76382508261777382</v>
      </c>
      <c r="K1197" s="112"/>
      <c r="L1197" s="37">
        <v>78.024108842000004</v>
      </c>
      <c r="M1197" s="37" t="s">
        <v>288</v>
      </c>
      <c r="N1197" s="37">
        <v>3336.4019512195118</v>
      </c>
      <c r="O1197" s="130">
        <f t="shared" si="88"/>
        <v>260319.78898261237</v>
      </c>
      <c r="P1197" s="132">
        <f t="shared" si="89"/>
        <v>6101.6431942243989</v>
      </c>
      <c r="Q1197" s="261">
        <v>3.0686383518617813E-2</v>
      </c>
      <c r="R1197" s="92"/>
    </row>
    <row r="1198" spans="1:18" x14ac:dyDescent="0.25">
      <c r="A1198" s="353">
        <v>43353</v>
      </c>
      <c r="B1198" s="353" t="s">
        <v>285</v>
      </c>
      <c r="C1198" s="263" t="s">
        <v>696</v>
      </c>
      <c r="D1198" s="157" t="s">
        <v>697</v>
      </c>
      <c r="E1198" s="44">
        <f t="shared" si="90"/>
        <v>43353</v>
      </c>
      <c r="F1198" s="146" t="str">
        <f t="shared" si="86"/>
        <v>2018-19</v>
      </c>
      <c r="G1198" s="1"/>
      <c r="H1198" s="161"/>
      <c r="I1198" s="37"/>
      <c r="J1198" s="135">
        <f t="shared" si="87"/>
        <v>0.76382508261777382</v>
      </c>
      <c r="K1198" s="112"/>
      <c r="L1198" s="37">
        <v>15.853949245900001</v>
      </c>
      <c r="M1198" s="37" t="s">
        <v>288</v>
      </c>
      <c r="N1198" s="37">
        <v>3336.4019512195118</v>
      </c>
      <c r="O1198" s="130">
        <f t="shared" si="88"/>
        <v>52895.147198555875</v>
      </c>
      <c r="P1198" s="132">
        <f t="shared" si="89"/>
        <v>1239.8109116980102</v>
      </c>
      <c r="Q1198" s="261">
        <v>3.0686383518617813E-2</v>
      </c>
      <c r="R1198" s="92"/>
    </row>
    <row r="1199" spans="1:18" x14ac:dyDescent="0.25">
      <c r="A1199" s="353">
        <v>43353</v>
      </c>
      <c r="B1199" s="353" t="s">
        <v>285</v>
      </c>
      <c r="C1199" s="263" t="s">
        <v>696</v>
      </c>
      <c r="D1199" s="157" t="s">
        <v>697</v>
      </c>
      <c r="E1199" s="44">
        <f t="shared" si="90"/>
        <v>43353</v>
      </c>
      <c r="F1199" s="146" t="str">
        <f t="shared" si="86"/>
        <v>2018-19</v>
      </c>
      <c r="G1199" s="1"/>
      <c r="H1199" s="161"/>
      <c r="I1199" s="37"/>
      <c r="J1199" s="135">
        <f t="shared" si="87"/>
        <v>0.76382508261777382</v>
      </c>
      <c r="K1199" s="112"/>
      <c r="L1199" s="37">
        <v>13.8917422433</v>
      </c>
      <c r="M1199" s="37" t="s">
        <v>288</v>
      </c>
      <c r="N1199" s="37">
        <v>812.22926829268283</v>
      </c>
      <c r="O1199" s="130">
        <f t="shared" si="88"/>
        <v>11283.279637586111</v>
      </c>
      <c r="P1199" s="132">
        <f t="shared" si="89"/>
        <v>264.46912345110474</v>
      </c>
      <c r="Q1199" s="261">
        <v>3.0686383518617813E-2</v>
      </c>
      <c r="R1199" s="92"/>
    </row>
    <row r="1200" spans="1:18" x14ac:dyDescent="0.25">
      <c r="A1200" s="353">
        <v>43353</v>
      </c>
      <c r="B1200" s="353" t="s">
        <v>285</v>
      </c>
      <c r="C1200" s="263" t="s">
        <v>696</v>
      </c>
      <c r="D1200" s="157" t="s">
        <v>697</v>
      </c>
      <c r="E1200" s="44">
        <f t="shared" si="90"/>
        <v>43353</v>
      </c>
      <c r="F1200" s="146" t="str">
        <f t="shared" si="86"/>
        <v>2018-19</v>
      </c>
      <c r="G1200" s="1"/>
      <c r="H1200" s="161"/>
      <c r="I1200" s="37"/>
      <c r="J1200" s="135">
        <f t="shared" si="87"/>
        <v>0.76382508261777382</v>
      </c>
      <c r="K1200" s="112"/>
      <c r="L1200" s="37">
        <v>11.72950438</v>
      </c>
      <c r="M1200" s="37" t="s">
        <v>288</v>
      </c>
      <c r="N1200" s="37">
        <v>812.22926829268283</v>
      </c>
      <c r="O1200" s="130">
        <f t="shared" si="88"/>
        <v>9527.0467600032189</v>
      </c>
      <c r="P1200" s="132">
        <f t="shared" si="89"/>
        <v>223.30472935391782</v>
      </c>
      <c r="Q1200" s="261">
        <v>3.0686383518617813E-2</v>
      </c>
      <c r="R1200" s="92"/>
    </row>
    <row r="1201" spans="1:18" x14ac:dyDescent="0.25">
      <c r="A1201" s="353">
        <v>43353</v>
      </c>
      <c r="B1201" s="353" t="s">
        <v>285</v>
      </c>
      <c r="C1201" s="263" t="s">
        <v>696</v>
      </c>
      <c r="D1201" s="157" t="s">
        <v>697</v>
      </c>
      <c r="E1201" s="44">
        <f t="shared" si="90"/>
        <v>43353</v>
      </c>
      <c r="F1201" s="146" t="str">
        <f t="shared" si="86"/>
        <v>2018-19</v>
      </c>
      <c r="G1201" s="1"/>
      <c r="H1201" s="161"/>
      <c r="I1201" s="37"/>
      <c r="J1201" s="135">
        <f t="shared" si="87"/>
        <v>0.76382508261777382</v>
      </c>
      <c r="K1201" s="112"/>
      <c r="L1201" s="37">
        <v>15.892909636800001</v>
      </c>
      <c r="M1201" s="37" t="s">
        <v>288</v>
      </c>
      <c r="N1201" s="37">
        <v>812.22926829268283</v>
      </c>
      <c r="O1201" s="130">
        <f t="shared" si="88"/>
        <v>12908.686365339792</v>
      </c>
      <c r="P1201" s="132">
        <f t="shared" si="89"/>
        <v>302.56707957270879</v>
      </c>
      <c r="Q1201" s="261">
        <v>3.0686383518617813E-2</v>
      </c>
      <c r="R1201" s="92"/>
    </row>
    <row r="1202" spans="1:18" x14ac:dyDescent="0.25">
      <c r="A1202" s="353">
        <v>43353</v>
      </c>
      <c r="B1202" s="353" t="s">
        <v>285</v>
      </c>
      <c r="C1202" s="263" t="s">
        <v>696</v>
      </c>
      <c r="D1202" s="157" t="s">
        <v>697</v>
      </c>
      <c r="E1202" s="44">
        <f t="shared" si="90"/>
        <v>43353</v>
      </c>
      <c r="F1202" s="146" t="str">
        <f t="shared" si="86"/>
        <v>2018-19</v>
      </c>
      <c r="G1202" s="1"/>
      <c r="H1202" s="161"/>
      <c r="I1202" s="37"/>
      <c r="J1202" s="135">
        <f t="shared" si="87"/>
        <v>0.76382508261777382</v>
      </c>
      <c r="K1202" s="112"/>
      <c r="L1202" s="37">
        <v>85.357820115899997</v>
      </c>
      <c r="M1202" s="37" t="s">
        <v>288</v>
      </c>
      <c r="N1202" s="37">
        <v>3336.4019512195118</v>
      </c>
      <c r="O1202" s="130">
        <f t="shared" si="88"/>
        <v>284787.99758653285</v>
      </c>
      <c r="P1202" s="132">
        <f t="shared" si="89"/>
        <v>6675.1542557017356</v>
      </c>
      <c r="Q1202" s="261">
        <v>3.0686383518617813E-2</v>
      </c>
      <c r="R1202" s="92"/>
    </row>
    <row r="1203" spans="1:18" x14ac:dyDescent="0.25">
      <c r="A1203" s="353">
        <v>43353</v>
      </c>
      <c r="B1203" s="353" t="s">
        <v>285</v>
      </c>
      <c r="C1203" s="263" t="s">
        <v>696</v>
      </c>
      <c r="D1203" s="157" t="s">
        <v>697</v>
      </c>
      <c r="E1203" s="44">
        <f t="shared" si="90"/>
        <v>43353</v>
      </c>
      <c r="F1203" s="146" t="str">
        <f t="shared" si="86"/>
        <v>2018-19</v>
      </c>
      <c r="G1203" s="1"/>
      <c r="H1203" s="161"/>
      <c r="I1203" s="37"/>
      <c r="J1203" s="135">
        <f t="shared" si="87"/>
        <v>0.76382508261777382</v>
      </c>
      <c r="K1203" s="112"/>
      <c r="L1203" s="37">
        <v>14.1693931104</v>
      </c>
      <c r="M1203" s="37" t="s">
        <v>288</v>
      </c>
      <c r="N1203" s="37">
        <v>812.22926829268283</v>
      </c>
      <c r="O1203" s="130">
        <f t="shared" si="88"/>
        <v>11508.795798211573</v>
      </c>
      <c r="P1203" s="132">
        <f t="shared" si="89"/>
        <v>269.75500337612215</v>
      </c>
      <c r="Q1203" s="261">
        <v>3.0686383518617813E-2</v>
      </c>
      <c r="R1203" s="92"/>
    </row>
    <row r="1204" spans="1:18" x14ac:dyDescent="0.25">
      <c r="A1204" s="353">
        <v>43353</v>
      </c>
      <c r="B1204" s="353" t="s">
        <v>285</v>
      </c>
      <c r="C1204" s="263" t="s">
        <v>696</v>
      </c>
      <c r="D1204" s="157" t="s">
        <v>697</v>
      </c>
      <c r="E1204" s="44">
        <f t="shared" si="90"/>
        <v>43353</v>
      </c>
      <c r="F1204" s="146" t="str">
        <f t="shared" si="86"/>
        <v>2018-19</v>
      </c>
      <c r="G1204" s="1"/>
      <c r="H1204" s="161"/>
      <c r="I1204" s="37"/>
      <c r="J1204" s="135">
        <f t="shared" si="87"/>
        <v>0.76382508261777382</v>
      </c>
      <c r="K1204" s="112"/>
      <c r="L1204" s="37">
        <v>16.003602641099999</v>
      </c>
      <c r="M1204" s="37" t="s">
        <v>288</v>
      </c>
      <c r="N1204" s="37">
        <v>812.22926829268283</v>
      </c>
      <c r="O1204" s="130">
        <f t="shared" si="88"/>
        <v>12998.594463227499</v>
      </c>
      <c r="P1204" s="132">
        <f t="shared" si="89"/>
        <v>304.6744381247658</v>
      </c>
      <c r="Q1204" s="261">
        <v>3.0686383518617813E-2</v>
      </c>
      <c r="R1204" s="92"/>
    </row>
    <row r="1205" spans="1:18" x14ac:dyDescent="0.25">
      <c r="A1205" s="353">
        <v>43353</v>
      </c>
      <c r="B1205" s="353" t="s">
        <v>285</v>
      </c>
      <c r="C1205" s="263" t="s">
        <v>696</v>
      </c>
      <c r="D1205" s="157" t="s">
        <v>697</v>
      </c>
      <c r="E1205" s="44">
        <f t="shared" si="90"/>
        <v>43353</v>
      </c>
      <c r="F1205" s="146" t="str">
        <f t="shared" si="86"/>
        <v>2018-19</v>
      </c>
      <c r="G1205" s="1"/>
      <c r="H1205" s="161"/>
      <c r="I1205" s="37"/>
      <c r="J1205" s="135">
        <f t="shared" si="87"/>
        <v>0.76382508261777382</v>
      </c>
      <c r="K1205" s="112"/>
      <c r="L1205" s="37">
        <v>14.041943807599999</v>
      </c>
      <c r="M1205" s="37" t="s">
        <v>288</v>
      </c>
      <c r="N1205" s="37">
        <v>812.22926829268283</v>
      </c>
      <c r="O1205" s="130">
        <f t="shared" si="88"/>
        <v>11405.277744253915</v>
      </c>
      <c r="P1205" s="132">
        <f t="shared" si="89"/>
        <v>267.32864066325027</v>
      </c>
      <c r="Q1205" s="261">
        <v>3.0686383518617813E-2</v>
      </c>
      <c r="R1205" s="92"/>
    </row>
    <row r="1206" spans="1:18" x14ac:dyDescent="0.25">
      <c r="A1206" s="353">
        <v>43353</v>
      </c>
      <c r="B1206" s="353" t="s">
        <v>285</v>
      </c>
      <c r="C1206" s="263" t="s">
        <v>696</v>
      </c>
      <c r="D1206" s="157" t="s">
        <v>697</v>
      </c>
      <c r="E1206" s="44">
        <f t="shared" si="90"/>
        <v>43353</v>
      </c>
      <c r="F1206" s="146" t="str">
        <f t="shared" si="86"/>
        <v>2018-19</v>
      </c>
      <c r="G1206" s="1"/>
      <c r="H1206" s="161"/>
      <c r="I1206" s="37"/>
      <c r="J1206" s="135">
        <f t="shared" si="87"/>
        <v>0.76382508261777382</v>
      </c>
      <c r="K1206" s="112"/>
      <c r="L1206" s="37">
        <v>13.9310142399</v>
      </c>
      <c r="M1206" s="37" t="s">
        <v>288</v>
      </c>
      <c r="N1206" s="37">
        <v>812.22926829268283</v>
      </c>
      <c r="O1206" s="130">
        <f t="shared" si="88"/>
        <v>11315.177502648921</v>
      </c>
      <c r="P1206" s="132">
        <f t="shared" si="89"/>
        <v>265.21677844894964</v>
      </c>
      <c r="Q1206" s="261">
        <v>3.0686383518617813E-2</v>
      </c>
      <c r="R1206" s="92"/>
    </row>
    <row r="1207" spans="1:18" x14ac:dyDescent="0.25">
      <c r="A1207" s="353">
        <v>43353</v>
      </c>
      <c r="B1207" s="353" t="s">
        <v>285</v>
      </c>
      <c r="C1207" s="263" t="s">
        <v>696</v>
      </c>
      <c r="D1207" s="157" t="s">
        <v>697</v>
      </c>
      <c r="E1207" s="44">
        <f t="shared" si="90"/>
        <v>43353</v>
      </c>
      <c r="F1207" s="146" t="str">
        <f t="shared" si="86"/>
        <v>2018-19</v>
      </c>
      <c r="G1207" s="1"/>
      <c r="H1207" s="161"/>
      <c r="I1207" s="37"/>
      <c r="J1207" s="135">
        <f t="shared" si="87"/>
        <v>0.76382508261777382</v>
      </c>
      <c r="K1207" s="112"/>
      <c r="L1207" s="37">
        <v>105.60625950399999</v>
      </c>
      <c r="M1207" s="37" t="s">
        <v>288</v>
      </c>
      <c r="N1207" s="37">
        <v>812.22926829268283</v>
      </c>
      <c r="O1207" s="130">
        <f t="shared" si="88"/>
        <v>85776.494884061103</v>
      </c>
      <c r="P1207" s="132">
        <f t="shared" si="89"/>
        <v>2010.5177876765777</v>
      </c>
      <c r="Q1207" s="261">
        <v>3.0686383518617813E-2</v>
      </c>
      <c r="R1207" s="92"/>
    </row>
    <row r="1208" spans="1:18" x14ac:dyDescent="0.25">
      <c r="A1208" s="353">
        <v>43353</v>
      </c>
      <c r="B1208" s="353" t="s">
        <v>285</v>
      </c>
      <c r="C1208" s="263" t="s">
        <v>696</v>
      </c>
      <c r="D1208" s="157" t="s">
        <v>697</v>
      </c>
      <c r="E1208" s="44">
        <f t="shared" si="90"/>
        <v>43353</v>
      </c>
      <c r="F1208" s="146" t="str">
        <f t="shared" si="86"/>
        <v>2018-19</v>
      </c>
      <c r="G1208" s="1"/>
      <c r="H1208" s="161"/>
      <c r="I1208" s="37"/>
      <c r="J1208" s="135">
        <f t="shared" si="87"/>
        <v>0.76382508261777382</v>
      </c>
      <c r="K1208" s="112"/>
      <c r="L1208" s="37">
        <v>65.614773916199994</v>
      </c>
      <c r="M1208" s="37" t="s">
        <v>288</v>
      </c>
      <c r="N1208" s="37">
        <v>3336.4019512195118</v>
      </c>
      <c r="O1208" s="130">
        <f t="shared" si="88"/>
        <v>218917.25972283678</v>
      </c>
      <c r="P1208" s="132">
        <f t="shared" si="89"/>
        <v>5131.2080925792461</v>
      </c>
      <c r="Q1208" s="261">
        <v>3.0686383518617813E-2</v>
      </c>
      <c r="R1208" s="92"/>
    </row>
    <row r="1209" spans="1:18" x14ac:dyDescent="0.25">
      <c r="A1209" s="353">
        <v>43353</v>
      </c>
      <c r="B1209" s="353" t="s">
        <v>285</v>
      </c>
      <c r="C1209" s="263" t="s">
        <v>696</v>
      </c>
      <c r="D1209" s="157" t="s">
        <v>697</v>
      </c>
      <c r="E1209" s="44">
        <f t="shared" si="90"/>
        <v>43353</v>
      </c>
      <c r="F1209" s="146" t="str">
        <f t="shared" si="86"/>
        <v>2018-19</v>
      </c>
      <c r="G1209" s="1"/>
      <c r="H1209" s="161"/>
      <c r="I1209" s="37"/>
      <c r="J1209" s="135">
        <f t="shared" si="87"/>
        <v>0.76382508261777382</v>
      </c>
      <c r="K1209" s="112"/>
      <c r="L1209" s="37">
        <v>15.895461604999999</v>
      </c>
      <c r="M1209" s="37" t="s">
        <v>288</v>
      </c>
      <c r="N1209" s="37">
        <v>812.22926829268283</v>
      </c>
      <c r="O1209" s="130">
        <f t="shared" si="88"/>
        <v>12910.759148603584</v>
      </c>
      <c r="P1209" s="132">
        <f t="shared" si="89"/>
        <v>302.61566360062324</v>
      </c>
      <c r="Q1209" s="261">
        <v>3.0686383518617813E-2</v>
      </c>
      <c r="R1209" s="92"/>
    </row>
    <row r="1210" spans="1:18" x14ac:dyDescent="0.25">
      <c r="A1210" s="353">
        <v>43353</v>
      </c>
      <c r="B1210" s="353" t="s">
        <v>285</v>
      </c>
      <c r="C1210" s="263" t="s">
        <v>696</v>
      </c>
      <c r="D1210" s="157" t="s">
        <v>697</v>
      </c>
      <c r="E1210" s="44">
        <f t="shared" si="90"/>
        <v>43353</v>
      </c>
      <c r="F1210" s="146" t="str">
        <f t="shared" si="86"/>
        <v>2018-19</v>
      </c>
      <c r="G1210" s="1"/>
      <c r="H1210" s="161"/>
      <c r="I1210" s="37"/>
      <c r="J1210" s="135">
        <f t="shared" si="87"/>
        <v>0.76382508261777382</v>
      </c>
      <c r="K1210" s="112"/>
      <c r="L1210" s="37">
        <v>6.1863431847900001</v>
      </c>
      <c r="M1210" s="37" t="s">
        <v>288</v>
      </c>
      <c r="N1210" s="37">
        <v>812.22926829268283</v>
      </c>
      <c r="O1210" s="130">
        <f t="shared" si="88"/>
        <v>5024.728998389407</v>
      </c>
      <c r="P1210" s="132">
        <f t="shared" si="89"/>
        <v>117.77477085267816</v>
      </c>
      <c r="Q1210" s="261">
        <v>3.0686383518617813E-2</v>
      </c>
      <c r="R1210" s="92"/>
    </row>
    <row r="1211" spans="1:18" x14ac:dyDescent="0.25">
      <c r="A1211" s="353">
        <v>43353</v>
      </c>
      <c r="B1211" s="353" t="s">
        <v>285</v>
      </c>
      <c r="C1211" s="263" t="s">
        <v>696</v>
      </c>
      <c r="D1211" s="157" t="s">
        <v>697</v>
      </c>
      <c r="E1211" s="44">
        <f t="shared" si="90"/>
        <v>43353</v>
      </c>
      <c r="F1211" s="146" t="str">
        <f t="shared" ref="F1211:F1274" si="91">IF(E1211="","-",IF(OR(E1211&lt;$E$15,E1211&gt;$E$16),"ERROR - date outside of range",IF(MONTH(E1211)&gt;=7,YEAR(E1211)&amp;"-"&amp;IF(YEAR(E1211)=1999,"00",IF(AND(YEAR(E1211)&gt;=2000,YEAR(E1211)&lt;2009),"0","")&amp;RIGHT(YEAR(E1211),2)+1),RIGHT(YEAR(E1211),4)-1&amp;"-"&amp;RIGHT(YEAR(E1211),2))))</f>
        <v>2018-19</v>
      </c>
      <c r="G1211" s="1"/>
      <c r="H1211" s="161"/>
      <c r="I1211" s="37"/>
      <c r="J1211" s="135">
        <f t="shared" si="87"/>
        <v>0.76382508261777382</v>
      </c>
      <c r="K1211" s="112"/>
      <c r="L1211" s="37">
        <v>18.882843764099999</v>
      </c>
      <c r="M1211" s="37" t="s">
        <v>288</v>
      </c>
      <c r="N1211" s="37">
        <v>3336.4019512195118</v>
      </c>
      <c r="O1211" s="130">
        <f t="shared" si="88"/>
        <v>63000.756779116426</v>
      </c>
      <c r="P1211" s="132">
        <f t="shared" si="89"/>
        <v>1476.6765920279627</v>
      </c>
      <c r="Q1211" s="261">
        <v>3.0686383518617813E-2</v>
      </c>
      <c r="R1211" s="92"/>
    </row>
    <row r="1212" spans="1:18" x14ac:dyDescent="0.25">
      <c r="A1212" s="353">
        <v>43353</v>
      </c>
      <c r="B1212" s="353" t="s">
        <v>285</v>
      </c>
      <c r="C1212" s="263" t="s">
        <v>696</v>
      </c>
      <c r="D1212" s="157" t="s">
        <v>697</v>
      </c>
      <c r="E1212" s="44">
        <f t="shared" si="90"/>
        <v>43353</v>
      </c>
      <c r="F1212" s="146" t="str">
        <f t="shared" si="91"/>
        <v>2018-19</v>
      </c>
      <c r="G1212" s="1"/>
      <c r="H1212" s="161"/>
      <c r="I1212" s="37"/>
      <c r="J1212" s="135">
        <f t="shared" si="87"/>
        <v>0.76382508261777382</v>
      </c>
      <c r="K1212" s="112"/>
      <c r="L1212" s="37">
        <v>15.5671205467</v>
      </c>
      <c r="M1212" s="37" t="s">
        <v>288</v>
      </c>
      <c r="N1212" s="37">
        <v>812.22926829268283</v>
      </c>
      <c r="O1212" s="130">
        <f t="shared" si="88"/>
        <v>12644.07093107013</v>
      </c>
      <c r="P1212" s="132">
        <f t="shared" si="89"/>
        <v>296.36475062219603</v>
      </c>
      <c r="Q1212" s="261">
        <v>3.0686383518617813E-2</v>
      </c>
      <c r="R1212" s="92"/>
    </row>
    <row r="1213" spans="1:18" x14ac:dyDescent="0.25">
      <c r="A1213" s="353">
        <v>43353</v>
      </c>
      <c r="B1213" s="353" t="s">
        <v>285</v>
      </c>
      <c r="C1213" s="263" t="s">
        <v>696</v>
      </c>
      <c r="D1213" s="157" t="s">
        <v>697</v>
      </c>
      <c r="E1213" s="44">
        <f t="shared" si="90"/>
        <v>43353</v>
      </c>
      <c r="F1213" s="146" t="str">
        <f t="shared" si="91"/>
        <v>2018-19</v>
      </c>
      <c r="G1213" s="1"/>
      <c r="H1213" s="161"/>
      <c r="I1213" s="37"/>
      <c r="J1213" s="135">
        <f t="shared" si="87"/>
        <v>0.76382508261777382</v>
      </c>
      <c r="K1213" s="112"/>
      <c r="L1213" s="37">
        <v>2.9984404319600002</v>
      </c>
      <c r="M1213" s="37" t="s">
        <v>288</v>
      </c>
      <c r="N1213" s="37">
        <v>812.22926829268283</v>
      </c>
      <c r="O1213" s="130">
        <f t="shared" si="88"/>
        <v>2435.4210780700669</v>
      </c>
      <c r="P1213" s="132">
        <f t="shared" si="89"/>
        <v>57.083906314434763</v>
      </c>
      <c r="Q1213" s="261">
        <v>3.0686383518617813E-2</v>
      </c>
      <c r="R1213" s="92"/>
    </row>
    <row r="1214" spans="1:18" x14ac:dyDescent="0.25">
      <c r="A1214" s="353">
        <v>43353</v>
      </c>
      <c r="B1214" s="353" t="s">
        <v>285</v>
      </c>
      <c r="C1214" s="263" t="s">
        <v>696</v>
      </c>
      <c r="D1214" s="157" t="s">
        <v>697</v>
      </c>
      <c r="E1214" s="44">
        <f t="shared" si="90"/>
        <v>43353</v>
      </c>
      <c r="F1214" s="146" t="str">
        <f t="shared" si="91"/>
        <v>2018-19</v>
      </c>
      <c r="G1214" s="1"/>
      <c r="H1214" s="161"/>
      <c r="I1214" s="37"/>
      <c r="J1214" s="135">
        <f t="shared" si="87"/>
        <v>0.76382508261777382</v>
      </c>
      <c r="K1214" s="112"/>
      <c r="L1214" s="37">
        <v>12.6983873018</v>
      </c>
      <c r="M1214" s="37" t="s">
        <v>288</v>
      </c>
      <c r="N1214" s="37">
        <v>812.22926829268283</v>
      </c>
      <c r="O1214" s="130">
        <f t="shared" si="88"/>
        <v>10314.001826638108</v>
      </c>
      <c r="P1214" s="132">
        <f t="shared" si="89"/>
        <v>241.75019231798737</v>
      </c>
      <c r="Q1214" s="261">
        <v>3.0686383518617813E-2</v>
      </c>
      <c r="R1214" s="92"/>
    </row>
    <row r="1215" spans="1:18" x14ac:dyDescent="0.25">
      <c r="A1215" s="353">
        <v>43353</v>
      </c>
      <c r="B1215" s="353" t="s">
        <v>285</v>
      </c>
      <c r="C1215" s="263" t="s">
        <v>696</v>
      </c>
      <c r="D1215" s="157" t="s">
        <v>697</v>
      </c>
      <c r="E1215" s="44">
        <f t="shared" si="90"/>
        <v>43353</v>
      </c>
      <c r="F1215" s="146" t="str">
        <f t="shared" si="91"/>
        <v>2018-19</v>
      </c>
      <c r="G1215" s="1"/>
      <c r="H1215" s="161"/>
      <c r="I1215" s="37"/>
      <c r="J1215" s="135">
        <f t="shared" si="87"/>
        <v>0.76382508261777382</v>
      </c>
      <c r="K1215" s="112"/>
      <c r="L1215" s="37">
        <v>16.944551847100001</v>
      </c>
      <c r="M1215" s="37" t="s">
        <v>288</v>
      </c>
      <c r="N1215" s="37">
        <v>812.22926829268283</v>
      </c>
      <c r="O1215" s="130">
        <f t="shared" si="88"/>
        <v>13762.860948317462</v>
      </c>
      <c r="P1215" s="132">
        <f t="shared" si="89"/>
        <v>322.58810275836174</v>
      </c>
      <c r="Q1215" s="261">
        <v>3.0686383518617813E-2</v>
      </c>
      <c r="R1215" s="92"/>
    </row>
    <row r="1216" spans="1:18" x14ac:dyDescent="0.25">
      <c r="A1216" s="353">
        <v>43353</v>
      </c>
      <c r="B1216" s="353" t="s">
        <v>285</v>
      </c>
      <c r="C1216" s="263" t="s">
        <v>696</v>
      </c>
      <c r="D1216" s="157" t="s">
        <v>697</v>
      </c>
      <c r="E1216" s="44">
        <f t="shared" si="90"/>
        <v>43353</v>
      </c>
      <c r="F1216" s="146" t="str">
        <f t="shared" si="91"/>
        <v>2018-19</v>
      </c>
      <c r="G1216" s="1"/>
      <c r="H1216" s="161"/>
      <c r="I1216" s="37"/>
      <c r="J1216" s="135">
        <f t="shared" si="87"/>
        <v>0.76382508261777382</v>
      </c>
      <c r="K1216" s="112"/>
      <c r="L1216" s="37">
        <v>51.612468481100002</v>
      </c>
      <c r="M1216" s="37" t="s">
        <v>288</v>
      </c>
      <c r="N1216" s="37">
        <v>812.22926829268283</v>
      </c>
      <c r="O1216" s="130">
        <f t="shared" si="88"/>
        <v>41921.157509183009</v>
      </c>
      <c r="P1216" s="132">
        <f t="shared" si="89"/>
        <v>982.59124444434951</v>
      </c>
      <c r="Q1216" s="261">
        <v>3.0686383518617813E-2</v>
      </c>
      <c r="R1216" s="92"/>
    </row>
    <row r="1217" spans="1:18" x14ac:dyDescent="0.25">
      <c r="A1217" s="353">
        <v>43353</v>
      </c>
      <c r="B1217" s="353" t="s">
        <v>285</v>
      </c>
      <c r="C1217" s="263" t="s">
        <v>696</v>
      </c>
      <c r="D1217" s="157" t="s">
        <v>697</v>
      </c>
      <c r="E1217" s="44">
        <f t="shared" si="90"/>
        <v>43353</v>
      </c>
      <c r="F1217" s="146" t="str">
        <f t="shared" si="91"/>
        <v>2018-19</v>
      </c>
      <c r="G1217" s="1"/>
      <c r="H1217" s="161"/>
      <c r="I1217" s="37"/>
      <c r="J1217" s="135">
        <f t="shared" si="87"/>
        <v>0.76382508261777382</v>
      </c>
      <c r="K1217" s="112"/>
      <c r="L1217" s="37">
        <v>60.543896885700001</v>
      </c>
      <c r="M1217" s="37" t="s">
        <v>288</v>
      </c>
      <c r="N1217" s="37">
        <v>812.22926829268283</v>
      </c>
      <c r="O1217" s="130">
        <f t="shared" si="88"/>
        <v>49175.525067059752</v>
      </c>
      <c r="P1217" s="132">
        <f t="shared" si="89"/>
        <v>1152.6265791029737</v>
      </c>
      <c r="Q1217" s="261">
        <v>3.0686383518617813E-2</v>
      </c>
      <c r="R1217" s="92"/>
    </row>
    <row r="1218" spans="1:18" x14ac:dyDescent="0.25">
      <c r="A1218" s="353">
        <v>43353</v>
      </c>
      <c r="B1218" s="353" t="s">
        <v>285</v>
      </c>
      <c r="C1218" s="263" t="s">
        <v>696</v>
      </c>
      <c r="D1218" s="157" t="s">
        <v>697</v>
      </c>
      <c r="E1218" s="44">
        <f t="shared" si="90"/>
        <v>43353</v>
      </c>
      <c r="F1218" s="146" t="str">
        <f t="shared" si="91"/>
        <v>2018-19</v>
      </c>
      <c r="G1218" s="1"/>
      <c r="H1218" s="161"/>
      <c r="I1218" s="37"/>
      <c r="J1218" s="135">
        <f t="shared" si="87"/>
        <v>0.76382508261777382</v>
      </c>
      <c r="K1218" s="112"/>
      <c r="L1218" s="37">
        <v>36.475384283799997</v>
      </c>
      <c r="M1218" s="37" t="s">
        <v>288</v>
      </c>
      <c r="N1218" s="37">
        <v>812.22926829268283</v>
      </c>
      <c r="O1218" s="130">
        <f t="shared" si="88"/>
        <v>29626.374687525295</v>
      </c>
      <c r="P1218" s="132">
        <f t="shared" si="89"/>
        <v>694.41346809694483</v>
      </c>
      <c r="Q1218" s="261">
        <v>3.0686383518617813E-2</v>
      </c>
      <c r="R1218" s="92"/>
    </row>
    <row r="1219" spans="1:18" x14ac:dyDescent="0.25">
      <c r="A1219" s="353">
        <v>43353</v>
      </c>
      <c r="B1219" s="353" t="s">
        <v>285</v>
      </c>
      <c r="C1219" s="263" t="s">
        <v>696</v>
      </c>
      <c r="D1219" s="157" t="s">
        <v>697</v>
      </c>
      <c r="E1219" s="44">
        <f t="shared" si="90"/>
        <v>43353</v>
      </c>
      <c r="F1219" s="146" t="str">
        <f t="shared" si="91"/>
        <v>2018-19</v>
      </c>
      <c r="G1219" s="1"/>
      <c r="H1219" s="161"/>
      <c r="I1219" s="37"/>
      <c r="J1219" s="135">
        <f t="shared" si="87"/>
        <v>0.76382508261777382</v>
      </c>
      <c r="K1219" s="112"/>
      <c r="L1219" s="37">
        <v>25.229983885500001</v>
      </c>
      <c r="M1219" s="37" t="s">
        <v>288</v>
      </c>
      <c r="N1219" s="37">
        <v>812.22926829268283</v>
      </c>
      <c r="O1219" s="130">
        <f t="shared" si="88"/>
        <v>20492.531350355846</v>
      </c>
      <c r="P1219" s="132">
        <f t="shared" si="89"/>
        <v>480.32504534136893</v>
      </c>
      <c r="Q1219" s="261">
        <v>3.0686383518617813E-2</v>
      </c>
      <c r="R1219" s="92"/>
    </row>
    <row r="1220" spans="1:18" x14ac:dyDescent="0.25">
      <c r="A1220" s="353">
        <v>43353</v>
      </c>
      <c r="B1220" s="353" t="s">
        <v>285</v>
      </c>
      <c r="C1220" s="263" t="s">
        <v>696</v>
      </c>
      <c r="D1220" s="157" t="s">
        <v>697</v>
      </c>
      <c r="E1220" s="44">
        <f t="shared" si="90"/>
        <v>43353</v>
      </c>
      <c r="F1220" s="146" t="str">
        <f t="shared" si="91"/>
        <v>2018-19</v>
      </c>
      <c r="G1220" s="1"/>
      <c r="H1220" s="161"/>
      <c r="I1220" s="37"/>
      <c r="J1220" s="135">
        <f t="shared" si="87"/>
        <v>0.76382508261777382</v>
      </c>
      <c r="K1220" s="112"/>
      <c r="L1220" s="37">
        <v>25.261392728600001</v>
      </c>
      <c r="M1220" s="37" t="s">
        <v>288</v>
      </c>
      <c r="N1220" s="37">
        <v>812.22926829268283</v>
      </c>
      <c r="O1220" s="130">
        <f t="shared" si="88"/>
        <v>20518.042532004878</v>
      </c>
      <c r="P1220" s="132">
        <f t="shared" si="89"/>
        <v>480.92300267874151</v>
      </c>
      <c r="Q1220" s="261">
        <v>3.0686383518617813E-2</v>
      </c>
      <c r="R1220" s="92"/>
    </row>
    <row r="1221" spans="1:18" x14ac:dyDescent="0.25">
      <c r="A1221" s="353">
        <v>43353</v>
      </c>
      <c r="B1221" s="353" t="s">
        <v>285</v>
      </c>
      <c r="C1221" s="263" t="s">
        <v>696</v>
      </c>
      <c r="D1221" s="157" t="s">
        <v>697</v>
      </c>
      <c r="E1221" s="44">
        <f t="shared" si="90"/>
        <v>43353</v>
      </c>
      <c r="F1221" s="146" t="str">
        <f t="shared" si="91"/>
        <v>2018-19</v>
      </c>
      <c r="G1221" s="1"/>
      <c r="H1221" s="161"/>
      <c r="I1221" s="37"/>
      <c r="J1221" s="135">
        <f t="shared" si="87"/>
        <v>0.76382508261777382</v>
      </c>
      <c r="K1221" s="112"/>
      <c r="L1221" s="37">
        <v>60.805539786899999</v>
      </c>
      <c r="M1221" s="37" t="s">
        <v>288</v>
      </c>
      <c r="N1221" s="37">
        <v>3336.4019512195118</v>
      </c>
      <c r="O1221" s="130">
        <f t="shared" si="88"/>
        <v>202871.7215899688</v>
      </c>
      <c r="P1221" s="132">
        <f t="shared" si="89"/>
        <v>4755.1162521213491</v>
      </c>
      <c r="Q1221" s="261">
        <v>3.0686383518617813E-2</v>
      </c>
      <c r="R1221" s="92"/>
    </row>
    <row r="1222" spans="1:18" x14ac:dyDescent="0.25">
      <c r="A1222" s="353">
        <v>43353</v>
      </c>
      <c r="B1222" s="353" t="s">
        <v>285</v>
      </c>
      <c r="C1222" s="263" t="s">
        <v>696</v>
      </c>
      <c r="D1222" s="157" t="s">
        <v>697</v>
      </c>
      <c r="E1222" s="44">
        <f t="shared" si="90"/>
        <v>43353</v>
      </c>
      <c r="F1222" s="146" t="str">
        <f t="shared" si="91"/>
        <v>2018-19</v>
      </c>
      <c r="G1222" s="1"/>
      <c r="H1222" s="161"/>
      <c r="I1222" s="37"/>
      <c r="J1222" s="135">
        <f t="shared" si="87"/>
        <v>0.76382508261777382</v>
      </c>
      <c r="K1222" s="112"/>
      <c r="L1222" s="37">
        <v>52.769024667899998</v>
      </c>
      <c r="M1222" s="37" t="s">
        <v>288</v>
      </c>
      <c r="N1222" s="37">
        <v>812.22926829268283</v>
      </c>
      <c r="O1222" s="130">
        <f t="shared" si="88"/>
        <v>42860.546294526946</v>
      </c>
      <c r="P1222" s="132">
        <f t="shared" si="89"/>
        <v>1004.6096058268083</v>
      </c>
      <c r="Q1222" s="261">
        <v>3.0686383518617813E-2</v>
      </c>
      <c r="R1222" s="92"/>
    </row>
    <row r="1223" spans="1:18" x14ac:dyDescent="0.25">
      <c r="A1223" s="353">
        <v>43353</v>
      </c>
      <c r="B1223" s="353" t="s">
        <v>285</v>
      </c>
      <c r="C1223" s="263" t="s">
        <v>696</v>
      </c>
      <c r="D1223" s="157" t="s">
        <v>697</v>
      </c>
      <c r="E1223" s="44">
        <f t="shared" si="90"/>
        <v>43353</v>
      </c>
      <c r="F1223" s="146" t="str">
        <f t="shared" si="91"/>
        <v>2018-19</v>
      </c>
      <c r="G1223" s="1"/>
      <c r="H1223" s="161"/>
      <c r="I1223" s="37"/>
      <c r="J1223" s="135">
        <f t="shared" si="87"/>
        <v>0.76382508261777382</v>
      </c>
      <c r="K1223" s="112"/>
      <c r="L1223" s="37">
        <v>13.974019828699999</v>
      </c>
      <c r="M1223" s="37" t="s">
        <v>288</v>
      </c>
      <c r="N1223" s="37">
        <v>812.22926829268283</v>
      </c>
      <c r="O1223" s="130">
        <f t="shared" si="88"/>
        <v>11350.107900572442</v>
      </c>
      <c r="P1223" s="132">
        <f t="shared" si="89"/>
        <v>266.03551307375307</v>
      </c>
      <c r="Q1223" s="261">
        <v>3.0686383518617813E-2</v>
      </c>
      <c r="R1223" s="92"/>
    </row>
    <row r="1224" spans="1:18" x14ac:dyDescent="0.25">
      <c r="A1224" s="353">
        <v>43353</v>
      </c>
      <c r="B1224" s="353" t="s">
        <v>285</v>
      </c>
      <c r="C1224" s="263" t="s">
        <v>696</v>
      </c>
      <c r="D1224" s="157" t="s">
        <v>697</v>
      </c>
      <c r="E1224" s="44">
        <f t="shared" si="90"/>
        <v>43353</v>
      </c>
      <c r="F1224" s="146" t="str">
        <f t="shared" si="91"/>
        <v>2018-19</v>
      </c>
      <c r="G1224" s="1"/>
      <c r="H1224" s="161"/>
      <c r="I1224" s="37"/>
      <c r="J1224" s="135">
        <f t="shared" si="87"/>
        <v>0.76382508261777382</v>
      </c>
      <c r="K1224" s="112"/>
      <c r="L1224" s="37">
        <v>15.6791173012</v>
      </c>
      <c r="M1224" s="37" t="s">
        <v>288</v>
      </c>
      <c r="N1224" s="37">
        <v>812.22926829268283</v>
      </c>
      <c r="O1224" s="130">
        <f t="shared" si="88"/>
        <v>12735.03797302882</v>
      </c>
      <c r="P1224" s="132">
        <f t="shared" si="89"/>
        <v>298.49692979549377</v>
      </c>
      <c r="Q1224" s="261">
        <v>3.0686383518617813E-2</v>
      </c>
      <c r="R1224" s="92"/>
    </row>
    <row r="1225" spans="1:18" x14ac:dyDescent="0.25">
      <c r="A1225" s="353">
        <v>43353</v>
      </c>
      <c r="B1225" s="353" t="s">
        <v>285</v>
      </c>
      <c r="C1225" s="263" t="s">
        <v>696</v>
      </c>
      <c r="D1225" s="157" t="s">
        <v>697</v>
      </c>
      <c r="E1225" s="44">
        <f t="shared" si="90"/>
        <v>43353</v>
      </c>
      <c r="F1225" s="146" t="str">
        <f t="shared" si="91"/>
        <v>2018-19</v>
      </c>
      <c r="G1225" s="1"/>
      <c r="H1225" s="161"/>
      <c r="I1225" s="37"/>
      <c r="J1225" s="135">
        <f t="shared" si="87"/>
        <v>0.76382508261777382</v>
      </c>
      <c r="K1225" s="112"/>
      <c r="L1225" s="37">
        <v>31.255582600299999</v>
      </c>
      <c r="M1225" s="37" t="s">
        <v>288</v>
      </c>
      <c r="N1225" s="37">
        <v>812.22926829268283</v>
      </c>
      <c r="O1225" s="130">
        <f t="shared" si="88"/>
        <v>25386.698985503175</v>
      </c>
      <c r="P1225" s="132">
        <f t="shared" si="89"/>
        <v>595.03958455907173</v>
      </c>
      <c r="Q1225" s="261">
        <v>3.0686383518617813E-2</v>
      </c>
      <c r="R1225" s="92"/>
    </row>
    <row r="1226" spans="1:18" x14ac:dyDescent="0.25">
      <c r="A1226" s="353">
        <v>43353</v>
      </c>
      <c r="B1226" s="353" t="s">
        <v>285</v>
      </c>
      <c r="C1226" s="263" t="s">
        <v>696</v>
      </c>
      <c r="D1226" s="157" t="s">
        <v>697</v>
      </c>
      <c r="E1226" s="44">
        <f t="shared" si="90"/>
        <v>43353</v>
      </c>
      <c r="F1226" s="146" t="str">
        <f t="shared" si="91"/>
        <v>2018-19</v>
      </c>
      <c r="G1226" s="1"/>
      <c r="H1226" s="161"/>
      <c r="I1226" s="37"/>
      <c r="J1226" s="135">
        <f t="shared" si="87"/>
        <v>0.76382508261777382</v>
      </c>
      <c r="K1226" s="112"/>
      <c r="L1226" s="37">
        <v>47.163536221800001</v>
      </c>
      <c r="M1226" s="37" t="s">
        <v>288</v>
      </c>
      <c r="N1226" s="37">
        <v>3336.4019512195118</v>
      </c>
      <c r="O1226" s="130">
        <f t="shared" si="88"/>
        <v>157356.51427682565</v>
      </c>
      <c r="P1226" s="132">
        <f t="shared" si="89"/>
        <v>3688.2839685622139</v>
      </c>
      <c r="Q1226" s="261">
        <v>3.0686383518617813E-2</v>
      </c>
      <c r="R1226" s="92"/>
    </row>
    <row r="1227" spans="1:18" x14ac:dyDescent="0.25">
      <c r="A1227" s="353">
        <v>43353</v>
      </c>
      <c r="B1227" s="353" t="s">
        <v>285</v>
      </c>
      <c r="C1227" s="263" t="s">
        <v>696</v>
      </c>
      <c r="D1227" s="157" t="s">
        <v>697</v>
      </c>
      <c r="E1227" s="44">
        <f t="shared" si="90"/>
        <v>43353</v>
      </c>
      <c r="F1227" s="146" t="str">
        <f t="shared" si="91"/>
        <v>2018-19</v>
      </c>
      <c r="G1227" s="1"/>
      <c r="H1227" s="161"/>
      <c r="I1227" s="37"/>
      <c r="J1227" s="135">
        <f t="shared" si="87"/>
        <v>0.76382508261777382</v>
      </c>
      <c r="K1227" s="112"/>
      <c r="L1227" s="37">
        <v>59.066650756400001</v>
      </c>
      <c r="M1227" s="37" t="s">
        <v>288</v>
      </c>
      <c r="N1227" s="37">
        <v>812.22926829268283</v>
      </c>
      <c r="O1227" s="130">
        <f t="shared" si="88"/>
        <v>47975.662524370215</v>
      </c>
      <c r="P1227" s="132">
        <f t="shared" si="89"/>
        <v>1124.5029656572997</v>
      </c>
      <c r="Q1227" s="261">
        <v>3.0686383518617813E-2</v>
      </c>
      <c r="R1227" s="92"/>
    </row>
    <row r="1228" spans="1:18" x14ac:dyDescent="0.25">
      <c r="A1228" s="353">
        <v>43353</v>
      </c>
      <c r="B1228" s="353" t="s">
        <v>285</v>
      </c>
      <c r="C1228" s="263" t="s">
        <v>696</v>
      </c>
      <c r="D1228" s="157" t="s">
        <v>697</v>
      </c>
      <c r="E1228" s="44">
        <f t="shared" si="90"/>
        <v>43353</v>
      </c>
      <c r="F1228" s="146" t="str">
        <f t="shared" si="91"/>
        <v>2018-19</v>
      </c>
      <c r="G1228" s="1"/>
      <c r="H1228" s="161"/>
      <c r="I1228" s="37"/>
      <c r="J1228" s="135">
        <f t="shared" si="87"/>
        <v>0.76382508261777382</v>
      </c>
      <c r="K1228" s="112"/>
      <c r="L1228" s="37">
        <v>22.802966424899999</v>
      </c>
      <c r="M1228" s="37" t="s">
        <v>288</v>
      </c>
      <c r="N1228" s="37">
        <v>812.22926829268283</v>
      </c>
      <c r="O1228" s="130">
        <f t="shared" si="88"/>
        <v>18521.236734199141</v>
      </c>
      <c r="P1228" s="132">
        <f t="shared" si="89"/>
        <v>434.1198128252687</v>
      </c>
      <c r="Q1228" s="261">
        <v>3.0686383518617813E-2</v>
      </c>
      <c r="R1228" s="92"/>
    </row>
    <row r="1229" spans="1:18" x14ac:dyDescent="0.25">
      <c r="A1229" s="353">
        <v>43353</v>
      </c>
      <c r="B1229" s="353" t="s">
        <v>285</v>
      </c>
      <c r="C1229" s="263" t="s">
        <v>696</v>
      </c>
      <c r="D1229" s="157" t="s">
        <v>697</v>
      </c>
      <c r="E1229" s="44">
        <f t="shared" si="90"/>
        <v>43353</v>
      </c>
      <c r="F1229" s="146" t="str">
        <f t="shared" si="91"/>
        <v>2018-19</v>
      </c>
      <c r="G1229" s="1"/>
      <c r="H1229" s="161"/>
      <c r="I1229" s="37"/>
      <c r="J1229" s="135">
        <f t="shared" si="87"/>
        <v>0.76382508261777382</v>
      </c>
      <c r="K1229" s="112"/>
      <c r="L1229" s="37">
        <v>26.5778974708</v>
      </c>
      <c r="M1229" s="37" t="s">
        <v>288</v>
      </c>
      <c r="N1229" s="37">
        <v>3336.4019512195118</v>
      </c>
      <c r="O1229" s="130">
        <f t="shared" si="88"/>
        <v>88674.548980889245</v>
      </c>
      <c r="P1229" s="132">
        <f t="shared" si="89"/>
        <v>2078.4453629312839</v>
      </c>
      <c r="Q1229" s="261">
        <v>3.0686383518617813E-2</v>
      </c>
      <c r="R1229" s="92"/>
    </row>
    <row r="1230" spans="1:18" x14ac:dyDescent="0.25">
      <c r="A1230" s="353">
        <v>43353</v>
      </c>
      <c r="B1230" s="353" t="s">
        <v>285</v>
      </c>
      <c r="C1230" s="263" t="s">
        <v>696</v>
      </c>
      <c r="D1230" s="157" t="s">
        <v>697</v>
      </c>
      <c r="E1230" s="44">
        <f t="shared" si="90"/>
        <v>43353</v>
      </c>
      <c r="F1230" s="146" t="str">
        <f t="shared" si="91"/>
        <v>2018-19</v>
      </c>
      <c r="G1230" s="1"/>
      <c r="H1230" s="161"/>
      <c r="I1230" s="37"/>
      <c r="J1230" s="135">
        <f t="shared" si="87"/>
        <v>0.76382508261777382</v>
      </c>
      <c r="K1230" s="112"/>
      <c r="L1230" s="37">
        <v>14.692901756099999</v>
      </c>
      <c r="M1230" s="37" t="s">
        <v>288</v>
      </c>
      <c r="N1230" s="37">
        <v>812.22926829268283</v>
      </c>
      <c r="O1230" s="130">
        <f t="shared" si="88"/>
        <v>11934.004842453378</v>
      </c>
      <c r="P1230" s="132">
        <f t="shared" si="89"/>
        <v>279.72149067645552</v>
      </c>
      <c r="Q1230" s="261">
        <v>3.0686383518617813E-2</v>
      </c>
      <c r="R1230" s="92"/>
    </row>
    <row r="1231" spans="1:18" x14ac:dyDescent="0.25">
      <c r="A1231" s="353">
        <v>43353</v>
      </c>
      <c r="B1231" s="353" t="s">
        <v>285</v>
      </c>
      <c r="C1231" s="263" t="s">
        <v>696</v>
      </c>
      <c r="D1231" s="157" t="s">
        <v>697</v>
      </c>
      <c r="E1231" s="44">
        <f t="shared" si="90"/>
        <v>43353</v>
      </c>
      <c r="F1231" s="146" t="str">
        <f t="shared" si="91"/>
        <v>2018-19</v>
      </c>
      <c r="G1231" s="1"/>
      <c r="H1231" s="161"/>
      <c r="I1231" s="37"/>
      <c r="J1231" s="135">
        <f t="shared" si="87"/>
        <v>0.76382508261777382</v>
      </c>
      <c r="K1231" s="112"/>
      <c r="L1231" s="37">
        <v>22.768982524799998</v>
      </c>
      <c r="M1231" s="37" t="s">
        <v>288</v>
      </c>
      <c r="N1231" s="37">
        <v>3336.4019512195118</v>
      </c>
      <c r="O1231" s="130">
        <f t="shared" si="88"/>
        <v>75966.477723025688</v>
      </c>
      <c r="P1231" s="132">
        <f t="shared" si="89"/>
        <v>1780.5805067660806</v>
      </c>
      <c r="Q1231" s="261">
        <v>3.0686383518617813E-2</v>
      </c>
      <c r="R1231" s="92"/>
    </row>
    <row r="1232" spans="1:18" x14ac:dyDescent="0.25">
      <c r="A1232" s="353">
        <v>43353</v>
      </c>
      <c r="B1232" s="353" t="s">
        <v>285</v>
      </c>
      <c r="C1232" s="263" t="s">
        <v>696</v>
      </c>
      <c r="D1232" s="157" t="s">
        <v>697</v>
      </c>
      <c r="E1232" s="44">
        <f t="shared" si="90"/>
        <v>43353</v>
      </c>
      <c r="F1232" s="146" t="str">
        <f t="shared" si="91"/>
        <v>2018-19</v>
      </c>
      <c r="G1232" s="1"/>
      <c r="H1232" s="161"/>
      <c r="I1232" s="37"/>
      <c r="J1232" s="135">
        <f t="shared" si="87"/>
        <v>0.76382508261777382</v>
      </c>
      <c r="K1232" s="112"/>
      <c r="L1232" s="37">
        <v>6.0916471897599997</v>
      </c>
      <c r="M1232" s="37" t="s">
        <v>288</v>
      </c>
      <c r="N1232" s="37">
        <v>812.22926829268283</v>
      </c>
      <c r="O1232" s="130">
        <f t="shared" si="88"/>
        <v>4947.8141396359424</v>
      </c>
      <c r="P1232" s="132">
        <f t="shared" si="89"/>
        <v>115.97196121503224</v>
      </c>
      <c r="Q1232" s="261">
        <v>3.0686383518617813E-2</v>
      </c>
      <c r="R1232" s="92"/>
    </row>
    <row r="1233" spans="1:18" x14ac:dyDescent="0.25">
      <c r="A1233" s="353">
        <v>43353</v>
      </c>
      <c r="B1233" s="353" t="s">
        <v>285</v>
      </c>
      <c r="C1233" s="263" t="s">
        <v>696</v>
      </c>
      <c r="D1233" s="157" t="s">
        <v>697</v>
      </c>
      <c r="E1233" s="44">
        <f t="shared" si="90"/>
        <v>43353</v>
      </c>
      <c r="F1233" s="146" t="str">
        <f t="shared" si="91"/>
        <v>2018-19</v>
      </c>
      <c r="G1233" s="1"/>
      <c r="H1233" s="161"/>
      <c r="I1233" s="37"/>
      <c r="J1233" s="135">
        <f t="shared" si="87"/>
        <v>0.76382508261777382</v>
      </c>
      <c r="K1233" s="112"/>
      <c r="L1233" s="37">
        <v>17.915136563000001</v>
      </c>
      <c r="M1233" s="37" t="s">
        <v>288</v>
      </c>
      <c r="N1233" s="37">
        <v>812.22926829268283</v>
      </c>
      <c r="O1233" s="130">
        <f t="shared" si="88"/>
        <v>14551.198261928979</v>
      </c>
      <c r="P1233" s="132">
        <f t="shared" si="89"/>
        <v>341.065964249991</v>
      </c>
      <c r="Q1233" s="261">
        <v>3.0686383518617813E-2</v>
      </c>
      <c r="R1233" s="92"/>
    </row>
    <row r="1234" spans="1:18" x14ac:dyDescent="0.25">
      <c r="A1234" s="353">
        <v>43353</v>
      </c>
      <c r="B1234" s="353" t="s">
        <v>285</v>
      </c>
      <c r="C1234" s="263" t="s">
        <v>696</v>
      </c>
      <c r="D1234" s="157" t="s">
        <v>697</v>
      </c>
      <c r="E1234" s="44">
        <f t="shared" si="90"/>
        <v>43353</v>
      </c>
      <c r="F1234" s="146" t="str">
        <f t="shared" si="91"/>
        <v>2018-19</v>
      </c>
      <c r="G1234" s="1"/>
      <c r="H1234" s="161"/>
      <c r="I1234" s="37"/>
      <c r="J1234" s="135">
        <f t="shared" si="87"/>
        <v>0.76382508261777382</v>
      </c>
      <c r="K1234" s="112"/>
      <c r="L1234" s="37">
        <v>16.152578804600001</v>
      </c>
      <c r="M1234" s="37" t="s">
        <v>288</v>
      </c>
      <c r="N1234" s="37">
        <v>812.22926829268283</v>
      </c>
      <c r="O1234" s="130">
        <f t="shared" si="88"/>
        <v>13119.597263500156</v>
      </c>
      <c r="P1234" s="132">
        <f t="shared" si="89"/>
        <v>307.51062632102719</v>
      </c>
      <c r="Q1234" s="261">
        <v>3.0686383518617813E-2</v>
      </c>
      <c r="R1234" s="92"/>
    </row>
    <row r="1235" spans="1:18" x14ac:dyDescent="0.25">
      <c r="A1235" s="353">
        <v>43353</v>
      </c>
      <c r="B1235" s="353" t="s">
        <v>285</v>
      </c>
      <c r="C1235" s="263" t="s">
        <v>696</v>
      </c>
      <c r="D1235" s="157" t="s">
        <v>697</v>
      </c>
      <c r="E1235" s="44">
        <f t="shared" si="90"/>
        <v>43353</v>
      </c>
      <c r="F1235" s="146" t="str">
        <f t="shared" si="91"/>
        <v>2018-19</v>
      </c>
      <c r="G1235" s="1"/>
      <c r="H1235" s="161"/>
      <c r="I1235" s="37"/>
      <c r="J1235" s="135">
        <f t="shared" si="87"/>
        <v>0.76382508261777382</v>
      </c>
      <c r="K1235" s="112"/>
      <c r="L1235" s="37">
        <v>21.298140353899999</v>
      </c>
      <c r="M1235" s="37" t="s">
        <v>288</v>
      </c>
      <c r="N1235" s="37">
        <v>812.22926829268283</v>
      </c>
      <c r="O1235" s="130">
        <f t="shared" si="88"/>
        <v>17298.972955643058</v>
      </c>
      <c r="P1235" s="132">
        <f t="shared" si="89"/>
        <v>405.47113615293216</v>
      </c>
      <c r="Q1235" s="261">
        <v>3.0686383518617813E-2</v>
      </c>
      <c r="R1235" s="92"/>
    </row>
    <row r="1236" spans="1:18" x14ac:dyDescent="0.25">
      <c r="A1236" s="353">
        <v>43353</v>
      </c>
      <c r="B1236" s="353" t="s">
        <v>285</v>
      </c>
      <c r="C1236" s="263" t="s">
        <v>696</v>
      </c>
      <c r="D1236" s="157" t="s">
        <v>697</v>
      </c>
      <c r="E1236" s="44">
        <f t="shared" si="90"/>
        <v>43353</v>
      </c>
      <c r="F1236" s="146" t="str">
        <f t="shared" si="91"/>
        <v>2018-19</v>
      </c>
      <c r="G1236" s="1"/>
      <c r="H1236" s="161"/>
      <c r="I1236" s="37"/>
      <c r="J1236" s="135">
        <f t="shared" si="87"/>
        <v>0.76382508261777382</v>
      </c>
      <c r="K1236" s="112"/>
      <c r="L1236" s="37">
        <v>23.410281725499999</v>
      </c>
      <c r="M1236" s="37" t="s">
        <v>288</v>
      </c>
      <c r="N1236" s="37">
        <v>3336.4019512195118</v>
      </c>
      <c r="O1236" s="130">
        <f t="shared" si="88"/>
        <v>78106.109627556682</v>
      </c>
      <c r="P1236" s="132">
        <f t="shared" si="89"/>
        <v>1830.7314019379376</v>
      </c>
      <c r="Q1236" s="261">
        <v>3.0686383518617813E-2</v>
      </c>
      <c r="R1236" s="92"/>
    </row>
    <row r="1237" spans="1:18" x14ac:dyDescent="0.25">
      <c r="A1237" s="353">
        <v>43353</v>
      </c>
      <c r="B1237" s="353" t="s">
        <v>285</v>
      </c>
      <c r="C1237" s="263" t="s">
        <v>696</v>
      </c>
      <c r="D1237" s="157" t="s">
        <v>697</v>
      </c>
      <c r="E1237" s="44">
        <f t="shared" si="90"/>
        <v>43353</v>
      </c>
      <c r="F1237" s="146" t="str">
        <f t="shared" si="91"/>
        <v>2018-19</v>
      </c>
      <c r="G1237" s="1"/>
      <c r="H1237" s="161"/>
      <c r="I1237" s="37"/>
      <c r="J1237" s="135">
        <f t="shared" si="87"/>
        <v>0.76382508261777382</v>
      </c>
      <c r="K1237" s="112"/>
      <c r="L1237" s="37">
        <v>27.611693003700001</v>
      </c>
      <c r="M1237" s="37" t="s">
        <v>288</v>
      </c>
      <c r="N1237" s="37">
        <v>812.22926829268283</v>
      </c>
      <c r="O1237" s="130">
        <f t="shared" si="88"/>
        <v>22427.02520471744</v>
      </c>
      <c r="P1237" s="132">
        <f t="shared" si="89"/>
        <v>525.66770371884161</v>
      </c>
      <c r="Q1237" s="261">
        <v>3.0686383518617813E-2</v>
      </c>
      <c r="R1237" s="92"/>
    </row>
    <row r="1238" spans="1:18" x14ac:dyDescent="0.25">
      <c r="A1238" s="353">
        <v>43353</v>
      </c>
      <c r="B1238" s="353" t="s">
        <v>285</v>
      </c>
      <c r="C1238" s="263" t="s">
        <v>696</v>
      </c>
      <c r="D1238" s="157" t="s">
        <v>697</v>
      </c>
      <c r="E1238" s="44">
        <f t="shared" si="90"/>
        <v>43353</v>
      </c>
      <c r="F1238" s="146" t="str">
        <f t="shared" si="91"/>
        <v>2018-19</v>
      </c>
      <c r="G1238" s="1"/>
      <c r="H1238" s="161"/>
      <c r="I1238" s="37"/>
      <c r="J1238" s="135">
        <f t="shared" si="87"/>
        <v>0.76382508261777382</v>
      </c>
      <c r="K1238" s="112"/>
      <c r="L1238" s="37">
        <v>4.0473853288299999</v>
      </c>
      <c r="M1238" s="37" t="s">
        <v>288</v>
      </c>
      <c r="N1238" s="37">
        <v>3336.4019512195118</v>
      </c>
      <c r="O1238" s="130">
        <f t="shared" si="88"/>
        <v>13503.704308445636</v>
      </c>
      <c r="P1238" s="132">
        <f t="shared" si="89"/>
        <v>316.5137226503723</v>
      </c>
      <c r="Q1238" s="261">
        <v>3.0686383518617813E-2</v>
      </c>
      <c r="R1238" s="92"/>
    </row>
    <row r="1239" spans="1:18" x14ac:dyDescent="0.25">
      <c r="A1239" s="353">
        <v>43353</v>
      </c>
      <c r="B1239" s="353" t="s">
        <v>285</v>
      </c>
      <c r="C1239" s="263" t="s">
        <v>696</v>
      </c>
      <c r="D1239" s="157" t="s">
        <v>697</v>
      </c>
      <c r="E1239" s="44">
        <f t="shared" si="90"/>
        <v>43353</v>
      </c>
      <c r="F1239" s="146" t="str">
        <f t="shared" si="91"/>
        <v>2018-19</v>
      </c>
      <c r="G1239" s="1"/>
      <c r="H1239" s="161"/>
      <c r="I1239" s="37"/>
      <c r="J1239" s="135">
        <f t="shared" si="87"/>
        <v>0.76382508261777382</v>
      </c>
      <c r="K1239" s="112"/>
      <c r="L1239" s="37">
        <v>27.9516395584</v>
      </c>
      <c r="M1239" s="37" t="s">
        <v>288</v>
      </c>
      <c r="N1239" s="37">
        <v>3336.4019512195118</v>
      </c>
      <c r="O1239" s="130">
        <f t="shared" si="88"/>
        <v>93257.904762430248</v>
      </c>
      <c r="P1239" s="132">
        <f t="shared" si="89"/>
        <v>2185.8747739662499</v>
      </c>
      <c r="Q1239" s="261">
        <v>3.0686383518617813E-2</v>
      </c>
      <c r="R1239" s="92"/>
    </row>
    <row r="1240" spans="1:18" x14ac:dyDescent="0.25">
      <c r="A1240" s="353">
        <v>43353</v>
      </c>
      <c r="B1240" s="353" t="s">
        <v>285</v>
      </c>
      <c r="C1240" s="263" t="s">
        <v>696</v>
      </c>
      <c r="D1240" s="157" t="s">
        <v>697</v>
      </c>
      <c r="E1240" s="44">
        <f t="shared" si="90"/>
        <v>43353</v>
      </c>
      <c r="F1240" s="146" t="str">
        <f t="shared" si="91"/>
        <v>2018-19</v>
      </c>
      <c r="G1240" s="1"/>
      <c r="H1240" s="161"/>
      <c r="I1240" s="37"/>
      <c r="J1240" s="135">
        <f t="shared" si="87"/>
        <v>0.76382508261777382</v>
      </c>
      <c r="K1240" s="112"/>
      <c r="L1240" s="37">
        <v>74.806171835699999</v>
      </c>
      <c r="M1240" s="37" t="s">
        <v>288</v>
      </c>
      <c r="N1240" s="37">
        <v>3336.4019512195118</v>
      </c>
      <c r="O1240" s="130">
        <f t="shared" si="88"/>
        <v>249583.45767589158</v>
      </c>
      <c r="P1240" s="132">
        <f t="shared" si="89"/>
        <v>5849.9940087951381</v>
      </c>
      <c r="Q1240" s="261">
        <v>3.0686383518617813E-2</v>
      </c>
      <c r="R1240" s="92"/>
    </row>
    <row r="1241" spans="1:18" x14ac:dyDescent="0.25">
      <c r="A1241" s="353">
        <v>43353</v>
      </c>
      <c r="B1241" s="353" t="s">
        <v>285</v>
      </c>
      <c r="C1241" s="263" t="s">
        <v>696</v>
      </c>
      <c r="D1241" s="157" t="s">
        <v>697</v>
      </c>
      <c r="E1241" s="44">
        <f t="shared" si="90"/>
        <v>43353</v>
      </c>
      <c r="F1241" s="146" t="str">
        <f t="shared" si="91"/>
        <v>2018-19</v>
      </c>
      <c r="G1241" s="1"/>
      <c r="H1241" s="161"/>
      <c r="I1241" s="37"/>
      <c r="J1241" s="135">
        <f t="shared" si="87"/>
        <v>0.76382508261777382</v>
      </c>
      <c r="K1241" s="112"/>
      <c r="L1241" s="37">
        <v>74.712882682</v>
      </c>
      <c r="M1241" s="37" t="s">
        <v>288</v>
      </c>
      <c r="N1241" s="37">
        <v>3336.4019512195118</v>
      </c>
      <c r="O1241" s="130">
        <f t="shared" si="88"/>
        <v>249272.20756145928</v>
      </c>
      <c r="P1241" s="132">
        <f t="shared" si="89"/>
        <v>5842.6986082040057</v>
      </c>
      <c r="Q1241" s="261">
        <v>3.0686383518617813E-2</v>
      </c>
      <c r="R1241" s="92"/>
    </row>
    <row r="1242" spans="1:18" x14ac:dyDescent="0.25">
      <c r="A1242" s="353">
        <v>43353</v>
      </c>
      <c r="B1242" s="353" t="s">
        <v>285</v>
      </c>
      <c r="C1242" s="263" t="s">
        <v>696</v>
      </c>
      <c r="D1242" s="157" t="s">
        <v>697</v>
      </c>
      <c r="E1242" s="44">
        <f t="shared" si="90"/>
        <v>43353</v>
      </c>
      <c r="F1242" s="146" t="str">
        <f t="shared" si="91"/>
        <v>2018-19</v>
      </c>
      <c r="G1242" s="1"/>
      <c r="H1242" s="161"/>
      <c r="I1242" s="37"/>
      <c r="J1242" s="135">
        <f t="shared" ref="J1242:J1305" si="92">J1241</f>
        <v>0.76382508261777382</v>
      </c>
      <c r="K1242" s="112"/>
      <c r="L1242" s="37">
        <v>12.0019532072</v>
      </c>
      <c r="M1242" s="37" t="s">
        <v>288</v>
      </c>
      <c r="N1242" s="37">
        <v>812.22926829268283</v>
      </c>
      <c r="O1242" s="130">
        <f t="shared" ref="O1242:O1305" si="93">IF(N1242="","-",L1242*N1242)</f>
        <v>9748.3376715670729</v>
      </c>
      <c r="P1242" s="132">
        <f t="shared" ref="P1242:P1305" si="94">IF(O1242="-","-",IF(OR(E1242&lt;$E$15,E1242&gt;$E$16),0,O1242*J1242))*Q1242</f>
        <v>228.49157354184658</v>
      </c>
      <c r="Q1242" s="261">
        <v>3.0686383518617813E-2</v>
      </c>
      <c r="R1242" s="92"/>
    </row>
    <row r="1243" spans="1:18" x14ac:dyDescent="0.25">
      <c r="A1243" s="353">
        <v>43353</v>
      </c>
      <c r="B1243" s="353" t="s">
        <v>285</v>
      </c>
      <c r="C1243" s="263" t="s">
        <v>696</v>
      </c>
      <c r="D1243" s="157" t="s">
        <v>697</v>
      </c>
      <c r="E1243" s="44">
        <f t="shared" ref="E1243:E1306" si="95">IF(VALUE(A1243)&lt;2022,DATEVALUE("30 Jun "&amp;A1243),A1243)</f>
        <v>43353</v>
      </c>
      <c r="F1243" s="146" t="str">
        <f t="shared" si="91"/>
        <v>2018-19</v>
      </c>
      <c r="G1243" s="1"/>
      <c r="H1243" s="161"/>
      <c r="I1243" s="37"/>
      <c r="J1243" s="135">
        <f t="shared" si="92"/>
        <v>0.76382508261777382</v>
      </c>
      <c r="K1243" s="112"/>
      <c r="L1243" s="37">
        <v>23.5312472072</v>
      </c>
      <c r="M1243" s="37" t="s">
        <v>288</v>
      </c>
      <c r="N1243" s="37">
        <v>3336.4019512195118</v>
      </c>
      <c r="O1243" s="130">
        <f t="shared" si="93"/>
        <v>78509.699096730765</v>
      </c>
      <c r="P1243" s="132">
        <f t="shared" si="94"/>
        <v>1840.1911473820735</v>
      </c>
      <c r="Q1243" s="261">
        <v>3.0686383518617813E-2</v>
      </c>
      <c r="R1243" s="92"/>
    </row>
    <row r="1244" spans="1:18" x14ac:dyDescent="0.25">
      <c r="A1244" s="353">
        <v>43353</v>
      </c>
      <c r="B1244" s="353" t="s">
        <v>285</v>
      </c>
      <c r="C1244" s="263" t="s">
        <v>696</v>
      </c>
      <c r="D1244" s="157" t="s">
        <v>697</v>
      </c>
      <c r="E1244" s="44">
        <f t="shared" si="95"/>
        <v>43353</v>
      </c>
      <c r="F1244" s="146" t="str">
        <f t="shared" si="91"/>
        <v>2018-19</v>
      </c>
      <c r="G1244" s="1"/>
      <c r="H1244" s="161"/>
      <c r="I1244" s="37"/>
      <c r="J1244" s="135">
        <f t="shared" si="92"/>
        <v>0.76382508261777382</v>
      </c>
      <c r="K1244" s="112"/>
      <c r="L1244" s="37">
        <v>83.867147586399994</v>
      </c>
      <c r="M1244" s="37" t="s">
        <v>288</v>
      </c>
      <c r="N1244" s="37">
        <v>812.22926829268283</v>
      </c>
      <c r="O1244" s="130">
        <f t="shared" si="93"/>
        <v>68119.351917896114</v>
      </c>
      <c r="P1244" s="132">
        <f t="shared" si="94"/>
        <v>1596.6514941073865</v>
      </c>
      <c r="Q1244" s="261">
        <v>3.0686383518617813E-2</v>
      </c>
      <c r="R1244" s="92"/>
    </row>
    <row r="1245" spans="1:18" x14ac:dyDescent="0.25">
      <c r="A1245" s="353">
        <v>43353</v>
      </c>
      <c r="B1245" s="353" t="s">
        <v>285</v>
      </c>
      <c r="C1245" s="263" t="s">
        <v>696</v>
      </c>
      <c r="D1245" s="157" t="s">
        <v>697</v>
      </c>
      <c r="E1245" s="44">
        <f t="shared" si="95"/>
        <v>43353</v>
      </c>
      <c r="F1245" s="146" t="str">
        <f t="shared" si="91"/>
        <v>2018-19</v>
      </c>
      <c r="G1245" s="1"/>
      <c r="H1245" s="161"/>
      <c r="I1245" s="37"/>
      <c r="J1245" s="135">
        <f t="shared" si="92"/>
        <v>0.76382508261777382</v>
      </c>
      <c r="K1245" s="112"/>
      <c r="L1245" s="37">
        <v>33.7063106608</v>
      </c>
      <c r="M1245" s="37" t="s">
        <v>288</v>
      </c>
      <c r="N1245" s="37">
        <v>812.22926829268283</v>
      </c>
      <c r="O1245" s="130">
        <f t="shared" si="93"/>
        <v>27377.25204486744</v>
      </c>
      <c r="P1245" s="132">
        <f t="shared" si="94"/>
        <v>641.69621629221967</v>
      </c>
      <c r="Q1245" s="261">
        <v>3.0686383518617813E-2</v>
      </c>
      <c r="R1245" s="92"/>
    </row>
    <row r="1246" spans="1:18" x14ac:dyDescent="0.25">
      <c r="A1246" s="353">
        <v>43353</v>
      </c>
      <c r="B1246" s="353" t="s">
        <v>285</v>
      </c>
      <c r="C1246" s="263" t="s">
        <v>696</v>
      </c>
      <c r="D1246" s="157" t="s">
        <v>697</v>
      </c>
      <c r="E1246" s="44">
        <f t="shared" si="95"/>
        <v>43353</v>
      </c>
      <c r="F1246" s="146" t="str">
        <f t="shared" si="91"/>
        <v>2018-19</v>
      </c>
      <c r="G1246" s="1"/>
      <c r="H1246" s="161"/>
      <c r="I1246" s="37"/>
      <c r="J1246" s="135">
        <f t="shared" si="92"/>
        <v>0.76382508261777382</v>
      </c>
      <c r="K1246" s="112"/>
      <c r="L1246" s="37">
        <v>73.806230635399999</v>
      </c>
      <c r="M1246" s="37" t="s">
        <v>288</v>
      </c>
      <c r="N1246" s="37">
        <v>3336.4019512195118</v>
      </c>
      <c r="O1246" s="130">
        <f t="shared" si="93"/>
        <v>246247.25190410585</v>
      </c>
      <c r="P1246" s="132">
        <f t="shared" si="94"/>
        <v>5771.7965835378982</v>
      </c>
      <c r="Q1246" s="261">
        <v>3.0686383518617813E-2</v>
      </c>
      <c r="R1246" s="92"/>
    </row>
    <row r="1247" spans="1:18" x14ac:dyDescent="0.25">
      <c r="A1247" s="353">
        <v>43353</v>
      </c>
      <c r="B1247" s="353" t="s">
        <v>285</v>
      </c>
      <c r="C1247" s="263" t="s">
        <v>696</v>
      </c>
      <c r="D1247" s="157" t="s">
        <v>697</v>
      </c>
      <c r="E1247" s="44">
        <f t="shared" si="95"/>
        <v>43353</v>
      </c>
      <c r="F1247" s="146" t="str">
        <f t="shared" si="91"/>
        <v>2018-19</v>
      </c>
      <c r="G1247" s="1"/>
      <c r="H1247" s="161"/>
      <c r="I1247" s="37"/>
      <c r="J1247" s="135">
        <f t="shared" si="92"/>
        <v>0.76382508261777382</v>
      </c>
      <c r="K1247" s="112"/>
      <c r="L1247" s="37">
        <v>21.829885622799999</v>
      </c>
      <c r="M1247" s="37" t="s">
        <v>288</v>
      </c>
      <c r="N1247" s="37">
        <v>3336.4019512195118</v>
      </c>
      <c r="O1247" s="130">
        <f t="shared" si="93"/>
        <v>72833.27298680869</v>
      </c>
      <c r="P1247" s="132">
        <f t="shared" si="94"/>
        <v>1707.1412287551145</v>
      </c>
      <c r="Q1247" s="261">
        <v>3.0686383518617813E-2</v>
      </c>
      <c r="R1247" s="92"/>
    </row>
    <row r="1248" spans="1:18" x14ac:dyDescent="0.25">
      <c r="A1248" s="353">
        <v>43353</v>
      </c>
      <c r="B1248" s="353" t="s">
        <v>285</v>
      </c>
      <c r="C1248" s="263" t="s">
        <v>696</v>
      </c>
      <c r="D1248" s="157" t="s">
        <v>697</v>
      </c>
      <c r="E1248" s="44">
        <f t="shared" si="95"/>
        <v>43353</v>
      </c>
      <c r="F1248" s="146" t="str">
        <f t="shared" si="91"/>
        <v>2018-19</v>
      </c>
      <c r="G1248" s="1"/>
      <c r="H1248" s="161"/>
      <c r="I1248" s="37"/>
      <c r="J1248" s="135">
        <f t="shared" si="92"/>
        <v>0.76382508261777382</v>
      </c>
      <c r="K1248" s="112"/>
      <c r="L1248" s="37">
        <v>14.305743290800001</v>
      </c>
      <c r="M1248" s="37" t="s">
        <v>288</v>
      </c>
      <c r="N1248" s="37">
        <v>812.22926829268283</v>
      </c>
      <c r="O1248" s="130">
        <f t="shared" si="93"/>
        <v>11619.543405469441</v>
      </c>
      <c r="P1248" s="132">
        <f t="shared" si="94"/>
        <v>272.35081980153706</v>
      </c>
      <c r="Q1248" s="261">
        <v>3.0686383518617813E-2</v>
      </c>
      <c r="R1248" s="92"/>
    </row>
    <row r="1249" spans="1:18" x14ac:dyDescent="0.25">
      <c r="A1249" s="353">
        <v>43353</v>
      </c>
      <c r="B1249" s="353" t="s">
        <v>285</v>
      </c>
      <c r="C1249" s="263" t="s">
        <v>696</v>
      </c>
      <c r="D1249" s="157" t="s">
        <v>697</v>
      </c>
      <c r="E1249" s="44">
        <f t="shared" si="95"/>
        <v>43353</v>
      </c>
      <c r="F1249" s="146" t="str">
        <f t="shared" si="91"/>
        <v>2018-19</v>
      </c>
      <c r="G1249" s="1"/>
      <c r="H1249" s="161"/>
      <c r="I1249" s="37"/>
      <c r="J1249" s="135">
        <f t="shared" si="92"/>
        <v>0.76382508261777382</v>
      </c>
      <c r="K1249" s="112"/>
      <c r="L1249" s="37">
        <v>6.6511244837100003</v>
      </c>
      <c r="M1249" s="37" t="s">
        <v>288</v>
      </c>
      <c r="N1249" s="37">
        <v>812.22926829268283</v>
      </c>
      <c r="O1249" s="130">
        <f t="shared" si="93"/>
        <v>5402.237972727321</v>
      </c>
      <c r="P1249" s="132">
        <f t="shared" si="94"/>
        <v>126.62321481089535</v>
      </c>
      <c r="Q1249" s="261">
        <v>3.0686383518617813E-2</v>
      </c>
      <c r="R1249" s="92"/>
    </row>
    <row r="1250" spans="1:18" x14ac:dyDescent="0.25">
      <c r="A1250" s="353">
        <v>43353</v>
      </c>
      <c r="B1250" s="353" t="s">
        <v>285</v>
      </c>
      <c r="C1250" s="263" t="s">
        <v>696</v>
      </c>
      <c r="D1250" s="157" t="s">
        <v>697</v>
      </c>
      <c r="E1250" s="44">
        <f t="shared" si="95"/>
        <v>43353</v>
      </c>
      <c r="F1250" s="146" t="str">
        <f t="shared" si="91"/>
        <v>2018-19</v>
      </c>
      <c r="G1250" s="1"/>
      <c r="H1250" s="161"/>
      <c r="I1250" s="37"/>
      <c r="J1250" s="135">
        <f t="shared" si="92"/>
        <v>0.76382508261777382</v>
      </c>
      <c r="K1250" s="112"/>
      <c r="L1250" s="37">
        <v>7.1485643399500001</v>
      </c>
      <c r="M1250" s="37" t="s">
        <v>288</v>
      </c>
      <c r="N1250" s="37">
        <v>3336.4019512195118</v>
      </c>
      <c r="O1250" s="130">
        <f t="shared" si="93"/>
        <v>23850.484012227404</v>
      </c>
      <c r="P1250" s="132">
        <f t="shared" si="94"/>
        <v>559.03219659526314</v>
      </c>
      <c r="Q1250" s="261">
        <v>3.0686383518617813E-2</v>
      </c>
      <c r="R1250" s="92"/>
    </row>
    <row r="1251" spans="1:18" x14ac:dyDescent="0.25">
      <c r="A1251" s="353">
        <v>43353</v>
      </c>
      <c r="B1251" s="353" t="s">
        <v>285</v>
      </c>
      <c r="C1251" s="263" t="s">
        <v>696</v>
      </c>
      <c r="D1251" s="157" t="s">
        <v>697</v>
      </c>
      <c r="E1251" s="44">
        <f t="shared" si="95"/>
        <v>43353</v>
      </c>
      <c r="F1251" s="146" t="str">
        <f t="shared" si="91"/>
        <v>2018-19</v>
      </c>
      <c r="G1251" s="1"/>
      <c r="H1251" s="161"/>
      <c r="I1251" s="37"/>
      <c r="J1251" s="135">
        <f t="shared" si="92"/>
        <v>0.76382508261777382</v>
      </c>
      <c r="K1251" s="112"/>
      <c r="L1251" s="37">
        <v>26.818333971400001</v>
      </c>
      <c r="M1251" s="37" t="s">
        <v>288</v>
      </c>
      <c r="N1251" s="37">
        <v>3336.4019512195118</v>
      </c>
      <c r="O1251" s="130">
        <f t="shared" si="93"/>
        <v>89476.741790635482</v>
      </c>
      <c r="P1251" s="132">
        <f t="shared" si="94"/>
        <v>2097.247983804531</v>
      </c>
      <c r="Q1251" s="261">
        <v>3.0686383518617813E-2</v>
      </c>
      <c r="R1251" s="92"/>
    </row>
    <row r="1252" spans="1:18" x14ac:dyDescent="0.25">
      <c r="A1252" s="353">
        <v>43353</v>
      </c>
      <c r="B1252" s="353" t="s">
        <v>285</v>
      </c>
      <c r="C1252" s="263" t="s">
        <v>696</v>
      </c>
      <c r="D1252" s="157" t="s">
        <v>697</v>
      </c>
      <c r="E1252" s="44">
        <f t="shared" si="95"/>
        <v>43353</v>
      </c>
      <c r="F1252" s="146" t="str">
        <f t="shared" si="91"/>
        <v>2018-19</v>
      </c>
      <c r="G1252" s="1"/>
      <c r="H1252" s="161"/>
      <c r="I1252" s="37"/>
      <c r="J1252" s="135">
        <f t="shared" si="92"/>
        <v>0.76382508261777382</v>
      </c>
      <c r="K1252" s="112"/>
      <c r="L1252" s="37">
        <v>31.367990203800002</v>
      </c>
      <c r="M1252" s="37" t="s">
        <v>288</v>
      </c>
      <c r="N1252" s="37">
        <v>812.22926829268283</v>
      </c>
      <c r="O1252" s="130">
        <f t="shared" si="93"/>
        <v>25477.999731044518</v>
      </c>
      <c r="P1252" s="132">
        <f t="shared" si="94"/>
        <v>597.1795854204629</v>
      </c>
      <c r="Q1252" s="261">
        <v>3.0686383518617813E-2</v>
      </c>
      <c r="R1252" s="92"/>
    </row>
    <row r="1253" spans="1:18" x14ac:dyDescent="0.25">
      <c r="A1253" s="353">
        <v>43353</v>
      </c>
      <c r="B1253" s="353" t="s">
        <v>285</v>
      </c>
      <c r="C1253" s="263" t="s">
        <v>696</v>
      </c>
      <c r="D1253" s="157" t="s">
        <v>697</v>
      </c>
      <c r="E1253" s="44">
        <f t="shared" si="95"/>
        <v>43353</v>
      </c>
      <c r="F1253" s="146" t="str">
        <f t="shared" si="91"/>
        <v>2018-19</v>
      </c>
      <c r="G1253" s="1"/>
      <c r="H1253" s="161"/>
      <c r="I1253" s="37"/>
      <c r="J1253" s="135">
        <f t="shared" si="92"/>
        <v>0.76382508261777382</v>
      </c>
      <c r="K1253" s="112"/>
      <c r="L1253" s="37">
        <v>22.3957903634</v>
      </c>
      <c r="M1253" s="37" t="s">
        <v>288</v>
      </c>
      <c r="N1253" s="37">
        <v>812.22926829268283</v>
      </c>
      <c r="O1253" s="130">
        <f t="shared" si="93"/>
        <v>18190.5164197007</v>
      </c>
      <c r="P1253" s="132">
        <f t="shared" si="94"/>
        <v>426.36804964184836</v>
      </c>
      <c r="Q1253" s="261">
        <v>3.0686383518617813E-2</v>
      </c>
      <c r="R1253" s="92"/>
    </row>
    <row r="1254" spans="1:18" x14ac:dyDescent="0.25">
      <c r="A1254" s="353">
        <v>43353</v>
      </c>
      <c r="B1254" s="353" t="s">
        <v>285</v>
      </c>
      <c r="C1254" s="263" t="s">
        <v>696</v>
      </c>
      <c r="D1254" s="157" t="s">
        <v>697</v>
      </c>
      <c r="E1254" s="44">
        <f t="shared" si="95"/>
        <v>43353</v>
      </c>
      <c r="F1254" s="146" t="str">
        <f t="shared" si="91"/>
        <v>2018-19</v>
      </c>
      <c r="G1254" s="1"/>
      <c r="H1254" s="161"/>
      <c r="I1254" s="37"/>
      <c r="J1254" s="135">
        <f t="shared" si="92"/>
        <v>0.76382508261777382</v>
      </c>
      <c r="K1254" s="112"/>
      <c r="L1254" s="37">
        <v>4.8176551350199999</v>
      </c>
      <c r="M1254" s="37" t="s">
        <v>288</v>
      </c>
      <c r="N1254" s="37">
        <v>812.22926829268283</v>
      </c>
      <c r="O1254" s="130">
        <f t="shared" si="93"/>
        <v>3913.0405052037804</v>
      </c>
      <c r="P1254" s="132">
        <f t="shared" si="94"/>
        <v>91.717871547966752</v>
      </c>
      <c r="Q1254" s="261">
        <v>3.0686383518617813E-2</v>
      </c>
      <c r="R1254" s="92"/>
    </row>
    <row r="1255" spans="1:18" x14ac:dyDescent="0.25">
      <c r="A1255" s="353">
        <v>43353</v>
      </c>
      <c r="B1255" s="353" t="s">
        <v>285</v>
      </c>
      <c r="C1255" s="263" t="s">
        <v>696</v>
      </c>
      <c r="D1255" s="157" t="s">
        <v>697</v>
      </c>
      <c r="E1255" s="44">
        <f t="shared" si="95"/>
        <v>43353</v>
      </c>
      <c r="F1255" s="146" t="str">
        <f t="shared" si="91"/>
        <v>2018-19</v>
      </c>
      <c r="G1255" s="1"/>
      <c r="H1255" s="161"/>
      <c r="I1255" s="37"/>
      <c r="J1255" s="135">
        <f t="shared" si="92"/>
        <v>0.76382508261777382</v>
      </c>
      <c r="K1255" s="112"/>
      <c r="L1255" s="37">
        <v>20.990623718799998</v>
      </c>
      <c r="M1255" s="37" t="s">
        <v>288</v>
      </c>
      <c r="N1255" s="37">
        <v>812.22926829268283</v>
      </c>
      <c r="O1255" s="130">
        <f t="shared" si="93"/>
        <v>17049.198944127955</v>
      </c>
      <c r="P1255" s="132">
        <f t="shared" si="94"/>
        <v>399.61667574709247</v>
      </c>
      <c r="Q1255" s="261">
        <v>3.0686383518617813E-2</v>
      </c>
      <c r="R1255" s="92"/>
    </row>
    <row r="1256" spans="1:18" x14ac:dyDescent="0.25">
      <c r="A1256" s="353">
        <v>43353</v>
      </c>
      <c r="B1256" s="353" t="s">
        <v>285</v>
      </c>
      <c r="C1256" s="263" t="s">
        <v>696</v>
      </c>
      <c r="D1256" s="157" t="s">
        <v>697</v>
      </c>
      <c r="E1256" s="44">
        <f t="shared" si="95"/>
        <v>43353</v>
      </c>
      <c r="F1256" s="146" t="str">
        <f t="shared" si="91"/>
        <v>2018-19</v>
      </c>
      <c r="G1256" s="1"/>
      <c r="H1256" s="161"/>
      <c r="I1256" s="37"/>
      <c r="J1256" s="135">
        <f t="shared" si="92"/>
        <v>0.76382508261777382</v>
      </c>
      <c r="K1256" s="112"/>
      <c r="L1256" s="37">
        <v>18.123624615499999</v>
      </c>
      <c r="M1256" s="37" t="s">
        <v>288</v>
      </c>
      <c r="N1256" s="37">
        <v>812.22926829268283</v>
      </c>
      <c r="O1256" s="130">
        <f t="shared" si="93"/>
        <v>14720.538360258819</v>
      </c>
      <c r="P1256" s="132">
        <f t="shared" si="94"/>
        <v>345.03513179780492</v>
      </c>
      <c r="Q1256" s="261">
        <v>3.0686383518617813E-2</v>
      </c>
      <c r="R1256" s="92"/>
    </row>
    <row r="1257" spans="1:18" x14ac:dyDescent="0.25">
      <c r="A1257" s="353">
        <v>43353</v>
      </c>
      <c r="B1257" s="353" t="s">
        <v>285</v>
      </c>
      <c r="C1257" s="263" t="s">
        <v>696</v>
      </c>
      <c r="D1257" s="157" t="s">
        <v>697</v>
      </c>
      <c r="E1257" s="44">
        <f t="shared" si="95"/>
        <v>43353</v>
      </c>
      <c r="F1257" s="146" t="str">
        <f t="shared" si="91"/>
        <v>2018-19</v>
      </c>
      <c r="G1257" s="1"/>
      <c r="H1257" s="161"/>
      <c r="I1257" s="37"/>
      <c r="J1257" s="135">
        <f t="shared" si="92"/>
        <v>0.76382508261777382</v>
      </c>
      <c r="K1257" s="112"/>
      <c r="L1257" s="37">
        <v>32.660399033099999</v>
      </c>
      <c r="M1257" s="37" t="s">
        <v>288</v>
      </c>
      <c r="N1257" s="37">
        <v>812.22926829268283</v>
      </c>
      <c r="O1257" s="130">
        <f t="shared" si="93"/>
        <v>26527.732008801857</v>
      </c>
      <c r="P1257" s="132">
        <f t="shared" si="94"/>
        <v>621.78429116860548</v>
      </c>
      <c r="Q1257" s="261">
        <v>3.0686383518617813E-2</v>
      </c>
      <c r="R1257" s="92"/>
    </row>
    <row r="1258" spans="1:18" x14ac:dyDescent="0.25">
      <c r="A1258" s="353">
        <v>43353</v>
      </c>
      <c r="B1258" s="353" t="s">
        <v>285</v>
      </c>
      <c r="C1258" s="263" t="s">
        <v>696</v>
      </c>
      <c r="D1258" s="157" t="s">
        <v>697</v>
      </c>
      <c r="E1258" s="44">
        <f t="shared" si="95"/>
        <v>43353</v>
      </c>
      <c r="F1258" s="146" t="str">
        <f t="shared" si="91"/>
        <v>2018-19</v>
      </c>
      <c r="G1258" s="1"/>
      <c r="H1258" s="161"/>
      <c r="I1258" s="37"/>
      <c r="J1258" s="135">
        <f t="shared" si="92"/>
        <v>0.76382508261777382</v>
      </c>
      <c r="K1258" s="112"/>
      <c r="L1258" s="37">
        <v>5.2717019073499998</v>
      </c>
      <c r="M1258" s="37" t="s">
        <v>288</v>
      </c>
      <c r="N1258" s="37">
        <v>812.22926829268283</v>
      </c>
      <c r="O1258" s="130">
        <f t="shared" si="93"/>
        <v>4281.8305828640305</v>
      </c>
      <c r="P1258" s="132">
        <f t="shared" si="94"/>
        <v>100.36195303039086</v>
      </c>
      <c r="Q1258" s="261">
        <v>3.0686383518617813E-2</v>
      </c>
      <c r="R1258" s="92"/>
    </row>
    <row r="1259" spans="1:18" x14ac:dyDescent="0.25">
      <c r="A1259" s="353">
        <v>43353</v>
      </c>
      <c r="B1259" s="353" t="s">
        <v>285</v>
      </c>
      <c r="C1259" s="263" t="s">
        <v>696</v>
      </c>
      <c r="D1259" s="157" t="s">
        <v>697</v>
      </c>
      <c r="E1259" s="44">
        <f t="shared" si="95"/>
        <v>43353</v>
      </c>
      <c r="F1259" s="146" t="str">
        <f t="shared" si="91"/>
        <v>2018-19</v>
      </c>
      <c r="G1259" s="1"/>
      <c r="H1259" s="161"/>
      <c r="I1259" s="37"/>
      <c r="J1259" s="135">
        <f t="shared" si="92"/>
        <v>0.76382508261777382</v>
      </c>
      <c r="K1259" s="112"/>
      <c r="L1259" s="37">
        <v>27.403560676400001</v>
      </c>
      <c r="M1259" s="37" t="s">
        <v>288</v>
      </c>
      <c r="N1259" s="37">
        <v>3336.4019512195118</v>
      </c>
      <c r="O1259" s="130">
        <f t="shared" si="93"/>
        <v>91429.293311103247</v>
      </c>
      <c r="P1259" s="132">
        <f t="shared" si="94"/>
        <v>2143.0138963492377</v>
      </c>
      <c r="Q1259" s="261">
        <v>3.0686383518617813E-2</v>
      </c>
      <c r="R1259" s="92"/>
    </row>
    <row r="1260" spans="1:18" x14ac:dyDescent="0.25">
      <c r="A1260" s="353">
        <v>43353</v>
      </c>
      <c r="B1260" s="353" t="s">
        <v>285</v>
      </c>
      <c r="C1260" s="263" t="s">
        <v>696</v>
      </c>
      <c r="D1260" s="157" t="s">
        <v>697</v>
      </c>
      <c r="E1260" s="44">
        <f t="shared" si="95"/>
        <v>43353</v>
      </c>
      <c r="F1260" s="146" t="str">
        <f t="shared" si="91"/>
        <v>2018-19</v>
      </c>
      <c r="G1260" s="1"/>
      <c r="H1260" s="161"/>
      <c r="I1260" s="37"/>
      <c r="J1260" s="135">
        <f t="shared" si="92"/>
        <v>0.76382508261777382</v>
      </c>
      <c r="K1260" s="112"/>
      <c r="L1260" s="37">
        <v>22.2308586957</v>
      </c>
      <c r="M1260" s="37" t="s">
        <v>288</v>
      </c>
      <c r="N1260" s="37">
        <v>812.22926829268283</v>
      </c>
      <c r="O1260" s="130">
        <f t="shared" si="93"/>
        <v>18056.554091926435</v>
      </c>
      <c r="P1260" s="132">
        <f t="shared" si="94"/>
        <v>423.22810269912515</v>
      </c>
      <c r="Q1260" s="261">
        <v>3.0686383518617813E-2</v>
      </c>
      <c r="R1260" s="92"/>
    </row>
    <row r="1261" spans="1:18" x14ac:dyDescent="0.25">
      <c r="A1261" s="353">
        <v>43353</v>
      </c>
      <c r="B1261" s="353" t="s">
        <v>285</v>
      </c>
      <c r="C1261" s="263" t="s">
        <v>696</v>
      </c>
      <c r="D1261" s="157" t="s">
        <v>697</v>
      </c>
      <c r="E1261" s="44">
        <f t="shared" si="95"/>
        <v>43353</v>
      </c>
      <c r="F1261" s="146" t="str">
        <f t="shared" si="91"/>
        <v>2018-19</v>
      </c>
      <c r="G1261" s="1"/>
      <c r="H1261" s="161"/>
      <c r="I1261" s="37"/>
      <c r="J1261" s="135">
        <f t="shared" si="92"/>
        <v>0.76382508261777382</v>
      </c>
      <c r="K1261" s="112"/>
      <c r="L1261" s="37">
        <v>21.464139418999999</v>
      </c>
      <c r="M1261" s="37" t="s">
        <v>288</v>
      </c>
      <c r="N1261" s="37">
        <v>812.22926829268283</v>
      </c>
      <c r="O1261" s="130">
        <f t="shared" si="93"/>
        <v>17433.8022548265</v>
      </c>
      <c r="P1261" s="132">
        <f t="shared" si="94"/>
        <v>408.63140406402687</v>
      </c>
      <c r="Q1261" s="261">
        <v>3.0686383518617813E-2</v>
      </c>
      <c r="R1261" s="92"/>
    </row>
    <row r="1262" spans="1:18" x14ac:dyDescent="0.25">
      <c r="A1262" s="353">
        <v>43353</v>
      </c>
      <c r="B1262" s="353" t="s">
        <v>285</v>
      </c>
      <c r="C1262" s="263" t="s">
        <v>696</v>
      </c>
      <c r="D1262" s="157" t="s">
        <v>697</v>
      </c>
      <c r="E1262" s="44">
        <f t="shared" si="95"/>
        <v>43353</v>
      </c>
      <c r="F1262" s="146" t="str">
        <f t="shared" si="91"/>
        <v>2018-19</v>
      </c>
      <c r="G1262" s="1"/>
      <c r="H1262" s="161"/>
      <c r="I1262" s="37"/>
      <c r="J1262" s="135">
        <f t="shared" si="92"/>
        <v>0.76382508261777382</v>
      </c>
      <c r="K1262" s="112"/>
      <c r="L1262" s="37">
        <v>35.771327624199998</v>
      </c>
      <c r="M1262" s="37" t="s">
        <v>288</v>
      </c>
      <c r="N1262" s="37">
        <v>812.22926829268283</v>
      </c>
      <c r="O1262" s="130">
        <f t="shared" si="93"/>
        <v>29054.519262061796</v>
      </c>
      <c r="P1262" s="132">
        <f t="shared" si="94"/>
        <v>681.00973195188863</v>
      </c>
      <c r="Q1262" s="261">
        <v>3.0686383518617813E-2</v>
      </c>
      <c r="R1262" s="92"/>
    </row>
    <row r="1263" spans="1:18" x14ac:dyDescent="0.25">
      <c r="A1263" s="353">
        <v>43353</v>
      </c>
      <c r="B1263" s="353" t="s">
        <v>285</v>
      </c>
      <c r="C1263" s="263" t="s">
        <v>696</v>
      </c>
      <c r="D1263" s="157" t="s">
        <v>697</v>
      </c>
      <c r="E1263" s="44">
        <f t="shared" si="95"/>
        <v>43353</v>
      </c>
      <c r="F1263" s="146" t="str">
        <f t="shared" si="91"/>
        <v>2018-19</v>
      </c>
      <c r="G1263" s="1"/>
      <c r="H1263" s="161"/>
      <c r="I1263" s="37"/>
      <c r="J1263" s="135">
        <f t="shared" si="92"/>
        <v>0.76382508261777382</v>
      </c>
      <c r="K1263" s="112"/>
      <c r="L1263" s="37">
        <v>38.503482899399998</v>
      </c>
      <c r="M1263" s="37" t="s">
        <v>288</v>
      </c>
      <c r="N1263" s="37">
        <v>812.22926829268283</v>
      </c>
      <c r="O1263" s="130">
        <f t="shared" si="93"/>
        <v>31273.655742099487</v>
      </c>
      <c r="P1263" s="132">
        <f t="shared" si="94"/>
        <v>733.02413720857646</v>
      </c>
      <c r="Q1263" s="261">
        <v>3.0686383518617813E-2</v>
      </c>
      <c r="R1263" s="92"/>
    </row>
    <row r="1264" spans="1:18" x14ac:dyDescent="0.25">
      <c r="A1264" s="353">
        <v>43353</v>
      </c>
      <c r="B1264" s="353" t="s">
        <v>285</v>
      </c>
      <c r="C1264" s="263" t="s">
        <v>696</v>
      </c>
      <c r="D1264" s="157" t="s">
        <v>697</v>
      </c>
      <c r="E1264" s="44">
        <f t="shared" si="95"/>
        <v>43353</v>
      </c>
      <c r="F1264" s="146" t="str">
        <f t="shared" si="91"/>
        <v>2018-19</v>
      </c>
      <c r="G1264" s="1"/>
      <c r="H1264" s="161"/>
      <c r="I1264" s="37"/>
      <c r="J1264" s="135">
        <f t="shared" si="92"/>
        <v>0.76382508261777382</v>
      </c>
      <c r="K1264" s="112"/>
      <c r="L1264" s="37">
        <v>35.282852339599998</v>
      </c>
      <c r="M1264" s="37" t="s">
        <v>288</v>
      </c>
      <c r="N1264" s="37">
        <v>3336.4019512195118</v>
      </c>
      <c r="O1264" s="130">
        <f t="shared" si="93"/>
        <v>117717.77739043135</v>
      </c>
      <c r="P1264" s="132">
        <f t="shared" si="94"/>
        <v>2759.1904482587152</v>
      </c>
      <c r="Q1264" s="261">
        <v>3.0686383518617813E-2</v>
      </c>
      <c r="R1264" s="92"/>
    </row>
    <row r="1265" spans="1:18" x14ac:dyDescent="0.25">
      <c r="A1265" s="353">
        <v>43353</v>
      </c>
      <c r="B1265" s="353" t="s">
        <v>285</v>
      </c>
      <c r="C1265" s="263" t="s">
        <v>696</v>
      </c>
      <c r="D1265" s="157" t="s">
        <v>697</v>
      </c>
      <c r="E1265" s="44">
        <f t="shared" si="95"/>
        <v>43353</v>
      </c>
      <c r="F1265" s="146" t="str">
        <f t="shared" si="91"/>
        <v>2018-19</v>
      </c>
      <c r="G1265" s="1"/>
      <c r="H1265" s="161"/>
      <c r="I1265" s="37"/>
      <c r="J1265" s="135">
        <f t="shared" si="92"/>
        <v>0.76382508261777382</v>
      </c>
      <c r="K1265" s="112"/>
      <c r="L1265" s="37">
        <v>23.335358662400001</v>
      </c>
      <c r="M1265" s="37" t="s">
        <v>288</v>
      </c>
      <c r="N1265" s="37">
        <v>3336.4019512195118</v>
      </c>
      <c r="O1265" s="130">
        <f t="shared" si="93"/>
        <v>77856.136173638501</v>
      </c>
      <c r="P1265" s="132">
        <f t="shared" si="94"/>
        <v>1824.8722667957434</v>
      </c>
      <c r="Q1265" s="261">
        <v>3.0686383518617813E-2</v>
      </c>
      <c r="R1265" s="92"/>
    </row>
    <row r="1266" spans="1:18" x14ac:dyDescent="0.25">
      <c r="A1266" s="353">
        <v>43353</v>
      </c>
      <c r="B1266" s="353" t="s">
        <v>285</v>
      </c>
      <c r="C1266" s="263" t="s">
        <v>696</v>
      </c>
      <c r="D1266" s="157" t="s">
        <v>697</v>
      </c>
      <c r="E1266" s="44">
        <f t="shared" si="95"/>
        <v>43353</v>
      </c>
      <c r="F1266" s="146" t="str">
        <f t="shared" si="91"/>
        <v>2018-19</v>
      </c>
      <c r="G1266" s="1"/>
      <c r="H1266" s="161"/>
      <c r="I1266" s="37"/>
      <c r="J1266" s="135">
        <f t="shared" si="92"/>
        <v>0.76382508261777382</v>
      </c>
      <c r="K1266" s="112"/>
      <c r="L1266" s="37">
        <v>21.765245173699999</v>
      </c>
      <c r="M1266" s="37" t="s">
        <v>288</v>
      </c>
      <c r="N1266" s="37">
        <v>812.22926829268283</v>
      </c>
      <c r="O1266" s="130">
        <f t="shared" si="93"/>
        <v>17678.369161645198</v>
      </c>
      <c r="P1266" s="132">
        <f t="shared" si="94"/>
        <v>414.36381498966148</v>
      </c>
      <c r="Q1266" s="261">
        <v>3.0686383518617813E-2</v>
      </c>
      <c r="R1266" s="92"/>
    </row>
    <row r="1267" spans="1:18" x14ac:dyDescent="0.25">
      <c r="A1267" s="353">
        <v>43353</v>
      </c>
      <c r="B1267" s="353" t="s">
        <v>285</v>
      </c>
      <c r="C1267" s="263" t="s">
        <v>696</v>
      </c>
      <c r="D1267" s="157" t="s">
        <v>697</v>
      </c>
      <c r="E1267" s="44">
        <f t="shared" si="95"/>
        <v>43353</v>
      </c>
      <c r="F1267" s="146" t="str">
        <f t="shared" si="91"/>
        <v>2018-19</v>
      </c>
      <c r="G1267" s="1"/>
      <c r="H1267" s="161"/>
      <c r="I1267" s="37"/>
      <c r="J1267" s="135">
        <f t="shared" si="92"/>
        <v>0.76382508261777382</v>
      </c>
      <c r="K1267" s="112"/>
      <c r="L1267" s="37">
        <v>32.1921030958</v>
      </c>
      <c r="M1267" s="37" t="s">
        <v>288</v>
      </c>
      <c r="N1267" s="37">
        <v>812.22926829268283</v>
      </c>
      <c r="O1267" s="130">
        <f t="shared" si="93"/>
        <v>26147.368342304246</v>
      </c>
      <c r="P1267" s="132">
        <f t="shared" si="94"/>
        <v>612.86893599685402</v>
      </c>
      <c r="Q1267" s="261">
        <v>3.0686383518617813E-2</v>
      </c>
      <c r="R1267" s="92"/>
    </row>
    <row r="1268" spans="1:18" x14ac:dyDescent="0.25">
      <c r="A1268" s="353">
        <v>43353</v>
      </c>
      <c r="B1268" s="353" t="s">
        <v>285</v>
      </c>
      <c r="C1268" s="263" t="s">
        <v>696</v>
      </c>
      <c r="D1268" s="157" t="s">
        <v>697</v>
      </c>
      <c r="E1268" s="44">
        <f t="shared" si="95"/>
        <v>43353</v>
      </c>
      <c r="F1268" s="146" t="str">
        <f t="shared" si="91"/>
        <v>2018-19</v>
      </c>
      <c r="G1268" s="1"/>
      <c r="H1268" s="161"/>
      <c r="I1268" s="37"/>
      <c r="J1268" s="135">
        <f t="shared" si="92"/>
        <v>0.76382508261777382</v>
      </c>
      <c r="K1268" s="112"/>
      <c r="L1268" s="37">
        <v>11.0364879377</v>
      </c>
      <c r="M1268" s="37" t="s">
        <v>288</v>
      </c>
      <c r="N1268" s="37">
        <v>812.22926829268283</v>
      </c>
      <c r="O1268" s="130">
        <f t="shared" si="93"/>
        <v>8964.1585221590922</v>
      </c>
      <c r="P1268" s="132">
        <f t="shared" si="94"/>
        <v>210.11117538334364</v>
      </c>
      <c r="Q1268" s="261">
        <v>3.0686383518617813E-2</v>
      </c>
      <c r="R1268" s="92"/>
    </row>
    <row r="1269" spans="1:18" x14ac:dyDescent="0.25">
      <c r="A1269" s="353">
        <v>43353</v>
      </c>
      <c r="B1269" s="353" t="s">
        <v>285</v>
      </c>
      <c r="C1269" s="263" t="s">
        <v>696</v>
      </c>
      <c r="D1269" s="157" t="s">
        <v>697</v>
      </c>
      <c r="E1269" s="44">
        <f t="shared" si="95"/>
        <v>43353</v>
      </c>
      <c r="F1269" s="146" t="str">
        <f t="shared" si="91"/>
        <v>2018-19</v>
      </c>
      <c r="G1269" s="1"/>
      <c r="H1269" s="161"/>
      <c r="I1269" s="37"/>
      <c r="J1269" s="135">
        <f t="shared" si="92"/>
        <v>0.76382508261777382</v>
      </c>
      <c r="K1269" s="112"/>
      <c r="L1269" s="37">
        <v>24.807304319</v>
      </c>
      <c r="M1269" s="37" t="s">
        <v>288</v>
      </c>
      <c r="N1269" s="37">
        <v>812.22926829268283</v>
      </c>
      <c r="O1269" s="130">
        <f t="shared" si="93"/>
        <v>20149.218635335281</v>
      </c>
      <c r="P1269" s="132">
        <f t="shared" si="94"/>
        <v>472.27812851156216</v>
      </c>
      <c r="Q1269" s="261">
        <v>3.0686383518617813E-2</v>
      </c>
      <c r="R1269" s="92"/>
    </row>
    <row r="1270" spans="1:18" x14ac:dyDescent="0.25">
      <c r="A1270" s="353">
        <v>43353</v>
      </c>
      <c r="B1270" s="353" t="s">
        <v>285</v>
      </c>
      <c r="C1270" s="263" t="s">
        <v>696</v>
      </c>
      <c r="D1270" s="157" t="s">
        <v>697</v>
      </c>
      <c r="E1270" s="44">
        <f t="shared" si="95"/>
        <v>43353</v>
      </c>
      <c r="F1270" s="146" t="str">
        <f t="shared" si="91"/>
        <v>2018-19</v>
      </c>
      <c r="G1270" s="1"/>
      <c r="H1270" s="161"/>
      <c r="I1270" s="37"/>
      <c r="J1270" s="135">
        <f t="shared" si="92"/>
        <v>0.76382508261777382</v>
      </c>
      <c r="K1270" s="112"/>
      <c r="L1270" s="37">
        <v>85.0676788297</v>
      </c>
      <c r="M1270" s="37" t="s">
        <v>288</v>
      </c>
      <c r="N1270" s="37">
        <v>812.22926829268283</v>
      </c>
      <c r="O1270" s="130">
        <f t="shared" si="93"/>
        <v>69094.458531204175</v>
      </c>
      <c r="P1270" s="132">
        <f t="shared" si="94"/>
        <v>1619.5070467105415</v>
      </c>
      <c r="Q1270" s="261">
        <v>3.0686383518617813E-2</v>
      </c>
      <c r="R1270" s="92"/>
    </row>
    <row r="1271" spans="1:18" x14ac:dyDescent="0.25">
      <c r="A1271" s="353">
        <v>43353</v>
      </c>
      <c r="B1271" s="353" t="s">
        <v>285</v>
      </c>
      <c r="C1271" s="263" t="s">
        <v>696</v>
      </c>
      <c r="D1271" s="157" t="s">
        <v>697</v>
      </c>
      <c r="E1271" s="44">
        <f t="shared" si="95"/>
        <v>43353</v>
      </c>
      <c r="F1271" s="146" t="str">
        <f t="shared" si="91"/>
        <v>2018-19</v>
      </c>
      <c r="G1271" s="1"/>
      <c r="H1271" s="161"/>
      <c r="I1271" s="37"/>
      <c r="J1271" s="135">
        <f t="shared" si="92"/>
        <v>0.76382508261777382</v>
      </c>
      <c r="K1271" s="112"/>
      <c r="L1271" s="37">
        <v>75.988910045400004</v>
      </c>
      <c r="M1271" s="37" t="s">
        <v>288</v>
      </c>
      <c r="N1271" s="37">
        <v>812.22926829268283</v>
      </c>
      <c r="O1271" s="130">
        <f t="shared" si="93"/>
        <v>61720.416804533743</v>
      </c>
      <c r="P1271" s="132">
        <f t="shared" si="94"/>
        <v>1446.6666656879881</v>
      </c>
      <c r="Q1271" s="261">
        <v>3.0686383518617813E-2</v>
      </c>
      <c r="R1271" s="92"/>
    </row>
    <row r="1272" spans="1:18" x14ac:dyDescent="0.25">
      <c r="A1272" s="353">
        <v>43353</v>
      </c>
      <c r="B1272" s="353" t="s">
        <v>285</v>
      </c>
      <c r="C1272" s="263" t="s">
        <v>696</v>
      </c>
      <c r="D1272" s="157" t="s">
        <v>697</v>
      </c>
      <c r="E1272" s="44">
        <f t="shared" si="95"/>
        <v>43353</v>
      </c>
      <c r="F1272" s="146" t="str">
        <f t="shared" si="91"/>
        <v>2018-19</v>
      </c>
      <c r="G1272" s="1"/>
      <c r="H1272" s="161"/>
      <c r="I1272" s="37"/>
      <c r="J1272" s="135">
        <f t="shared" si="92"/>
        <v>0.76382508261777382</v>
      </c>
      <c r="K1272" s="112"/>
      <c r="L1272" s="37">
        <v>41.5842482969</v>
      </c>
      <c r="M1272" s="37" t="s">
        <v>288</v>
      </c>
      <c r="N1272" s="37">
        <v>812.22926829268283</v>
      </c>
      <c r="O1272" s="130">
        <f t="shared" si="93"/>
        <v>33775.943566692331</v>
      </c>
      <c r="P1272" s="132">
        <f t="shared" si="94"/>
        <v>791.6753351624028</v>
      </c>
      <c r="Q1272" s="261">
        <v>3.0686383518617813E-2</v>
      </c>
      <c r="R1272" s="92"/>
    </row>
    <row r="1273" spans="1:18" x14ac:dyDescent="0.25">
      <c r="A1273" s="353">
        <v>43353</v>
      </c>
      <c r="B1273" s="353" t="s">
        <v>285</v>
      </c>
      <c r="C1273" s="263" t="s">
        <v>696</v>
      </c>
      <c r="D1273" s="157" t="s">
        <v>697</v>
      </c>
      <c r="E1273" s="44">
        <f t="shared" si="95"/>
        <v>43353</v>
      </c>
      <c r="F1273" s="146" t="str">
        <f t="shared" si="91"/>
        <v>2018-19</v>
      </c>
      <c r="G1273" s="1"/>
      <c r="H1273" s="161"/>
      <c r="I1273" s="37"/>
      <c r="J1273" s="135">
        <f t="shared" si="92"/>
        <v>0.76382508261777382</v>
      </c>
      <c r="K1273" s="112"/>
      <c r="L1273" s="37">
        <v>50.309921427600003</v>
      </c>
      <c r="M1273" s="37" t="s">
        <v>288</v>
      </c>
      <c r="N1273" s="37">
        <v>3336.4019512195118</v>
      </c>
      <c r="O1273" s="130">
        <f t="shared" si="93"/>
        <v>167854.12001674497</v>
      </c>
      <c r="P1273" s="132">
        <f t="shared" si="94"/>
        <v>3934.3376584063926</v>
      </c>
      <c r="Q1273" s="261">
        <v>3.0686383518617813E-2</v>
      </c>
      <c r="R1273" s="92"/>
    </row>
    <row r="1274" spans="1:18" x14ac:dyDescent="0.25">
      <c r="A1274" s="353">
        <v>43257</v>
      </c>
      <c r="B1274" s="353" t="s">
        <v>285</v>
      </c>
      <c r="C1274" s="263" t="s">
        <v>698</v>
      </c>
      <c r="D1274" s="157" t="s">
        <v>699</v>
      </c>
      <c r="E1274" s="44">
        <f t="shared" si="95"/>
        <v>43257</v>
      </c>
      <c r="F1274" s="146" t="str">
        <f t="shared" si="91"/>
        <v>2017-18</v>
      </c>
      <c r="G1274" s="1"/>
      <c r="H1274" s="161"/>
      <c r="I1274" s="37"/>
      <c r="J1274" s="135">
        <f t="shared" si="92"/>
        <v>0.76382508261777382</v>
      </c>
      <c r="K1274" s="112"/>
      <c r="L1274" s="37">
        <v>54.934687154599999</v>
      </c>
      <c r="M1274" s="37" t="s">
        <v>288</v>
      </c>
      <c r="N1274" s="37">
        <v>812.22926829268283</v>
      </c>
      <c r="O1274" s="130">
        <f t="shared" si="93"/>
        <v>44619.560751468198</v>
      </c>
      <c r="P1274" s="132">
        <f t="shared" si="94"/>
        <v>1157.4614262720083</v>
      </c>
      <c r="Q1274" s="261">
        <v>3.3961535694378632E-2</v>
      </c>
      <c r="R1274" s="92"/>
    </row>
    <row r="1275" spans="1:18" x14ac:dyDescent="0.25">
      <c r="A1275" s="353">
        <v>43257</v>
      </c>
      <c r="B1275" s="353" t="s">
        <v>285</v>
      </c>
      <c r="C1275" s="263" t="s">
        <v>698</v>
      </c>
      <c r="D1275" s="157" t="s">
        <v>699</v>
      </c>
      <c r="E1275" s="44">
        <f t="shared" si="95"/>
        <v>43257</v>
      </c>
      <c r="F1275" s="146" t="str">
        <f t="shared" ref="F1275:F1338" si="96">IF(E1275="","-",IF(OR(E1275&lt;$E$15,E1275&gt;$E$16),"ERROR - date outside of range",IF(MONTH(E1275)&gt;=7,YEAR(E1275)&amp;"-"&amp;IF(YEAR(E1275)=1999,"00",IF(AND(YEAR(E1275)&gt;=2000,YEAR(E1275)&lt;2009),"0","")&amp;RIGHT(YEAR(E1275),2)+1),RIGHT(YEAR(E1275),4)-1&amp;"-"&amp;RIGHT(YEAR(E1275),2))))</f>
        <v>2017-18</v>
      </c>
      <c r="G1275" s="1"/>
      <c r="H1275" s="161"/>
      <c r="I1275" s="37"/>
      <c r="J1275" s="135">
        <f t="shared" si="92"/>
        <v>0.76382508261777382</v>
      </c>
      <c r="K1275" s="112"/>
      <c r="L1275" s="37">
        <v>24.893920543</v>
      </c>
      <c r="M1275" s="37" t="s">
        <v>288</v>
      </c>
      <c r="N1275" s="37">
        <v>3336.4019512195118</v>
      </c>
      <c r="O1275" s="130">
        <f t="shared" si="93"/>
        <v>83056.125073168689</v>
      </c>
      <c r="P1275" s="132">
        <f t="shared" si="94"/>
        <v>2154.5317651889454</v>
      </c>
      <c r="Q1275" s="261">
        <v>3.3961535694378632E-2</v>
      </c>
      <c r="R1275" s="92"/>
    </row>
    <row r="1276" spans="1:18" x14ac:dyDescent="0.25">
      <c r="A1276" s="353">
        <v>43257</v>
      </c>
      <c r="B1276" s="353" t="s">
        <v>285</v>
      </c>
      <c r="C1276" s="263" t="s">
        <v>698</v>
      </c>
      <c r="D1276" s="157" t="s">
        <v>699</v>
      </c>
      <c r="E1276" s="44">
        <f t="shared" si="95"/>
        <v>43257</v>
      </c>
      <c r="F1276" s="146" t="str">
        <f t="shared" si="96"/>
        <v>2017-18</v>
      </c>
      <c r="G1276" s="1"/>
      <c r="H1276" s="161"/>
      <c r="I1276" s="37"/>
      <c r="J1276" s="135">
        <f t="shared" si="92"/>
        <v>0.76382508261777382</v>
      </c>
      <c r="K1276" s="112"/>
      <c r="L1276" s="37">
        <v>33.367096427500002</v>
      </c>
      <c r="M1276" s="37" t="s">
        <v>288</v>
      </c>
      <c r="N1276" s="37">
        <v>812.22926829268283</v>
      </c>
      <c r="O1276" s="130">
        <f t="shared" si="93"/>
        <v>27101.732316359718</v>
      </c>
      <c r="P1276" s="132">
        <f t="shared" si="94"/>
        <v>703.0371705374464</v>
      </c>
      <c r="Q1276" s="261">
        <v>3.3961535694378632E-2</v>
      </c>
      <c r="R1276" s="92"/>
    </row>
    <row r="1277" spans="1:18" x14ac:dyDescent="0.25">
      <c r="A1277" s="353">
        <v>43257</v>
      </c>
      <c r="B1277" s="353" t="s">
        <v>285</v>
      </c>
      <c r="C1277" s="263" t="s">
        <v>698</v>
      </c>
      <c r="D1277" s="157" t="s">
        <v>699</v>
      </c>
      <c r="E1277" s="44">
        <f t="shared" si="95"/>
        <v>43257</v>
      </c>
      <c r="F1277" s="146" t="str">
        <f t="shared" si="96"/>
        <v>2017-18</v>
      </c>
      <c r="G1277" s="1"/>
      <c r="H1277" s="161"/>
      <c r="I1277" s="37"/>
      <c r="J1277" s="135">
        <f t="shared" si="92"/>
        <v>0.76382508261777382</v>
      </c>
      <c r="K1277" s="112"/>
      <c r="L1277" s="37">
        <v>47.468347627299998</v>
      </c>
      <c r="M1277" s="37" t="s">
        <v>288</v>
      </c>
      <c r="N1277" s="37">
        <v>3336.4019512195118</v>
      </c>
      <c r="O1277" s="130">
        <f t="shared" si="93"/>
        <v>158373.4876448898</v>
      </c>
      <c r="P1277" s="132">
        <f t="shared" si="94"/>
        <v>4108.3148243922287</v>
      </c>
      <c r="Q1277" s="261">
        <v>3.3961535694378632E-2</v>
      </c>
      <c r="R1277" s="92"/>
    </row>
    <row r="1278" spans="1:18" x14ac:dyDescent="0.25">
      <c r="A1278" s="353">
        <v>43257</v>
      </c>
      <c r="B1278" s="353" t="s">
        <v>285</v>
      </c>
      <c r="C1278" s="263" t="s">
        <v>698</v>
      </c>
      <c r="D1278" s="157" t="s">
        <v>699</v>
      </c>
      <c r="E1278" s="44">
        <f t="shared" si="95"/>
        <v>43257</v>
      </c>
      <c r="F1278" s="146" t="str">
        <f t="shared" si="96"/>
        <v>2017-18</v>
      </c>
      <c r="G1278" s="1"/>
      <c r="H1278" s="161"/>
      <c r="I1278" s="37"/>
      <c r="J1278" s="135">
        <f t="shared" si="92"/>
        <v>0.76382508261777382</v>
      </c>
      <c r="K1278" s="112"/>
      <c r="L1278" s="37">
        <v>59.971680635799999</v>
      </c>
      <c r="M1278" s="37" t="s">
        <v>288</v>
      </c>
      <c r="N1278" s="37">
        <v>3336.4019512195118</v>
      </c>
      <c r="O1278" s="130">
        <f t="shared" si="93"/>
        <v>200089.63229119653</v>
      </c>
      <c r="P1278" s="132">
        <f t="shared" si="94"/>
        <v>5190.4596834559698</v>
      </c>
      <c r="Q1278" s="261">
        <v>3.3961535694378632E-2</v>
      </c>
      <c r="R1278" s="92"/>
    </row>
    <row r="1279" spans="1:18" x14ac:dyDescent="0.25">
      <c r="A1279" s="353">
        <v>43257</v>
      </c>
      <c r="B1279" s="353" t="s">
        <v>285</v>
      </c>
      <c r="C1279" s="263" t="s">
        <v>698</v>
      </c>
      <c r="D1279" s="157" t="s">
        <v>699</v>
      </c>
      <c r="E1279" s="44">
        <f t="shared" si="95"/>
        <v>43257</v>
      </c>
      <c r="F1279" s="146" t="str">
        <f t="shared" si="96"/>
        <v>2017-18</v>
      </c>
      <c r="G1279" s="1"/>
      <c r="H1279" s="161"/>
      <c r="I1279" s="37"/>
      <c r="J1279" s="135">
        <f t="shared" si="92"/>
        <v>0.76382508261777382</v>
      </c>
      <c r="K1279" s="112"/>
      <c r="L1279" s="37">
        <v>26.4170942095</v>
      </c>
      <c r="M1279" s="37" t="s">
        <v>288</v>
      </c>
      <c r="N1279" s="37">
        <v>3336.4019512195118</v>
      </c>
      <c r="O1279" s="130">
        <f t="shared" si="93"/>
        <v>88138.044666125468</v>
      </c>
      <c r="P1279" s="132">
        <f t="shared" si="94"/>
        <v>2286.3601785842934</v>
      </c>
      <c r="Q1279" s="261">
        <v>3.3961535694378632E-2</v>
      </c>
      <c r="R1279" s="92"/>
    </row>
    <row r="1280" spans="1:18" x14ac:dyDescent="0.25">
      <c r="A1280" s="353">
        <v>43257</v>
      </c>
      <c r="B1280" s="353" t="s">
        <v>285</v>
      </c>
      <c r="C1280" s="263" t="s">
        <v>698</v>
      </c>
      <c r="D1280" s="157" t="s">
        <v>699</v>
      </c>
      <c r="E1280" s="44">
        <f t="shared" si="95"/>
        <v>43257</v>
      </c>
      <c r="F1280" s="146" t="str">
        <f t="shared" si="96"/>
        <v>2017-18</v>
      </c>
      <c r="G1280" s="1"/>
      <c r="H1280" s="161"/>
      <c r="I1280" s="37"/>
      <c r="J1280" s="135">
        <f t="shared" si="92"/>
        <v>0.76382508261777382</v>
      </c>
      <c r="K1280" s="112"/>
      <c r="L1280" s="37">
        <v>36.994256996899999</v>
      </c>
      <c r="M1280" s="37" t="s">
        <v>288</v>
      </c>
      <c r="N1280" s="37">
        <v>3336.4019512195118</v>
      </c>
      <c r="O1280" s="130">
        <f t="shared" si="93"/>
        <v>123427.71122837323</v>
      </c>
      <c r="P1280" s="132">
        <f t="shared" si="94"/>
        <v>3201.7978723643437</v>
      </c>
      <c r="Q1280" s="261">
        <v>3.3961535694378632E-2</v>
      </c>
      <c r="R1280" s="92"/>
    </row>
    <row r="1281" spans="1:18" x14ac:dyDescent="0.25">
      <c r="A1281" s="353">
        <v>43257</v>
      </c>
      <c r="B1281" s="353" t="s">
        <v>285</v>
      </c>
      <c r="C1281" s="263" t="s">
        <v>698</v>
      </c>
      <c r="D1281" s="157" t="s">
        <v>699</v>
      </c>
      <c r="E1281" s="44">
        <f t="shared" si="95"/>
        <v>43257</v>
      </c>
      <c r="F1281" s="146" t="str">
        <f t="shared" si="96"/>
        <v>2017-18</v>
      </c>
      <c r="G1281" s="1"/>
      <c r="H1281" s="161"/>
      <c r="I1281" s="37"/>
      <c r="J1281" s="135">
        <f t="shared" si="92"/>
        <v>0.76382508261777382</v>
      </c>
      <c r="K1281" s="112"/>
      <c r="L1281" s="37">
        <v>80.501280128800005</v>
      </c>
      <c r="M1281" s="37" t="s">
        <v>288</v>
      </c>
      <c r="N1281" s="37">
        <v>812.22926829268283</v>
      </c>
      <c r="O1281" s="130">
        <f t="shared" si="93"/>
        <v>65385.495855639514</v>
      </c>
      <c r="P1281" s="132">
        <f t="shared" si="94"/>
        <v>1696.1437543528648</v>
      </c>
      <c r="Q1281" s="261">
        <v>3.3961535694378632E-2</v>
      </c>
      <c r="R1281" s="92"/>
    </row>
    <row r="1282" spans="1:18" x14ac:dyDescent="0.25">
      <c r="A1282" s="353">
        <v>43257</v>
      </c>
      <c r="B1282" s="353" t="s">
        <v>285</v>
      </c>
      <c r="C1282" s="263" t="s">
        <v>698</v>
      </c>
      <c r="D1282" s="157" t="s">
        <v>699</v>
      </c>
      <c r="E1282" s="44">
        <f t="shared" si="95"/>
        <v>43257</v>
      </c>
      <c r="F1282" s="146" t="str">
        <f t="shared" si="96"/>
        <v>2017-18</v>
      </c>
      <c r="G1282" s="1"/>
      <c r="H1282" s="161"/>
      <c r="I1282" s="37"/>
      <c r="J1282" s="135">
        <f t="shared" si="92"/>
        <v>0.76382508261777382</v>
      </c>
      <c r="K1282" s="112"/>
      <c r="L1282" s="37">
        <v>23.848374559100002</v>
      </c>
      <c r="M1282" s="37" t="s">
        <v>288</v>
      </c>
      <c r="N1282" s="37">
        <v>3336.4019512195118</v>
      </c>
      <c r="O1282" s="130">
        <f t="shared" si="93"/>
        <v>79567.763412395012</v>
      </c>
      <c r="P1282" s="132">
        <f t="shared" si="94"/>
        <v>2064.0413167122906</v>
      </c>
      <c r="Q1282" s="261">
        <v>3.3961535694378632E-2</v>
      </c>
      <c r="R1282" s="92"/>
    </row>
    <row r="1283" spans="1:18" x14ac:dyDescent="0.25">
      <c r="A1283" s="353">
        <v>43257</v>
      </c>
      <c r="B1283" s="353" t="s">
        <v>285</v>
      </c>
      <c r="C1283" s="263" t="s">
        <v>698</v>
      </c>
      <c r="D1283" s="157" t="s">
        <v>699</v>
      </c>
      <c r="E1283" s="44">
        <f t="shared" si="95"/>
        <v>43257</v>
      </c>
      <c r="F1283" s="146" t="str">
        <f t="shared" si="96"/>
        <v>2017-18</v>
      </c>
      <c r="G1283" s="1"/>
      <c r="H1283" s="161"/>
      <c r="I1283" s="37"/>
      <c r="J1283" s="135">
        <f t="shared" si="92"/>
        <v>0.76382508261777382</v>
      </c>
      <c r="K1283" s="112"/>
      <c r="L1283" s="37">
        <v>4.6666824404499998</v>
      </c>
      <c r="M1283" s="37" t="s">
        <v>288</v>
      </c>
      <c r="N1283" s="37">
        <v>812.22926829268283</v>
      </c>
      <c r="O1283" s="130">
        <f t="shared" si="93"/>
        <v>3790.416063961015</v>
      </c>
      <c r="P1283" s="132">
        <f t="shared" si="94"/>
        <v>98.325942919827753</v>
      </c>
      <c r="Q1283" s="261">
        <v>3.3961535694378632E-2</v>
      </c>
      <c r="R1283" s="92"/>
    </row>
    <row r="1284" spans="1:18" x14ac:dyDescent="0.25">
      <c r="A1284" s="353">
        <v>43257</v>
      </c>
      <c r="B1284" s="353" t="s">
        <v>285</v>
      </c>
      <c r="C1284" s="263" t="s">
        <v>698</v>
      </c>
      <c r="D1284" s="157" t="s">
        <v>699</v>
      </c>
      <c r="E1284" s="44">
        <f t="shared" si="95"/>
        <v>43257</v>
      </c>
      <c r="F1284" s="146" t="str">
        <f t="shared" si="96"/>
        <v>2017-18</v>
      </c>
      <c r="G1284" s="1"/>
      <c r="H1284" s="161"/>
      <c r="I1284" s="37"/>
      <c r="J1284" s="135">
        <f t="shared" si="92"/>
        <v>0.76382508261777382</v>
      </c>
      <c r="K1284" s="112"/>
      <c r="L1284" s="37">
        <v>11.3654462265</v>
      </c>
      <c r="M1284" s="37" t="s">
        <v>288</v>
      </c>
      <c r="N1284" s="37">
        <v>812.22926829268283</v>
      </c>
      <c r="O1284" s="130">
        <f t="shared" si="93"/>
        <v>9231.3480723699286</v>
      </c>
      <c r="P1284" s="132">
        <f t="shared" si="94"/>
        <v>239.46737991828095</v>
      </c>
      <c r="Q1284" s="261">
        <v>3.3961535694378632E-2</v>
      </c>
      <c r="R1284" s="92"/>
    </row>
    <row r="1285" spans="1:18" x14ac:dyDescent="0.25">
      <c r="A1285" s="353">
        <v>43257</v>
      </c>
      <c r="B1285" s="353" t="s">
        <v>285</v>
      </c>
      <c r="C1285" s="263" t="s">
        <v>698</v>
      </c>
      <c r="D1285" s="157" t="s">
        <v>699</v>
      </c>
      <c r="E1285" s="44">
        <f t="shared" si="95"/>
        <v>43257</v>
      </c>
      <c r="F1285" s="146" t="str">
        <f t="shared" si="96"/>
        <v>2017-18</v>
      </c>
      <c r="G1285" s="1"/>
      <c r="H1285" s="161"/>
      <c r="I1285" s="37"/>
      <c r="J1285" s="135">
        <f t="shared" si="92"/>
        <v>0.76382508261777382</v>
      </c>
      <c r="K1285" s="112"/>
      <c r="L1285" s="37">
        <v>54.914086581799999</v>
      </c>
      <c r="M1285" s="37" t="s">
        <v>288</v>
      </c>
      <c r="N1285" s="37">
        <v>950.87219512195099</v>
      </c>
      <c r="O1285" s="130">
        <f t="shared" si="93"/>
        <v>52216.278051153044</v>
      </c>
      <c r="P1285" s="132">
        <f t="shared" si="94"/>
        <v>1354.5253841548554</v>
      </c>
      <c r="Q1285" s="261">
        <v>3.3961535694378632E-2</v>
      </c>
      <c r="R1285" s="92"/>
    </row>
    <row r="1286" spans="1:18" x14ac:dyDescent="0.25">
      <c r="A1286" s="353">
        <v>43257</v>
      </c>
      <c r="B1286" s="353" t="s">
        <v>285</v>
      </c>
      <c r="C1286" s="263" t="s">
        <v>698</v>
      </c>
      <c r="D1286" s="157" t="s">
        <v>699</v>
      </c>
      <c r="E1286" s="44">
        <f t="shared" si="95"/>
        <v>43257</v>
      </c>
      <c r="F1286" s="146" t="str">
        <f t="shared" si="96"/>
        <v>2017-18</v>
      </c>
      <c r="G1286" s="1"/>
      <c r="H1286" s="161"/>
      <c r="I1286" s="37"/>
      <c r="J1286" s="135">
        <f t="shared" si="92"/>
        <v>0.76382508261777382</v>
      </c>
      <c r="K1286" s="112"/>
      <c r="L1286" s="37">
        <v>4.9472456983699997</v>
      </c>
      <c r="M1286" s="37" t="s">
        <v>288</v>
      </c>
      <c r="N1286" s="37">
        <v>950.87219512195099</v>
      </c>
      <c r="O1286" s="130">
        <f t="shared" si="93"/>
        <v>4704.1983770167108</v>
      </c>
      <c r="P1286" s="132">
        <f t="shared" si="94"/>
        <v>122.03007092016398</v>
      </c>
      <c r="Q1286" s="261">
        <v>3.3961535694378632E-2</v>
      </c>
      <c r="R1286" s="92"/>
    </row>
    <row r="1287" spans="1:18" x14ac:dyDescent="0.25">
      <c r="A1287" s="353">
        <v>43257</v>
      </c>
      <c r="B1287" s="353" t="s">
        <v>285</v>
      </c>
      <c r="C1287" s="263" t="s">
        <v>698</v>
      </c>
      <c r="D1287" s="157" t="s">
        <v>699</v>
      </c>
      <c r="E1287" s="44">
        <f t="shared" si="95"/>
        <v>43257</v>
      </c>
      <c r="F1287" s="146" t="str">
        <f t="shared" si="96"/>
        <v>2017-18</v>
      </c>
      <c r="G1287" s="1"/>
      <c r="H1287" s="161"/>
      <c r="I1287" s="37"/>
      <c r="J1287" s="135">
        <f t="shared" si="92"/>
        <v>0.76382508261777382</v>
      </c>
      <c r="K1287" s="112"/>
      <c r="L1287" s="37">
        <v>23.671176820199999</v>
      </c>
      <c r="M1287" s="37" t="s">
        <v>288</v>
      </c>
      <c r="N1287" s="37">
        <v>3336.4019512195118</v>
      </c>
      <c r="O1287" s="130">
        <f t="shared" si="93"/>
        <v>78976.560530577364</v>
      </c>
      <c r="P1287" s="132">
        <f t="shared" si="94"/>
        <v>2048.7051161921572</v>
      </c>
      <c r="Q1287" s="261">
        <v>3.3961535694378632E-2</v>
      </c>
      <c r="R1287" s="92"/>
    </row>
    <row r="1288" spans="1:18" x14ac:dyDescent="0.25">
      <c r="A1288" s="353">
        <v>43257</v>
      </c>
      <c r="B1288" s="353" t="s">
        <v>285</v>
      </c>
      <c r="C1288" s="263" t="s">
        <v>698</v>
      </c>
      <c r="D1288" s="157" t="s">
        <v>699</v>
      </c>
      <c r="E1288" s="44">
        <f t="shared" si="95"/>
        <v>43257</v>
      </c>
      <c r="F1288" s="146" t="str">
        <f t="shared" si="96"/>
        <v>2017-18</v>
      </c>
      <c r="G1288" s="1"/>
      <c r="H1288" s="161"/>
      <c r="I1288" s="37"/>
      <c r="J1288" s="135">
        <f t="shared" si="92"/>
        <v>0.76382508261777382</v>
      </c>
      <c r="K1288" s="112"/>
      <c r="L1288" s="37">
        <v>20.5504418845</v>
      </c>
      <c r="M1288" s="37" t="s">
        <v>288</v>
      </c>
      <c r="N1288" s="37">
        <v>3592.3639024390236</v>
      </c>
      <c r="O1288" s="130">
        <f t="shared" si="93"/>
        <v>73824.66560504878</v>
      </c>
      <c r="P1288" s="132">
        <f t="shared" si="94"/>
        <v>1915.0614955899619</v>
      </c>
      <c r="Q1288" s="261">
        <v>3.3961535694378632E-2</v>
      </c>
      <c r="R1288" s="92"/>
    </row>
    <row r="1289" spans="1:18" x14ac:dyDescent="0.25">
      <c r="A1289" s="353">
        <v>43257</v>
      </c>
      <c r="B1289" s="353" t="s">
        <v>285</v>
      </c>
      <c r="C1289" s="263" t="s">
        <v>698</v>
      </c>
      <c r="D1289" s="157" t="s">
        <v>699</v>
      </c>
      <c r="E1289" s="44">
        <f t="shared" si="95"/>
        <v>43257</v>
      </c>
      <c r="F1289" s="146" t="str">
        <f t="shared" si="96"/>
        <v>2017-18</v>
      </c>
      <c r="G1289" s="1"/>
      <c r="H1289" s="161"/>
      <c r="I1289" s="37"/>
      <c r="J1289" s="135">
        <f t="shared" si="92"/>
        <v>0.76382508261777382</v>
      </c>
      <c r="K1289" s="112"/>
      <c r="L1289" s="37">
        <v>36.982587676599998</v>
      </c>
      <c r="M1289" s="37" t="s">
        <v>288</v>
      </c>
      <c r="N1289" s="37">
        <v>3336.4019512195118</v>
      </c>
      <c r="O1289" s="130">
        <f t="shared" si="93"/>
        <v>123388.7776853549</v>
      </c>
      <c r="P1289" s="132">
        <f t="shared" si="94"/>
        <v>3200.7879100636655</v>
      </c>
      <c r="Q1289" s="261">
        <v>3.3961535694378632E-2</v>
      </c>
      <c r="R1289" s="92"/>
    </row>
    <row r="1290" spans="1:18" x14ac:dyDescent="0.25">
      <c r="A1290" s="353">
        <v>43257</v>
      </c>
      <c r="B1290" s="353" t="s">
        <v>285</v>
      </c>
      <c r="C1290" s="263" t="s">
        <v>698</v>
      </c>
      <c r="D1290" s="157" t="s">
        <v>699</v>
      </c>
      <c r="E1290" s="44">
        <f t="shared" si="95"/>
        <v>43257</v>
      </c>
      <c r="F1290" s="146" t="str">
        <f t="shared" si="96"/>
        <v>2017-18</v>
      </c>
      <c r="G1290" s="1"/>
      <c r="H1290" s="161"/>
      <c r="I1290" s="37"/>
      <c r="J1290" s="135">
        <f t="shared" si="92"/>
        <v>0.76382508261777382</v>
      </c>
      <c r="K1290" s="112"/>
      <c r="L1290" s="37">
        <v>23.597714035399999</v>
      </c>
      <c r="M1290" s="37" t="s">
        <v>288</v>
      </c>
      <c r="N1290" s="37">
        <v>3592.3639024390236</v>
      </c>
      <c r="O1290" s="130">
        <f t="shared" si="93"/>
        <v>84771.576080849656</v>
      </c>
      <c r="P1290" s="132">
        <f t="shared" si="94"/>
        <v>2199.0317184966393</v>
      </c>
      <c r="Q1290" s="261">
        <v>3.3961535694378632E-2</v>
      </c>
      <c r="R1290" s="92"/>
    </row>
    <row r="1291" spans="1:18" x14ac:dyDescent="0.25">
      <c r="A1291" s="353">
        <v>43257</v>
      </c>
      <c r="B1291" s="353" t="s">
        <v>285</v>
      </c>
      <c r="C1291" s="263" t="s">
        <v>698</v>
      </c>
      <c r="D1291" s="157" t="s">
        <v>699</v>
      </c>
      <c r="E1291" s="44">
        <f t="shared" si="95"/>
        <v>43257</v>
      </c>
      <c r="F1291" s="146" t="str">
        <f t="shared" si="96"/>
        <v>2017-18</v>
      </c>
      <c r="G1291" s="1"/>
      <c r="H1291" s="161"/>
      <c r="I1291" s="37"/>
      <c r="J1291" s="135">
        <f t="shared" si="92"/>
        <v>0.76382508261777382</v>
      </c>
      <c r="K1291" s="112"/>
      <c r="L1291" s="37">
        <v>10.101010905500001</v>
      </c>
      <c r="M1291" s="37" t="s">
        <v>288</v>
      </c>
      <c r="N1291" s="37">
        <v>812.22926829268283</v>
      </c>
      <c r="O1291" s="130">
        <f t="shared" si="93"/>
        <v>8204.336696790675</v>
      </c>
      <c r="P1291" s="132">
        <f t="shared" si="94"/>
        <v>212.8260138547115</v>
      </c>
      <c r="Q1291" s="261">
        <v>3.3961535694378632E-2</v>
      </c>
      <c r="R1291" s="92"/>
    </row>
    <row r="1292" spans="1:18" x14ac:dyDescent="0.25">
      <c r="A1292" s="353">
        <v>43257</v>
      </c>
      <c r="B1292" s="353" t="s">
        <v>285</v>
      </c>
      <c r="C1292" s="263" t="s">
        <v>698</v>
      </c>
      <c r="D1292" s="157" t="s">
        <v>699</v>
      </c>
      <c r="E1292" s="44">
        <f t="shared" si="95"/>
        <v>43257</v>
      </c>
      <c r="F1292" s="146" t="str">
        <f t="shared" si="96"/>
        <v>2017-18</v>
      </c>
      <c r="G1292" s="1"/>
      <c r="H1292" s="161"/>
      <c r="I1292" s="37"/>
      <c r="J1292" s="135">
        <f t="shared" si="92"/>
        <v>0.76382508261777382</v>
      </c>
      <c r="K1292" s="112"/>
      <c r="L1292" s="37">
        <v>31.6614969482</v>
      </c>
      <c r="M1292" s="37" t="s">
        <v>288</v>
      </c>
      <c r="N1292" s="37">
        <v>812.22926829268283</v>
      </c>
      <c r="O1292" s="130">
        <f t="shared" si="93"/>
        <v>25716.394499287497</v>
      </c>
      <c r="P1292" s="132">
        <f t="shared" si="94"/>
        <v>667.10057549680164</v>
      </c>
      <c r="Q1292" s="261">
        <v>3.3961535694378632E-2</v>
      </c>
      <c r="R1292" s="92"/>
    </row>
    <row r="1293" spans="1:18" x14ac:dyDescent="0.25">
      <c r="A1293" s="353">
        <v>43257</v>
      </c>
      <c r="B1293" s="353" t="s">
        <v>285</v>
      </c>
      <c r="C1293" s="263" t="s">
        <v>698</v>
      </c>
      <c r="D1293" s="157" t="s">
        <v>699</v>
      </c>
      <c r="E1293" s="44">
        <f t="shared" si="95"/>
        <v>43257</v>
      </c>
      <c r="F1293" s="146" t="str">
        <f t="shared" si="96"/>
        <v>2017-18</v>
      </c>
      <c r="G1293" s="1"/>
      <c r="H1293" s="161"/>
      <c r="I1293" s="37"/>
      <c r="J1293" s="135">
        <f t="shared" si="92"/>
        <v>0.76382508261777382</v>
      </c>
      <c r="K1293" s="112"/>
      <c r="L1293" s="37">
        <v>63.4751114452</v>
      </c>
      <c r="M1293" s="37" t="s">
        <v>288</v>
      </c>
      <c r="N1293" s="37">
        <v>812.22926829268283</v>
      </c>
      <c r="O1293" s="130">
        <f t="shared" si="93"/>
        <v>51556.343323931294</v>
      </c>
      <c r="P1293" s="132">
        <f t="shared" si="94"/>
        <v>1337.406233321633</v>
      </c>
      <c r="Q1293" s="261">
        <v>3.3961535694378632E-2</v>
      </c>
      <c r="R1293" s="92"/>
    </row>
    <row r="1294" spans="1:18" x14ac:dyDescent="0.25">
      <c r="A1294" s="353">
        <v>43257</v>
      </c>
      <c r="B1294" s="353" t="s">
        <v>285</v>
      </c>
      <c r="C1294" s="263" t="s">
        <v>698</v>
      </c>
      <c r="D1294" s="157" t="s">
        <v>699</v>
      </c>
      <c r="E1294" s="44">
        <f t="shared" si="95"/>
        <v>43257</v>
      </c>
      <c r="F1294" s="146" t="str">
        <f t="shared" si="96"/>
        <v>2017-18</v>
      </c>
      <c r="G1294" s="1"/>
      <c r="H1294" s="161"/>
      <c r="I1294" s="37"/>
      <c r="J1294" s="135">
        <f t="shared" si="92"/>
        <v>0.76382508261777382</v>
      </c>
      <c r="K1294" s="112"/>
      <c r="L1294" s="37">
        <v>100.452787894</v>
      </c>
      <c r="M1294" s="37" t="s">
        <v>288</v>
      </c>
      <c r="N1294" s="37">
        <v>3336.4019512195118</v>
      </c>
      <c r="O1294" s="130">
        <f t="shared" si="93"/>
        <v>335150.87753498135</v>
      </c>
      <c r="P1294" s="132">
        <f t="shared" si="94"/>
        <v>8694.0392553100191</v>
      </c>
      <c r="Q1294" s="261">
        <v>3.3961535694378632E-2</v>
      </c>
      <c r="R1294" s="92"/>
    </row>
    <row r="1295" spans="1:18" x14ac:dyDescent="0.25">
      <c r="A1295" s="353">
        <v>43257</v>
      </c>
      <c r="B1295" s="353" t="s">
        <v>285</v>
      </c>
      <c r="C1295" s="263" t="s">
        <v>698</v>
      </c>
      <c r="D1295" s="157" t="s">
        <v>699</v>
      </c>
      <c r="E1295" s="44">
        <f t="shared" si="95"/>
        <v>43257</v>
      </c>
      <c r="F1295" s="146" t="str">
        <f t="shared" si="96"/>
        <v>2017-18</v>
      </c>
      <c r="G1295" s="1"/>
      <c r="H1295" s="161"/>
      <c r="I1295" s="37"/>
      <c r="J1295" s="135">
        <f t="shared" si="92"/>
        <v>0.76382508261777382</v>
      </c>
      <c r="K1295" s="112"/>
      <c r="L1295" s="37">
        <v>28.306024831799999</v>
      </c>
      <c r="M1295" s="37" t="s">
        <v>288</v>
      </c>
      <c r="N1295" s="37">
        <v>3592.3639024390236</v>
      </c>
      <c r="O1295" s="130">
        <f t="shared" si="93"/>
        <v>101685.54182730096</v>
      </c>
      <c r="P1295" s="132">
        <f t="shared" si="94"/>
        <v>2637.7913698040365</v>
      </c>
      <c r="Q1295" s="261">
        <v>3.3961535694378632E-2</v>
      </c>
      <c r="R1295" s="92"/>
    </row>
    <row r="1296" spans="1:18" x14ac:dyDescent="0.25">
      <c r="A1296" s="353">
        <v>43257</v>
      </c>
      <c r="B1296" s="353" t="s">
        <v>285</v>
      </c>
      <c r="C1296" s="263" t="s">
        <v>698</v>
      </c>
      <c r="D1296" s="157" t="s">
        <v>699</v>
      </c>
      <c r="E1296" s="44">
        <f t="shared" si="95"/>
        <v>43257</v>
      </c>
      <c r="F1296" s="146" t="str">
        <f t="shared" si="96"/>
        <v>2017-18</v>
      </c>
      <c r="G1296" s="1"/>
      <c r="H1296" s="161"/>
      <c r="I1296" s="37"/>
      <c r="J1296" s="135">
        <f t="shared" si="92"/>
        <v>0.76382508261777382</v>
      </c>
      <c r="K1296" s="112"/>
      <c r="L1296" s="37">
        <v>4.4908627279599997</v>
      </c>
      <c r="M1296" s="37" t="s">
        <v>288</v>
      </c>
      <c r="N1296" s="37">
        <v>950.87219512195099</v>
      </c>
      <c r="O1296" s="130">
        <f t="shared" si="93"/>
        <v>4270.236500126678</v>
      </c>
      <c r="P1296" s="132">
        <f t="shared" si="94"/>
        <v>110.77280786079406</v>
      </c>
      <c r="Q1296" s="261">
        <v>3.3961535694378632E-2</v>
      </c>
      <c r="R1296" s="92"/>
    </row>
    <row r="1297" spans="1:18" x14ac:dyDescent="0.25">
      <c r="A1297" s="353">
        <v>42629</v>
      </c>
      <c r="B1297" s="353" t="s">
        <v>285</v>
      </c>
      <c r="C1297" s="263" t="s">
        <v>700</v>
      </c>
      <c r="D1297" s="157" t="s">
        <v>701</v>
      </c>
      <c r="E1297" s="44">
        <f t="shared" si="95"/>
        <v>42629</v>
      </c>
      <c r="F1297" s="146" t="str">
        <f t="shared" si="96"/>
        <v>2016-17</v>
      </c>
      <c r="G1297" s="1"/>
      <c r="H1297" s="161"/>
      <c r="I1297" s="37"/>
      <c r="J1297" s="135">
        <f t="shared" si="92"/>
        <v>0.76382508261777382</v>
      </c>
      <c r="K1297" s="112"/>
      <c r="L1297" s="37">
        <v>15.326067241800001</v>
      </c>
      <c r="M1297" s="37" t="s">
        <v>288</v>
      </c>
      <c r="N1297" s="37">
        <v>3336.4019512195118</v>
      </c>
      <c r="O1297" s="130">
        <f t="shared" si="93"/>
        <v>51133.920650062966</v>
      </c>
      <c r="P1297" s="132">
        <f t="shared" si="94"/>
        <v>1387.6019574056197</v>
      </c>
      <c r="Q1297" s="261">
        <v>3.5527274775864662E-2</v>
      </c>
      <c r="R1297" s="92"/>
    </row>
    <row r="1298" spans="1:18" x14ac:dyDescent="0.25">
      <c r="A1298" s="353">
        <v>42629</v>
      </c>
      <c r="B1298" s="353" t="s">
        <v>285</v>
      </c>
      <c r="C1298" s="263" t="s">
        <v>700</v>
      </c>
      <c r="D1298" s="157" t="s">
        <v>701</v>
      </c>
      <c r="E1298" s="44">
        <f t="shared" si="95"/>
        <v>42629</v>
      </c>
      <c r="F1298" s="146" t="str">
        <f t="shared" si="96"/>
        <v>2016-17</v>
      </c>
      <c r="G1298" s="1"/>
      <c r="H1298" s="161"/>
      <c r="I1298" s="37"/>
      <c r="J1298" s="135">
        <f t="shared" si="92"/>
        <v>0.76382508261777382</v>
      </c>
      <c r="K1298" s="112"/>
      <c r="L1298" s="37">
        <v>14.954962957599999</v>
      </c>
      <c r="M1298" s="37" t="s">
        <v>288</v>
      </c>
      <c r="N1298" s="37">
        <v>812.22926829268283</v>
      </c>
      <c r="O1298" s="130">
        <f t="shared" si="93"/>
        <v>12146.858620395624</v>
      </c>
      <c r="P1298" s="132">
        <f t="shared" si="94"/>
        <v>329.62473019305907</v>
      </c>
      <c r="Q1298" s="261">
        <v>3.5527274775864662E-2</v>
      </c>
      <c r="R1298" s="92"/>
    </row>
    <row r="1299" spans="1:18" x14ac:dyDescent="0.25">
      <c r="A1299" s="353">
        <v>42629</v>
      </c>
      <c r="B1299" s="353" t="s">
        <v>285</v>
      </c>
      <c r="C1299" s="263" t="s">
        <v>700</v>
      </c>
      <c r="D1299" s="157" t="s">
        <v>701</v>
      </c>
      <c r="E1299" s="44">
        <f t="shared" si="95"/>
        <v>42629</v>
      </c>
      <c r="F1299" s="146" t="str">
        <f t="shared" si="96"/>
        <v>2016-17</v>
      </c>
      <c r="G1299" s="1"/>
      <c r="H1299" s="161"/>
      <c r="I1299" s="37"/>
      <c r="J1299" s="135">
        <f t="shared" si="92"/>
        <v>0.76382508261777382</v>
      </c>
      <c r="K1299" s="112"/>
      <c r="L1299" s="37">
        <v>5.4211918810900004</v>
      </c>
      <c r="M1299" s="37" t="s">
        <v>288</v>
      </c>
      <c r="N1299" s="37">
        <v>812.22926829268283</v>
      </c>
      <c r="O1299" s="130">
        <f t="shared" si="93"/>
        <v>4403.2507148519635</v>
      </c>
      <c r="P1299" s="132">
        <f t="shared" si="94"/>
        <v>119.48935722511933</v>
      </c>
      <c r="Q1299" s="261">
        <v>3.5527274775864662E-2</v>
      </c>
      <c r="R1299" s="92"/>
    </row>
    <row r="1300" spans="1:18" x14ac:dyDescent="0.25">
      <c r="A1300" s="353">
        <v>42629</v>
      </c>
      <c r="B1300" s="353" t="s">
        <v>285</v>
      </c>
      <c r="C1300" s="263" t="s">
        <v>700</v>
      </c>
      <c r="D1300" s="157" t="s">
        <v>701</v>
      </c>
      <c r="E1300" s="44">
        <f t="shared" si="95"/>
        <v>42629</v>
      </c>
      <c r="F1300" s="146" t="str">
        <f t="shared" si="96"/>
        <v>2016-17</v>
      </c>
      <c r="G1300" s="1"/>
      <c r="H1300" s="161"/>
      <c r="I1300" s="37"/>
      <c r="J1300" s="135">
        <f t="shared" si="92"/>
        <v>0.76382508261777382</v>
      </c>
      <c r="K1300" s="112"/>
      <c r="L1300" s="37">
        <v>104.73261005499999</v>
      </c>
      <c r="M1300" s="37" t="s">
        <v>288</v>
      </c>
      <c r="N1300" s="37">
        <v>3336.4019512195118</v>
      </c>
      <c r="O1300" s="130">
        <f t="shared" si="93"/>
        <v>349430.08454381424</v>
      </c>
      <c r="P1300" s="132">
        <f t="shared" si="94"/>
        <v>9482.3526755875846</v>
      </c>
      <c r="Q1300" s="261">
        <v>3.5527274775864662E-2</v>
      </c>
      <c r="R1300" s="92"/>
    </row>
    <row r="1301" spans="1:18" x14ac:dyDescent="0.25">
      <c r="A1301" s="353">
        <v>42629</v>
      </c>
      <c r="B1301" s="353" t="s">
        <v>285</v>
      </c>
      <c r="C1301" s="263" t="s">
        <v>700</v>
      </c>
      <c r="D1301" s="157" t="s">
        <v>701</v>
      </c>
      <c r="E1301" s="44">
        <f t="shared" si="95"/>
        <v>42629</v>
      </c>
      <c r="F1301" s="146" t="str">
        <f t="shared" si="96"/>
        <v>2016-17</v>
      </c>
      <c r="G1301" s="1"/>
      <c r="H1301" s="161"/>
      <c r="I1301" s="37"/>
      <c r="J1301" s="135">
        <f t="shared" si="92"/>
        <v>0.76382508261777382</v>
      </c>
      <c r="K1301" s="112"/>
      <c r="L1301" s="37">
        <v>11.433447817699999</v>
      </c>
      <c r="M1301" s="37" t="s">
        <v>288</v>
      </c>
      <c r="N1301" s="37">
        <v>812.22926829268283</v>
      </c>
      <c r="O1301" s="130">
        <f t="shared" si="93"/>
        <v>9286.5809550330414</v>
      </c>
      <c r="P1301" s="132">
        <f t="shared" si="94"/>
        <v>252.00645182277316</v>
      </c>
      <c r="Q1301" s="261">
        <v>3.5527274775864662E-2</v>
      </c>
      <c r="R1301" s="92"/>
    </row>
    <row r="1302" spans="1:18" x14ac:dyDescent="0.25">
      <c r="A1302" s="353">
        <v>42629</v>
      </c>
      <c r="B1302" s="353" t="s">
        <v>285</v>
      </c>
      <c r="C1302" s="263" t="s">
        <v>700</v>
      </c>
      <c r="D1302" s="157" t="s">
        <v>701</v>
      </c>
      <c r="E1302" s="44">
        <f t="shared" si="95"/>
        <v>42629</v>
      </c>
      <c r="F1302" s="146" t="str">
        <f t="shared" si="96"/>
        <v>2016-17</v>
      </c>
      <c r="G1302" s="1"/>
      <c r="H1302" s="161"/>
      <c r="I1302" s="37"/>
      <c r="J1302" s="135">
        <f t="shared" si="92"/>
        <v>0.76382508261777382</v>
      </c>
      <c r="K1302" s="112"/>
      <c r="L1302" s="37">
        <v>30.146732625599999</v>
      </c>
      <c r="M1302" s="37" t="s">
        <v>288</v>
      </c>
      <c r="N1302" s="37">
        <v>812.22926829268283</v>
      </c>
      <c r="O1302" s="130">
        <f t="shared" si="93"/>
        <v>24486.058581906236</v>
      </c>
      <c r="P1302" s="132">
        <f t="shared" si="94"/>
        <v>664.46895496091656</v>
      </c>
      <c r="Q1302" s="261">
        <v>3.5527274775864662E-2</v>
      </c>
      <c r="R1302" s="92"/>
    </row>
    <row r="1303" spans="1:18" x14ac:dyDescent="0.25">
      <c r="A1303" s="353">
        <v>42629</v>
      </c>
      <c r="B1303" s="353" t="s">
        <v>285</v>
      </c>
      <c r="C1303" s="263" t="s">
        <v>700</v>
      </c>
      <c r="D1303" s="157" t="s">
        <v>701</v>
      </c>
      <c r="E1303" s="44">
        <f t="shared" si="95"/>
        <v>42629</v>
      </c>
      <c r="F1303" s="146" t="str">
        <f t="shared" si="96"/>
        <v>2016-17</v>
      </c>
      <c r="G1303" s="1"/>
      <c r="H1303" s="161"/>
      <c r="I1303" s="37"/>
      <c r="J1303" s="135">
        <f t="shared" si="92"/>
        <v>0.76382508261777382</v>
      </c>
      <c r="K1303" s="112"/>
      <c r="L1303" s="37">
        <v>16.269461485600001</v>
      </c>
      <c r="M1303" s="37" t="s">
        <v>288</v>
      </c>
      <c r="N1303" s="37">
        <v>812.22926829268283</v>
      </c>
      <c r="O1303" s="130">
        <f t="shared" si="93"/>
        <v>13214.532797964874</v>
      </c>
      <c r="P1303" s="132">
        <f t="shared" si="94"/>
        <v>358.59780246743594</v>
      </c>
      <c r="Q1303" s="261">
        <v>3.5527274775864662E-2</v>
      </c>
      <c r="R1303" s="92"/>
    </row>
    <row r="1304" spans="1:18" x14ac:dyDescent="0.25">
      <c r="A1304" s="353">
        <v>42629</v>
      </c>
      <c r="B1304" s="353" t="s">
        <v>285</v>
      </c>
      <c r="C1304" s="263" t="s">
        <v>700</v>
      </c>
      <c r="D1304" s="157" t="s">
        <v>701</v>
      </c>
      <c r="E1304" s="44">
        <f t="shared" si="95"/>
        <v>42629</v>
      </c>
      <c r="F1304" s="146" t="str">
        <f t="shared" si="96"/>
        <v>2016-17</v>
      </c>
      <c r="G1304" s="1"/>
      <c r="H1304" s="161"/>
      <c r="I1304" s="37"/>
      <c r="J1304" s="135">
        <f t="shared" si="92"/>
        <v>0.76382508261777382</v>
      </c>
      <c r="K1304" s="112"/>
      <c r="L1304" s="37">
        <v>48.305943740099998</v>
      </c>
      <c r="M1304" s="37" t="s">
        <v>288</v>
      </c>
      <c r="N1304" s="37">
        <v>812.22926829268283</v>
      </c>
      <c r="O1304" s="130">
        <f t="shared" si="93"/>
        <v>39235.501338208924</v>
      </c>
      <c r="P1304" s="132">
        <f t="shared" si="94"/>
        <v>1064.719031213627</v>
      </c>
      <c r="Q1304" s="261">
        <v>3.5527274775864662E-2</v>
      </c>
      <c r="R1304" s="92"/>
    </row>
    <row r="1305" spans="1:18" x14ac:dyDescent="0.25">
      <c r="A1305" s="353">
        <v>42629</v>
      </c>
      <c r="B1305" s="353" t="s">
        <v>285</v>
      </c>
      <c r="C1305" s="263" t="s">
        <v>700</v>
      </c>
      <c r="D1305" s="157" t="s">
        <v>701</v>
      </c>
      <c r="E1305" s="44">
        <f t="shared" si="95"/>
        <v>42629</v>
      </c>
      <c r="F1305" s="146" t="str">
        <f t="shared" si="96"/>
        <v>2016-17</v>
      </c>
      <c r="G1305" s="1"/>
      <c r="H1305" s="161"/>
      <c r="I1305" s="37"/>
      <c r="J1305" s="135">
        <f t="shared" si="92"/>
        <v>0.76382508261777382</v>
      </c>
      <c r="K1305" s="112"/>
      <c r="L1305" s="37">
        <v>6.6304395027799998</v>
      </c>
      <c r="M1305" s="37" t="s">
        <v>288</v>
      </c>
      <c r="N1305" s="37">
        <v>812.22926829268283</v>
      </c>
      <c r="O1305" s="130">
        <f t="shared" si="93"/>
        <v>5385.4370258018989</v>
      </c>
      <c r="P1305" s="132">
        <f t="shared" si="94"/>
        <v>146.14257744146229</v>
      </c>
      <c r="Q1305" s="261">
        <v>3.5527274775864662E-2</v>
      </c>
      <c r="R1305" s="92"/>
    </row>
    <row r="1306" spans="1:18" x14ac:dyDescent="0.25">
      <c r="A1306" s="353">
        <v>42629</v>
      </c>
      <c r="B1306" s="353" t="s">
        <v>285</v>
      </c>
      <c r="C1306" s="263" t="s">
        <v>700</v>
      </c>
      <c r="D1306" s="157" t="s">
        <v>701</v>
      </c>
      <c r="E1306" s="44">
        <f t="shared" si="95"/>
        <v>42629</v>
      </c>
      <c r="F1306" s="146" t="str">
        <f t="shared" si="96"/>
        <v>2016-17</v>
      </c>
      <c r="G1306" s="1"/>
      <c r="H1306" s="161"/>
      <c r="I1306" s="37"/>
      <c r="J1306" s="135">
        <f t="shared" ref="J1306:J1369" si="97">J1305</f>
        <v>0.76382508261777382</v>
      </c>
      <c r="K1306" s="112"/>
      <c r="L1306" s="37">
        <v>30.1792802336</v>
      </c>
      <c r="M1306" s="37" t="s">
        <v>288</v>
      </c>
      <c r="N1306" s="37">
        <v>812.22926829268283</v>
      </c>
      <c r="O1306" s="130">
        <f t="shared" ref="O1306:O1369" si="98">IF(N1306="","-",L1306*N1306)</f>
        <v>24512.494701736756</v>
      </c>
      <c r="P1306" s="132">
        <f t="shared" ref="P1306:P1369" si="99">IF(O1306="-","-",IF(OR(E1306&lt;$E$15,E1306&gt;$E$16),0,O1306*J1306))*Q1306</f>
        <v>665.18634199396024</v>
      </c>
      <c r="Q1306" s="261">
        <v>3.5527274775864662E-2</v>
      </c>
      <c r="R1306" s="92"/>
    </row>
    <row r="1307" spans="1:18" x14ac:dyDescent="0.25">
      <c r="A1307" s="353">
        <v>42629</v>
      </c>
      <c r="B1307" s="353" t="s">
        <v>285</v>
      </c>
      <c r="C1307" s="263" t="s">
        <v>700</v>
      </c>
      <c r="D1307" s="157" t="s">
        <v>701</v>
      </c>
      <c r="E1307" s="44">
        <f t="shared" ref="E1307:E1370" si="100">IF(VALUE(A1307)&lt;2022,DATEVALUE("30 Jun "&amp;A1307),A1307)</f>
        <v>42629</v>
      </c>
      <c r="F1307" s="146" t="str">
        <f t="shared" si="96"/>
        <v>2016-17</v>
      </c>
      <c r="G1307" s="1"/>
      <c r="H1307" s="161"/>
      <c r="I1307" s="37"/>
      <c r="J1307" s="135">
        <f t="shared" si="97"/>
        <v>0.76382508261777382</v>
      </c>
      <c r="K1307" s="112"/>
      <c r="L1307" s="37">
        <v>7.2199460532000002</v>
      </c>
      <c r="M1307" s="37" t="s">
        <v>288</v>
      </c>
      <c r="N1307" s="37">
        <v>812.22926829268283</v>
      </c>
      <c r="O1307" s="130">
        <f t="shared" si="98"/>
        <v>5864.2514999032792</v>
      </c>
      <c r="P1307" s="132">
        <f t="shared" si="99"/>
        <v>159.13598559500664</v>
      </c>
      <c r="Q1307" s="261">
        <v>3.5527274775864662E-2</v>
      </c>
      <c r="R1307" s="92"/>
    </row>
    <row r="1308" spans="1:18" x14ac:dyDescent="0.25">
      <c r="A1308" s="353">
        <v>42629</v>
      </c>
      <c r="B1308" s="353" t="s">
        <v>285</v>
      </c>
      <c r="C1308" s="263" t="s">
        <v>700</v>
      </c>
      <c r="D1308" s="157" t="s">
        <v>701</v>
      </c>
      <c r="E1308" s="44">
        <f t="shared" si="100"/>
        <v>42629</v>
      </c>
      <c r="F1308" s="146" t="str">
        <f t="shared" si="96"/>
        <v>2016-17</v>
      </c>
      <c r="G1308" s="1"/>
      <c r="H1308" s="161"/>
      <c r="I1308" s="37"/>
      <c r="J1308" s="135">
        <f t="shared" si="97"/>
        <v>0.76382508261777382</v>
      </c>
      <c r="K1308" s="112"/>
      <c r="L1308" s="37">
        <v>29.038623847499998</v>
      </c>
      <c r="M1308" s="37" t="s">
        <v>288</v>
      </c>
      <c r="N1308" s="37">
        <v>812.22926829268283</v>
      </c>
      <c r="O1308" s="130">
        <f t="shared" si="98"/>
        <v>23586.020199881375</v>
      </c>
      <c r="P1308" s="132">
        <f t="shared" si="99"/>
        <v>640.04495217058206</v>
      </c>
      <c r="Q1308" s="261">
        <v>3.5527274775864662E-2</v>
      </c>
      <c r="R1308" s="92"/>
    </row>
    <row r="1309" spans="1:18" x14ac:dyDescent="0.25">
      <c r="A1309" s="353">
        <v>42629</v>
      </c>
      <c r="B1309" s="353" t="s">
        <v>285</v>
      </c>
      <c r="C1309" s="263" t="s">
        <v>700</v>
      </c>
      <c r="D1309" s="157" t="s">
        <v>701</v>
      </c>
      <c r="E1309" s="44">
        <f t="shared" si="100"/>
        <v>42629</v>
      </c>
      <c r="F1309" s="146" t="str">
        <f t="shared" si="96"/>
        <v>2016-17</v>
      </c>
      <c r="G1309" s="1"/>
      <c r="H1309" s="161"/>
      <c r="I1309" s="37"/>
      <c r="J1309" s="135">
        <f t="shared" si="97"/>
        <v>0.76382508261777382</v>
      </c>
      <c r="K1309" s="112"/>
      <c r="L1309" s="37">
        <v>55.7974735365</v>
      </c>
      <c r="M1309" s="37" t="s">
        <v>288</v>
      </c>
      <c r="N1309" s="37">
        <v>3336.4019512195118</v>
      </c>
      <c r="O1309" s="130">
        <f t="shared" si="98"/>
        <v>186162.79958029767</v>
      </c>
      <c r="P1309" s="132">
        <f t="shared" si="99"/>
        <v>5051.8298188310946</v>
      </c>
      <c r="Q1309" s="261">
        <v>3.5527274775864662E-2</v>
      </c>
      <c r="R1309" s="92"/>
    </row>
    <row r="1310" spans="1:18" x14ac:dyDescent="0.25">
      <c r="A1310" s="353">
        <v>42629</v>
      </c>
      <c r="B1310" s="353" t="s">
        <v>285</v>
      </c>
      <c r="C1310" s="263" t="s">
        <v>700</v>
      </c>
      <c r="D1310" s="157" t="s">
        <v>701</v>
      </c>
      <c r="E1310" s="44">
        <f t="shared" si="100"/>
        <v>42629</v>
      </c>
      <c r="F1310" s="146" t="str">
        <f t="shared" si="96"/>
        <v>2016-17</v>
      </c>
      <c r="G1310" s="1"/>
      <c r="H1310" s="161"/>
      <c r="I1310" s="37"/>
      <c r="J1310" s="135">
        <f t="shared" si="97"/>
        <v>0.76382508261777382</v>
      </c>
      <c r="K1310" s="112"/>
      <c r="L1310" s="37">
        <v>68.049281693599994</v>
      </c>
      <c r="M1310" s="37" t="s">
        <v>288</v>
      </c>
      <c r="N1310" s="37">
        <v>812.22926829268283</v>
      </c>
      <c r="O1310" s="130">
        <f t="shared" si="98"/>
        <v>55271.618277835383</v>
      </c>
      <c r="P1310" s="132">
        <f t="shared" si="99"/>
        <v>1499.8851004632711</v>
      </c>
      <c r="Q1310" s="261">
        <v>3.5527274775864662E-2</v>
      </c>
      <c r="R1310" s="92"/>
    </row>
    <row r="1311" spans="1:18" x14ac:dyDescent="0.25">
      <c r="A1311" s="353">
        <v>42629</v>
      </c>
      <c r="B1311" s="353" t="s">
        <v>285</v>
      </c>
      <c r="C1311" s="263" t="s">
        <v>700</v>
      </c>
      <c r="D1311" s="157" t="s">
        <v>701</v>
      </c>
      <c r="E1311" s="44">
        <f t="shared" si="100"/>
        <v>42629</v>
      </c>
      <c r="F1311" s="146" t="str">
        <f t="shared" si="96"/>
        <v>2016-17</v>
      </c>
      <c r="G1311" s="1"/>
      <c r="H1311" s="161"/>
      <c r="I1311" s="37"/>
      <c r="J1311" s="135">
        <f t="shared" si="97"/>
        <v>0.76382508261777382</v>
      </c>
      <c r="K1311" s="112"/>
      <c r="L1311" s="37">
        <v>54.573973911300001</v>
      </c>
      <c r="M1311" s="37" t="s">
        <v>288</v>
      </c>
      <c r="N1311" s="37">
        <v>812.22926829268283</v>
      </c>
      <c r="O1311" s="130">
        <f t="shared" si="98"/>
        <v>44326.578897799161</v>
      </c>
      <c r="P1311" s="132">
        <f t="shared" si="99"/>
        <v>1202.8736866200973</v>
      </c>
      <c r="Q1311" s="261">
        <v>3.5527274775864662E-2</v>
      </c>
      <c r="R1311" s="92"/>
    </row>
    <row r="1312" spans="1:18" x14ac:dyDescent="0.25">
      <c r="A1312" s="353">
        <v>42629</v>
      </c>
      <c r="B1312" s="353" t="s">
        <v>285</v>
      </c>
      <c r="C1312" s="263" t="s">
        <v>700</v>
      </c>
      <c r="D1312" s="157" t="s">
        <v>701</v>
      </c>
      <c r="E1312" s="44">
        <f t="shared" si="100"/>
        <v>42629</v>
      </c>
      <c r="F1312" s="146" t="str">
        <f t="shared" si="96"/>
        <v>2016-17</v>
      </c>
      <c r="G1312" s="1"/>
      <c r="H1312" s="161"/>
      <c r="I1312" s="37"/>
      <c r="J1312" s="135">
        <f t="shared" si="97"/>
        <v>0.76382508261777382</v>
      </c>
      <c r="K1312" s="112"/>
      <c r="L1312" s="37">
        <v>12.5697766092</v>
      </c>
      <c r="M1312" s="37" t="s">
        <v>288</v>
      </c>
      <c r="N1312" s="37">
        <v>812.22926829268283</v>
      </c>
      <c r="O1312" s="130">
        <f t="shared" si="98"/>
        <v>10209.540457892996</v>
      </c>
      <c r="P1312" s="132">
        <f t="shared" si="99"/>
        <v>277.05245644149028</v>
      </c>
      <c r="Q1312" s="261">
        <v>3.5527274775864662E-2</v>
      </c>
      <c r="R1312" s="92"/>
    </row>
    <row r="1313" spans="1:18" x14ac:dyDescent="0.25">
      <c r="A1313" s="353">
        <v>42629</v>
      </c>
      <c r="B1313" s="353" t="s">
        <v>285</v>
      </c>
      <c r="C1313" s="263" t="s">
        <v>700</v>
      </c>
      <c r="D1313" s="157" t="s">
        <v>701</v>
      </c>
      <c r="E1313" s="44">
        <f t="shared" si="100"/>
        <v>42629</v>
      </c>
      <c r="F1313" s="146" t="str">
        <f t="shared" si="96"/>
        <v>2016-17</v>
      </c>
      <c r="G1313" s="1"/>
      <c r="H1313" s="161"/>
      <c r="I1313" s="37"/>
      <c r="J1313" s="135">
        <f t="shared" si="97"/>
        <v>0.76382508261777382</v>
      </c>
      <c r="K1313" s="112"/>
      <c r="L1313" s="37">
        <v>33.409526880000001</v>
      </c>
      <c r="M1313" s="37" t="s">
        <v>288</v>
      </c>
      <c r="N1313" s="37">
        <v>812.22926829268283</v>
      </c>
      <c r="O1313" s="130">
        <f t="shared" si="98"/>
        <v>27136.195571747121</v>
      </c>
      <c r="P1313" s="132">
        <f t="shared" si="99"/>
        <v>736.38472491844129</v>
      </c>
      <c r="Q1313" s="261">
        <v>3.5527274775864662E-2</v>
      </c>
      <c r="R1313" s="92"/>
    </row>
    <row r="1314" spans="1:18" x14ac:dyDescent="0.25">
      <c r="A1314" s="353">
        <v>42629</v>
      </c>
      <c r="B1314" s="353" t="s">
        <v>285</v>
      </c>
      <c r="C1314" s="263" t="s">
        <v>700</v>
      </c>
      <c r="D1314" s="157" t="s">
        <v>701</v>
      </c>
      <c r="E1314" s="44">
        <f t="shared" si="100"/>
        <v>42629</v>
      </c>
      <c r="F1314" s="146" t="str">
        <f t="shared" si="96"/>
        <v>2016-17</v>
      </c>
      <c r="G1314" s="1"/>
      <c r="H1314" s="161"/>
      <c r="I1314" s="37"/>
      <c r="J1314" s="135">
        <f t="shared" si="97"/>
        <v>0.76382508261777382</v>
      </c>
      <c r="K1314" s="112"/>
      <c r="L1314" s="37">
        <v>19.555846207199998</v>
      </c>
      <c r="M1314" s="37" t="s">
        <v>288</v>
      </c>
      <c r="N1314" s="37">
        <v>3336.4019512195118</v>
      </c>
      <c r="O1314" s="130">
        <f t="shared" si="98"/>
        <v>65246.163443450765</v>
      </c>
      <c r="P1314" s="132">
        <f t="shared" si="99"/>
        <v>1770.5605781125998</v>
      </c>
      <c r="Q1314" s="261">
        <v>3.5527274775864662E-2</v>
      </c>
      <c r="R1314" s="92"/>
    </row>
    <row r="1315" spans="1:18" x14ac:dyDescent="0.25">
      <c r="A1315" s="353">
        <v>42629</v>
      </c>
      <c r="B1315" s="353" t="s">
        <v>285</v>
      </c>
      <c r="C1315" s="263" t="s">
        <v>700</v>
      </c>
      <c r="D1315" s="157" t="s">
        <v>701</v>
      </c>
      <c r="E1315" s="44">
        <f t="shared" si="100"/>
        <v>42629</v>
      </c>
      <c r="F1315" s="146" t="str">
        <f t="shared" si="96"/>
        <v>2016-17</v>
      </c>
      <c r="G1315" s="1"/>
      <c r="H1315" s="161"/>
      <c r="I1315" s="37"/>
      <c r="J1315" s="135">
        <f t="shared" si="97"/>
        <v>0.76382508261777382</v>
      </c>
      <c r="K1315" s="112"/>
      <c r="L1315" s="37">
        <v>63.329373635400003</v>
      </c>
      <c r="M1315" s="37" t="s">
        <v>288</v>
      </c>
      <c r="N1315" s="37">
        <v>812.22926829268283</v>
      </c>
      <c r="O1315" s="130">
        <f t="shared" si="98"/>
        <v>51437.970809314866</v>
      </c>
      <c r="P1315" s="132">
        <f t="shared" si="99"/>
        <v>1395.8528521299795</v>
      </c>
      <c r="Q1315" s="261">
        <v>3.5527274775864662E-2</v>
      </c>
      <c r="R1315" s="92"/>
    </row>
    <row r="1316" spans="1:18" x14ac:dyDescent="0.25">
      <c r="A1316" s="353">
        <v>42629</v>
      </c>
      <c r="B1316" s="353" t="s">
        <v>285</v>
      </c>
      <c r="C1316" s="263" t="s">
        <v>700</v>
      </c>
      <c r="D1316" s="157" t="s">
        <v>701</v>
      </c>
      <c r="E1316" s="44">
        <f t="shared" si="100"/>
        <v>42629</v>
      </c>
      <c r="F1316" s="146" t="str">
        <f t="shared" si="96"/>
        <v>2016-17</v>
      </c>
      <c r="G1316" s="1"/>
      <c r="H1316" s="161"/>
      <c r="I1316" s="37"/>
      <c r="J1316" s="135">
        <f t="shared" si="97"/>
        <v>0.76382508261777382</v>
      </c>
      <c r="K1316" s="112"/>
      <c r="L1316" s="37">
        <v>42.859461716299997</v>
      </c>
      <c r="M1316" s="37" t="s">
        <v>288</v>
      </c>
      <c r="N1316" s="37">
        <v>812.22926829268283</v>
      </c>
      <c r="O1316" s="130">
        <f t="shared" si="98"/>
        <v>34811.709229248598</v>
      </c>
      <c r="P1316" s="132">
        <f t="shared" si="99"/>
        <v>944.67224990855766</v>
      </c>
      <c r="Q1316" s="261">
        <v>3.5527274775864662E-2</v>
      </c>
      <c r="R1316" s="92"/>
    </row>
    <row r="1317" spans="1:18" x14ac:dyDescent="0.25">
      <c r="A1317" s="353">
        <v>42629</v>
      </c>
      <c r="B1317" s="353" t="s">
        <v>285</v>
      </c>
      <c r="C1317" s="263" t="s">
        <v>700</v>
      </c>
      <c r="D1317" s="157" t="s">
        <v>701</v>
      </c>
      <c r="E1317" s="44">
        <f t="shared" si="100"/>
        <v>42629</v>
      </c>
      <c r="F1317" s="146" t="str">
        <f t="shared" si="96"/>
        <v>2016-17</v>
      </c>
      <c r="G1317" s="1"/>
      <c r="H1317" s="161"/>
      <c r="I1317" s="37"/>
      <c r="J1317" s="135">
        <f t="shared" si="97"/>
        <v>0.76382508261777382</v>
      </c>
      <c r="K1317" s="112"/>
      <c r="L1317" s="37">
        <v>54.487726518400002</v>
      </c>
      <c r="M1317" s="37" t="s">
        <v>288</v>
      </c>
      <c r="N1317" s="37">
        <v>3336.4019512195118</v>
      </c>
      <c r="O1317" s="130">
        <f t="shared" si="98"/>
        <v>181792.95707350492</v>
      </c>
      <c r="P1317" s="132">
        <f t="shared" si="99"/>
        <v>4933.2470475729233</v>
      </c>
      <c r="Q1317" s="261">
        <v>3.5527274775864662E-2</v>
      </c>
      <c r="R1317" s="92"/>
    </row>
    <row r="1318" spans="1:18" x14ac:dyDescent="0.25">
      <c r="A1318" s="353">
        <v>42629</v>
      </c>
      <c r="B1318" s="353" t="s">
        <v>285</v>
      </c>
      <c r="C1318" s="263" t="s">
        <v>700</v>
      </c>
      <c r="D1318" s="157" t="s">
        <v>701</v>
      </c>
      <c r="E1318" s="44">
        <f t="shared" si="100"/>
        <v>42629</v>
      </c>
      <c r="F1318" s="146" t="str">
        <f t="shared" si="96"/>
        <v>2016-17</v>
      </c>
      <c r="G1318" s="1"/>
      <c r="H1318" s="161"/>
      <c r="I1318" s="37"/>
      <c r="J1318" s="135">
        <f t="shared" si="97"/>
        <v>0.76382508261777382</v>
      </c>
      <c r="K1318" s="112"/>
      <c r="L1318" s="37">
        <v>36.565640469500003</v>
      </c>
      <c r="M1318" s="37" t="s">
        <v>288</v>
      </c>
      <c r="N1318" s="37">
        <v>812.22926829268283</v>
      </c>
      <c r="O1318" s="130">
        <f t="shared" si="98"/>
        <v>29699.6834031953</v>
      </c>
      <c r="P1318" s="132">
        <f t="shared" si="99"/>
        <v>805.94912928019835</v>
      </c>
      <c r="Q1318" s="261">
        <v>3.5527274775864662E-2</v>
      </c>
      <c r="R1318" s="92"/>
    </row>
    <row r="1319" spans="1:18" x14ac:dyDescent="0.25">
      <c r="A1319" s="353">
        <v>42629</v>
      </c>
      <c r="B1319" s="353" t="s">
        <v>285</v>
      </c>
      <c r="C1319" s="263" t="s">
        <v>700</v>
      </c>
      <c r="D1319" s="157" t="s">
        <v>701</v>
      </c>
      <c r="E1319" s="44">
        <f t="shared" si="100"/>
        <v>42629</v>
      </c>
      <c r="F1319" s="146" t="str">
        <f t="shared" si="96"/>
        <v>2016-17</v>
      </c>
      <c r="G1319" s="1"/>
      <c r="H1319" s="161"/>
      <c r="I1319" s="37"/>
      <c r="J1319" s="135">
        <f t="shared" si="97"/>
        <v>0.76382508261777382</v>
      </c>
      <c r="K1319" s="112"/>
      <c r="L1319" s="37">
        <v>17.9658297123</v>
      </c>
      <c r="M1319" s="37" t="s">
        <v>288</v>
      </c>
      <c r="N1319" s="37">
        <v>3336.4019512195118</v>
      </c>
      <c r="O1319" s="130">
        <f t="shared" si="98"/>
        <v>59941.229307395202</v>
      </c>
      <c r="P1319" s="132">
        <f t="shared" si="99"/>
        <v>1626.6025772881601</v>
      </c>
      <c r="Q1319" s="261">
        <v>3.5527274775864662E-2</v>
      </c>
      <c r="R1319" s="92"/>
    </row>
    <row r="1320" spans="1:18" x14ac:dyDescent="0.25">
      <c r="A1320" s="353">
        <v>42629</v>
      </c>
      <c r="B1320" s="353" t="s">
        <v>285</v>
      </c>
      <c r="C1320" s="263" t="s">
        <v>700</v>
      </c>
      <c r="D1320" s="157" t="s">
        <v>701</v>
      </c>
      <c r="E1320" s="44">
        <f t="shared" si="100"/>
        <v>42629</v>
      </c>
      <c r="F1320" s="146" t="str">
        <f t="shared" si="96"/>
        <v>2016-17</v>
      </c>
      <c r="G1320" s="1"/>
      <c r="H1320" s="161"/>
      <c r="I1320" s="37"/>
      <c r="J1320" s="135">
        <f t="shared" si="97"/>
        <v>0.76382508261777382</v>
      </c>
      <c r="K1320" s="112"/>
      <c r="L1320" s="37">
        <v>22.115388254799999</v>
      </c>
      <c r="M1320" s="37" t="s">
        <v>288</v>
      </c>
      <c r="N1320" s="37">
        <v>812.22926829268283</v>
      </c>
      <c r="O1320" s="130">
        <f t="shared" si="98"/>
        <v>17962.765620204795</v>
      </c>
      <c r="P1320" s="132">
        <f t="shared" si="99"/>
        <v>487.44880928632358</v>
      </c>
      <c r="Q1320" s="261">
        <v>3.5527274775864662E-2</v>
      </c>
      <c r="R1320" s="92"/>
    </row>
    <row r="1321" spans="1:18" x14ac:dyDescent="0.25">
      <c r="A1321" s="353">
        <v>42629</v>
      </c>
      <c r="B1321" s="353" t="s">
        <v>285</v>
      </c>
      <c r="C1321" s="263" t="s">
        <v>700</v>
      </c>
      <c r="D1321" s="157" t="s">
        <v>701</v>
      </c>
      <c r="E1321" s="44">
        <f t="shared" si="100"/>
        <v>42629</v>
      </c>
      <c r="F1321" s="146" t="str">
        <f t="shared" si="96"/>
        <v>2016-17</v>
      </c>
      <c r="G1321" s="1"/>
      <c r="H1321" s="161"/>
      <c r="I1321" s="37"/>
      <c r="J1321" s="135">
        <f t="shared" si="97"/>
        <v>0.76382508261777382</v>
      </c>
      <c r="K1321" s="112"/>
      <c r="L1321" s="37">
        <v>2.2990511086100001</v>
      </c>
      <c r="M1321" s="37" t="s">
        <v>288</v>
      </c>
      <c r="N1321" s="37">
        <v>812.22926829268283</v>
      </c>
      <c r="O1321" s="130">
        <f t="shared" si="98"/>
        <v>1867.3565997137816</v>
      </c>
      <c r="P1321" s="132">
        <f t="shared" si="99"/>
        <v>50.673753156339586</v>
      </c>
      <c r="Q1321" s="261">
        <v>3.5527274775864662E-2</v>
      </c>
      <c r="R1321" s="92"/>
    </row>
    <row r="1322" spans="1:18" x14ac:dyDescent="0.25">
      <c r="A1322" s="353">
        <v>42629</v>
      </c>
      <c r="B1322" s="353" t="s">
        <v>285</v>
      </c>
      <c r="C1322" s="263" t="s">
        <v>700</v>
      </c>
      <c r="D1322" s="157" t="s">
        <v>701</v>
      </c>
      <c r="E1322" s="44">
        <f t="shared" si="100"/>
        <v>42629</v>
      </c>
      <c r="F1322" s="146" t="str">
        <f t="shared" si="96"/>
        <v>2016-17</v>
      </c>
      <c r="G1322" s="1"/>
      <c r="H1322" s="161"/>
      <c r="I1322" s="37"/>
      <c r="J1322" s="135">
        <f t="shared" si="97"/>
        <v>0.76382508261777382</v>
      </c>
      <c r="K1322" s="112"/>
      <c r="L1322" s="37">
        <v>54.922809796599999</v>
      </c>
      <c r="M1322" s="37" t="s">
        <v>288</v>
      </c>
      <c r="N1322" s="37">
        <v>812.22926829268283</v>
      </c>
      <c r="O1322" s="130">
        <f t="shared" si="98"/>
        <v>44609.913613670607</v>
      </c>
      <c r="P1322" s="132">
        <f t="shared" si="99"/>
        <v>1210.5624341549237</v>
      </c>
      <c r="Q1322" s="261">
        <v>3.5527274775864662E-2</v>
      </c>
      <c r="R1322" s="92"/>
    </row>
    <row r="1323" spans="1:18" x14ac:dyDescent="0.25">
      <c r="A1323" s="353">
        <v>42629</v>
      </c>
      <c r="B1323" s="353" t="s">
        <v>285</v>
      </c>
      <c r="C1323" s="263" t="s">
        <v>700</v>
      </c>
      <c r="D1323" s="157" t="s">
        <v>701</v>
      </c>
      <c r="E1323" s="44">
        <f t="shared" si="100"/>
        <v>42629</v>
      </c>
      <c r="F1323" s="146" t="str">
        <f t="shared" si="96"/>
        <v>2016-17</v>
      </c>
      <c r="G1323" s="1"/>
      <c r="H1323" s="161"/>
      <c r="I1323" s="37"/>
      <c r="J1323" s="135">
        <f t="shared" si="97"/>
        <v>0.76382508261777382</v>
      </c>
      <c r="K1323" s="112"/>
      <c r="L1323" s="37">
        <v>9.2047496270100009</v>
      </c>
      <c r="M1323" s="37" t="s">
        <v>288</v>
      </c>
      <c r="N1323" s="37">
        <v>812.22926829268283</v>
      </c>
      <c r="O1323" s="130">
        <f t="shared" si="98"/>
        <v>7476.3670543636781</v>
      </c>
      <c r="P1323" s="132">
        <f t="shared" si="99"/>
        <v>202.88335858136773</v>
      </c>
      <c r="Q1323" s="261">
        <v>3.5527274775864662E-2</v>
      </c>
      <c r="R1323" s="92"/>
    </row>
    <row r="1324" spans="1:18" x14ac:dyDescent="0.25">
      <c r="A1324" s="353">
        <v>42629</v>
      </c>
      <c r="B1324" s="353" t="s">
        <v>285</v>
      </c>
      <c r="C1324" s="263" t="s">
        <v>700</v>
      </c>
      <c r="D1324" s="157" t="s">
        <v>701</v>
      </c>
      <c r="E1324" s="44">
        <f t="shared" si="100"/>
        <v>42629</v>
      </c>
      <c r="F1324" s="146" t="str">
        <f t="shared" si="96"/>
        <v>2016-17</v>
      </c>
      <c r="G1324" s="1"/>
      <c r="H1324" s="161"/>
      <c r="I1324" s="37"/>
      <c r="J1324" s="135">
        <f t="shared" si="97"/>
        <v>0.76382508261777382</v>
      </c>
      <c r="K1324" s="112"/>
      <c r="L1324" s="37">
        <v>11.196620231000001</v>
      </c>
      <c r="M1324" s="37" t="s">
        <v>288</v>
      </c>
      <c r="N1324" s="37">
        <v>812.22926829268283</v>
      </c>
      <c r="O1324" s="130">
        <f t="shared" si="98"/>
        <v>9094.2226575761797</v>
      </c>
      <c r="P1324" s="132">
        <f t="shared" si="99"/>
        <v>246.7864971101078</v>
      </c>
      <c r="Q1324" s="261">
        <v>3.5527274775864662E-2</v>
      </c>
      <c r="R1324" s="92"/>
    </row>
    <row r="1325" spans="1:18" x14ac:dyDescent="0.25">
      <c r="A1325" s="353">
        <v>42629</v>
      </c>
      <c r="B1325" s="353" t="s">
        <v>285</v>
      </c>
      <c r="C1325" s="263" t="s">
        <v>700</v>
      </c>
      <c r="D1325" s="157" t="s">
        <v>701</v>
      </c>
      <c r="E1325" s="44">
        <f t="shared" si="100"/>
        <v>42629</v>
      </c>
      <c r="F1325" s="146" t="str">
        <f t="shared" si="96"/>
        <v>2016-17</v>
      </c>
      <c r="G1325" s="1"/>
      <c r="H1325" s="161"/>
      <c r="I1325" s="37"/>
      <c r="J1325" s="135">
        <f t="shared" si="97"/>
        <v>0.76382508261777382</v>
      </c>
      <c r="K1325" s="112"/>
      <c r="L1325" s="37">
        <v>82.7811315382</v>
      </c>
      <c r="M1325" s="37" t="s">
        <v>288</v>
      </c>
      <c r="N1325" s="37">
        <v>3336.4019512195118</v>
      </c>
      <c r="O1325" s="130">
        <f t="shared" si="98"/>
        <v>276191.12878820958</v>
      </c>
      <c r="P1325" s="132">
        <f t="shared" si="99"/>
        <v>7494.8947010601532</v>
      </c>
      <c r="Q1325" s="261">
        <v>3.5527274775864662E-2</v>
      </c>
      <c r="R1325" s="92"/>
    </row>
    <row r="1326" spans="1:18" x14ac:dyDescent="0.25">
      <c r="A1326" s="353">
        <v>42629</v>
      </c>
      <c r="B1326" s="353" t="s">
        <v>285</v>
      </c>
      <c r="C1326" s="263" t="s">
        <v>700</v>
      </c>
      <c r="D1326" s="157" t="s">
        <v>701</v>
      </c>
      <c r="E1326" s="44">
        <f t="shared" si="100"/>
        <v>42629</v>
      </c>
      <c r="F1326" s="146" t="str">
        <f t="shared" si="96"/>
        <v>2016-17</v>
      </c>
      <c r="G1326" s="1"/>
      <c r="H1326" s="161"/>
      <c r="I1326" s="37"/>
      <c r="J1326" s="135">
        <f t="shared" si="97"/>
        <v>0.76382508261777382</v>
      </c>
      <c r="K1326" s="112"/>
      <c r="L1326" s="37">
        <v>30.096586419699999</v>
      </c>
      <c r="M1326" s="37" t="s">
        <v>288</v>
      </c>
      <c r="N1326" s="37">
        <v>3336.4019512195118</v>
      </c>
      <c r="O1326" s="130">
        <f t="shared" si="98"/>
        <v>100414.30965573374</v>
      </c>
      <c r="P1326" s="132">
        <f t="shared" si="99"/>
        <v>2724.9053242636228</v>
      </c>
      <c r="Q1326" s="261">
        <v>3.5527274775864662E-2</v>
      </c>
      <c r="R1326" s="92"/>
    </row>
    <row r="1327" spans="1:18" x14ac:dyDescent="0.25">
      <c r="A1327" s="353">
        <v>42629</v>
      </c>
      <c r="B1327" s="353" t="s">
        <v>285</v>
      </c>
      <c r="C1327" s="263" t="s">
        <v>700</v>
      </c>
      <c r="D1327" s="157" t="s">
        <v>701</v>
      </c>
      <c r="E1327" s="44">
        <f t="shared" si="100"/>
        <v>42629</v>
      </c>
      <c r="F1327" s="146" t="str">
        <f t="shared" si="96"/>
        <v>2016-17</v>
      </c>
      <c r="G1327" s="1"/>
      <c r="H1327" s="161"/>
      <c r="I1327" s="37"/>
      <c r="J1327" s="135">
        <f t="shared" si="97"/>
        <v>0.76382508261777382</v>
      </c>
      <c r="K1327" s="112"/>
      <c r="L1327" s="37">
        <v>29.943526931699999</v>
      </c>
      <c r="M1327" s="37" t="s">
        <v>288</v>
      </c>
      <c r="N1327" s="37">
        <v>3592.3639024390236</v>
      </c>
      <c r="O1327" s="130">
        <f t="shared" si="98"/>
        <v>107568.04526114982</v>
      </c>
      <c r="P1327" s="132">
        <f t="shared" si="99"/>
        <v>2919.033554656326</v>
      </c>
      <c r="Q1327" s="261">
        <v>3.5527274775864662E-2</v>
      </c>
      <c r="R1327" s="92"/>
    </row>
    <row r="1328" spans="1:18" x14ac:dyDescent="0.25">
      <c r="A1328" s="353">
        <v>42629</v>
      </c>
      <c r="B1328" s="353" t="s">
        <v>285</v>
      </c>
      <c r="C1328" s="263" t="s">
        <v>700</v>
      </c>
      <c r="D1328" s="157" t="s">
        <v>701</v>
      </c>
      <c r="E1328" s="44">
        <f t="shared" si="100"/>
        <v>42629</v>
      </c>
      <c r="F1328" s="146" t="str">
        <f t="shared" si="96"/>
        <v>2016-17</v>
      </c>
      <c r="G1328" s="1"/>
      <c r="H1328" s="161"/>
      <c r="I1328" s="37"/>
      <c r="J1328" s="135">
        <f t="shared" si="97"/>
        <v>0.76382508261777382</v>
      </c>
      <c r="K1328" s="112"/>
      <c r="L1328" s="37">
        <v>6.2364765693499997</v>
      </c>
      <c r="M1328" s="37" t="s">
        <v>288</v>
      </c>
      <c r="N1328" s="37">
        <v>950.87219512195099</v>
      </c>
      <c r="O1328" s="130">
        <f t="shared" si="98"/>
        <v>5930.0921653244486</v>
      </c>
      <c r="P1328" s="132">
        <f t="shared" si="99"/>
        <v>160.9226789495126</v>
      </c>
      <c r="Q1328" s="261">
        <v>3.5527274775864662E-2</v>
      </c>
      <c r="R1328" s="92"/>
    </row>
    <row r="1329" spans="1:18" x14ac:dyDescent="0.25">
      <c r="A1329" s="353">
        <v>42629</v>
      </c>
      <c r="B1329" s="353" t="s">
        <v>285</v>
      </c>
      <c r="C1329" s="263" t="s">
        <v>700</v>
      </c>
      <c r="D1329" s="157" t="s">
        <v>701</v>
      </c>
      <c r="E1329" s="44">
        <f t="shared" si="100"/>
        <v>42629</v>
      </c>
      <c r="F1329" s="146" t="str">
        <f t="shared" si="96"/>
        <v>2016-17</v>
      </c>
      <c r="G1329" s="1"/>
      <c r="H1329" s="161"/>
      <c r="I1329" s="37"/>
      <c r="J1329" s="135">
        <f t="shared" si="97"/>
        <v>0.76382508261777382</v>
      </c>
      <c r="K1329" s="112"/>
      <c r="L1329" s="37">
        <v>23.4945752249</v>
      </c>
      <c r="M1329" s="37" t="s">
        <v>288</v>
      </c>
      <c r="N1329" s="37">
        <v>950.87219512195099</v>
      </c>
      <c r="O1329" s="130">
        <f t="shared" si="98"/>
        <v>22340.338317558468</v>
      </c>
      <c r="P1329" s="132">
        <f t="shared" si="99"/>
        <v>606.24135181603231</v>
      </c>
      <c r="Q1329" s="261">
        <v>3.5527274775864662E-2</v>
      </c>
      <c r="R1329" s="92"/>
    </row>
    <row r="1330" spans="1:18" x14ac:dyDescent="0.25">
      <c r="A1330" s="353">
        <v>42629</v>
      </c>
      <c r="B1330" s="353" t="s">
        <v>285</v>
      </c>
      <c r="C1330" s="263" t="s">
        <v>700</v>
      </c>
      <c r="D1330" s="157" t="s">
        <v>701</v>
      </c>
      <c r="E1330" s="44">
        <f t="shared" si="100"/>
        <v>42629</v>
      </c>
      <c r="F1330" s="146" t="str">
        <f t="shared" si="96"/>
        <v>2016-17</v>
      </c>
      <c r="G1330" s="1"/>
      <c r="H1330" s="161"/>
      <c r="I1330" s="37"/>
      <c r="J1330" s="135">
        <f t="shared" si="97"/>
        <v>0.76382508261777382</v>
      </c>
      <c r="K1330" s="112"/>
      <c r="L1330" s="37">
        <v>66.058690204800001</v>
      </c>
      <c r="M1330" s="37" t="s">
        <v>288</v>
      </c>
      <c r="N1330" s="37">
        <v>812.22926829268283</v>
      </c>
      <c r="O1330" s="130">
        <f t="shared" si="98"/>
        <v>53654.801609417722</v>
      </c>
      <c r="P1330" s="132">
        <f t="shared" si="99"/>
        <v>1456.0101551169939</v>
      </c>
      <c r="Q1330" s="261">
        <v>3.5527274775864662E-2</v>
      </c>
      <c r="R1330" s="92"/>
    </row>
    <row r="1331" spans="1:18" x14ac:dyDescent="0.25">
      <c r="A1331" s="353">
        <v>42629</v>
      </c>
      <c r="B1331" s="353" t="s">
        <v>285</v>
      </c>
      <c r="C1331" s="263" t="s">
        <v>700</v>
      </c>
      <c r="D1331" s="157" t="s">
        <v>701</v>
      </c>
      <c r="E1331" s="44">
        <f t="shared" si="100"/>
        <v>42629</v>
      </c>
      <c r="F1331" s="146" t="str">
        <f t="shared" si="96"/>
        <v>2016-17</v>
      </c>
      <c r="G1331" s="1"/>
      <c r="H1331" s="161"/>
      <c r="I1331" s="37"/>
      <c r="J1331" s="135">
        <f t="shared" si="97"/>
        <v>0.76382508261777382</v>
      </c>
      <c r="K1331" s="112"/>
      <c r="L1331" s="37">
        <v>90.618883428800004</v>
      </c>
      <c r="M1331" s="37" t="s">
        <v>288</v>
      </c>
      <c r="N1331" s="37">
        <v>812.22926829268283</v>
      </c>
      <c r="O1331" s="130">
        <f t="shared" si="98"/>
        <v>73603.309380874154</v>
      </c>
      <c r="P1331" s="132">
        <f t="shared" si="99"/>
        <v>1997.3453017103363</v>
      </c>
      <c r="Q1331" s="261">
        <v>3.5527274775864662E-2</v>
      </c>
      <c r="R1331" s="92"/>
    </row>
    <row r="1332" spans="1:18" x14ac:dyDescent="0.25">
      <c r="A1332" s="353">
        <v>42629</v>
      </c>
      <c r="B1332" s="353" t="s">
        <v>285</v>
      </c>
      <c r="C1332" s="263" t="s">
        <v>700</v>
      </c>
      <c r="D1332" s="157" t="s">
        <v>701</v>
      </c>
      <c r="E1332" s="44">
        <f t="shared" si="100"/>
        <v>42629</v>
      </c>
      <c r="F1332" s="146" t="str">
        <f t="shared" si="96"/>
        <v>2016-17</v>
      </c>
      <c r="G1332" s="1"/>
      <c r="H1332" s="161"/>
      <c r="I1332" s="37"/>
      <c r="J1332" s="135">
        <f t="shared" si="97"/>
        <v>0.76382508261777382</v>
      </c>
      <c r="K1332" s="112"/>
      <c r="L1332" s="37">
        <v>115.38279593999999</v>
      </c>
      <c r="M1332" s="37" t="s">
        <v>288</v>
      </c>
      <c r="N1332" s="37">
        <v>812.22926829268283</v>
      </c>
      <c r="O1332" s="130">
        <f t="shared" si="98"/>
        <v>93717.283919910129</v>
      </c>
      <c r="P1332" s="132">
        <f t="shared" si="99"/>
        <v>2543.1706576922807</v>
      </c>
      <c r="Q1332" s="261">
        <v>3.5527274775864662E-2</v>
      </c>
      <c r="R1332" s="92"/>
    </row>
    <row r="1333" spans="1:18" x14ac:dyDescent="0.25">
      <c r="A1333" s="353">
        <v>42629</v>
      </c>
      <c r="B1333" s="353" t="s">
        <v>285</v>
      </c>
      <c r="C1333" s="263" t="s">
        <v>700</v>
      </c>
      <c r="D1333" s="157" t="s">
        <v>701</v>
      </c>
      <c r="E1333" s="44">
        <f t="shared" si="100"/>
        <v>42629</v>
      </c>
      <c r="F1333" s="146" t="str">
        <f t="shared" si="96"/>
        <v>2016-17</v>
      </c>
      <c r="G1333" s="1"/>
      <c r="H1333" s="161"/>
      <c r="I1333" s="37"/>
      <c r="J1333" s="135">
        <f t="shared" si="97"/>
        <v>0.76382508261777382</v>
      </c>
      <c r="K1333" s="112"/>
      <c r="L1333" s="37">
        <v>42.399061376900001</v>
      </c>
      <c r="M1333" s="37" t="s">
        <v>288</v>
      </c>
      <c r="N1333" s="37">
        <v>3336.4019512195118</v>
      </c>
      <c r="O1333" s="130">
        <f t="shared" si="98"/>
        <v>141460.31110776501</v>
      </c>
      <c r="P1333" s="132">
        <f t="shared" si="99"/>
        <v>3838.7552155772541</v>
      </c>
      <c r="Q1333" s="261">
        <v>3.5527274775864662E-2</v>
      </c>
      <c r="R1333" s="92"/>
    </row>
    <row r="1334" spans="1:18" x14ac:dyDescent="0.25">
      <c r="A1334" s="353">
        <v>42629</v>
      </c>
      <c r="B1334" s="353" t="s">
        <v>285</v>
      </c>
      <c r="C1334" s="263" t="s">
        <v>700</v>
      </c>
      <c r="D1334" s="157" t="s">
        <v>701</v>
      </c>
      <c r="E1334" s="44">
        <f t="shared" si="100"/>
        <v>42629</v>
      </c>
      <c r="F1334" s="146" t="str">
        <f t="shared" si="96"/>
        <v>2016-17</v>
      </c>
      <c r="G1334" s="1"/>
      <c r="H1334" s="161"/>
      <c r="I1334" s="37"/>
      <c r="J1334" s="135">
        <f t="shared" si="97"/>
        <v>0.76382508261777382</v>
      </c>
      <c r="K1334" s="112"/>
      <c r="L1334" s="37">
        <v>27.124709151699999</v>
      </c>
      <c r="M1334" s="37" t="s">
        <v>288</v>
      </c>
      <c r="N1334" s="37">
        <v>950.87219512195099</v>
      </c>
      <c r="O1334" s="130">
        <f t="shared" si="98"/>
        <v>25792.131733121452</v>
      </c>
      <c r="P1334" s="132">
        <f t="shared" si="99"/>
        <v>699.91137044757124</v>
      </c>
      <c r="Q1334" s="261">
        <v>3.5527274775864662E-2</v>
      </c>
      <c r="R1334" s="92"/>
    </row>
    <row r="1335" spans="1:18" x14ac:dyDescent="0.25">
      <c r="A1335" s="353">
        <v>42629</v>
      </c>
      <c r="B1335" s="353" t="s">
        <v>285</v>
      </c>
      <c r="C1335" s="263" t="s">
        <v>700</v>
      </c>
      <c r="D1335" s="157" t="s">
        <v>701</v>
      </c>
      <c r="E1335" s="44">
        <f t="shared" si="100"/>
        <v>42629</v>
      </c>
      <c r="F1335" s="146" t="str">
        <f t="shared" si="96"/>
        <v>2016-17</v>
      </c>
      <c r="G1335" s="1"/>
      <c r="H1335" s="161"/>
      <c r="I1335" s="37"/>
      <c r="J1335" s="135">
        <f t="shared" si="97"/>
        <v>0.76382508261777382</v>
      </c>
      <c r="K1335" s="112"/>
      <c r="L1335" s="37">
        <v>72.227434659699995</v>
      </c>
      <c r="M1335" s="37" t="s">
        <v>288</v>
      </c>
      <c r="N1335" s="37">
        <v>812.22926829268283</v>
      </c>
      <c r="O1335" s="130">
        <f t="shared" si="98"/>
        <v>58665.236404305688</v>
      </c>
      <c r="P1335" s="132">
        <f t="shared" si="99"/>
        <v>1591.9764381724124</v>
      </c>
      <c r="Q1335" s="261">
        <v>3.5527274775864662E-2</v>
      </c>
      <c r="R1335" s="92"/>
    </row>
    <row r="1336" spans="1:18" x14ac:dyDescent="0.25">
      <c r="A1336" s="353">
        <v>42629</v>
      </c>
      <c r="B1336" s="353" t="s">
        <v>285</v>
      </c>
      <c r="C1336" s="263" t="s">
        <v>700</v>
      </c>
      <c r="D1336" s="157" t="s">
        <v>701</v>
      </c>
      <c r="E1336" s="44">
        <f t="shared" si="100"/>
        <v>42629</v>
      </c>
      <c r="F1336" s="146" t="str">
        <f t="shared" si="96"/>
        <v>2016-17</v>
      </c>
      <c r="G1336" s="1"/>
      <c r="H1336" s="161"/>
      <c r="I1336" s="37"/>
      <c r="J1336" s="135">
        <f t="shared" si="97"/>
        <v>0.76382508261777382</v>
      </c>
      <c r="K1336" s="112"/>
      <c r="L1336" s="37">
        <v>17.755703002200001</v>
      </c>
      <c r="M1336" s="37" t="s">
        <v>288</v>
      </c>
      <c r="N1336" s="37">
        <v>3592.3639024390236</v>
      </c>
      <c r="O1336" s="130">
        <f t="shared" si="98"/>
        <v>63784.94652753148</v>
      </c>
      <c r="P1336" s="132">
        <f t="shared" si="99"/>
        <v>1730.9080846807019</v>
      </c>
      <c r="Q1336" s="261">
        <v>3.5527274775864662E-2</v>
      </c>
      <c r="R1336" s="92"/>
    </row>
    <row r="1337" spans="1:18" x14ac:dyDescent="0.25">
      <c r="A1337" s="353">
        <v>42629</v>
      </c>
      <c r="B1337" s="353" t="s">
        <v>285</v>
      </c>
      <c r="C1337" s="263" t="s">
        <v>700</v>
      </c>
      <c r="D1337" s="157" t="s">
        <v>701</v>
      </c>
      <c r="E1337" s="44">
        <f t="shared" si="100"/>
        <v>42629</v>
      </c>
      <c r="F1337" s="146" t="str">
        <f t="shared" si="96"/>
        <v>2016-17</v>
      </c>
      <c r="G1337" s="1"/>
      <c r="H1337" s="161"/>
      <c r="I1337" s="37"/>
      <c r="J1337" s="135">
        <f t="shared" si="97"/>
        <v>0.76382508261777382</v>
      </c>
      <c r="K1337" s="112"/>
      <c r="L1337" s="37">
        <v>7.8447736742399998</v>
      </c>
      <c r="M1337" s="37" t="s">
        <v>288</v>
      </c>
      <c r="N1337" s="37">
        <v>950.87219512195099</v>
      </c>
      <c r="O1337" s="130">
        <f t="shared" si="98"/>
        <v>7459.3771638594817</v>
      </c>
      <c r="P1337" s="132">
        <f t="shared" si="99"/>
        <v>202.42231031790541</v>
      </c>
      <c r="Q1337" s="261">
        <v>3.5527274775864662E-2</v>
      </c>
      <c r="R1337" s="92"/>
    </row>
    <row r="1338" spans="1:18" x14ac:dyDescent="0.25">
      <c r="A1338" s="353">
        <v>42629</v>
      </c>
      <c r="B1338" s="353" t="s">
        <v>285</v>
      </c>
      <c r="C1338" s="263" t="s">
        <v>700</v>
      </c>
      <c r="D1338" s="157" t="s">
        <v>701</v>
      </c>
      <c r="E1338" s="44">
        <f t="shared" si="100"/>
        <v>42629</v>
      </c>
      <c r="F1338" s="146" t="str">
        <f t="shared" si="96"/>
        <v>2016-17</v>
      </c>
      <c r="G1338" s="1"/>
      <c r="H1338" s="161"/>
      <c r="I1338" s="37"/>
      <c r="J1338" s="135">
        <f t="shared" si="97"/>
        <v>0.76382508261777382</v>
      </c>
      <c r="K1338" s="112"/>
      <c r="L1338" s="37">
        <v>36.575862037299999</v>
      </c>
      <c r="M1338" s="37" t="s">
        <v>288</v>
      </c>
      <c r="N1338" s="37">
        <v>950.87219512195099</v>
      </c>
      <c r="O1338" s="130">
        <f t="shared" si="98"/>
        <v>34778.970223885088</v>
      </c>
      <c r="P1338" s="132">
        <f t="shared" si="99"/>
        <v>943.78382384326903</v>
      </c>
      <c r="Q1338" s="261">
        <v>3.5527274775864662E-2</v>
      </c>
      <c r="R1338" s="92"/>
    </row>
    <row r="1339" spans="1:18" x14ac:dyDescent="0.25">
      <c r="A1339" s="353">
        <v>42629</v>
      </c>
      <c r="B1339" s="353" t="s">
        <v>285</v>
      </c>
      <c r="C1339" s="263" t="s">
        <v>700</v>
      </c>
      <c r="D1339" s="157" t="s">
        <v>701</v>
      </c>
      <c r="E1339" s="44">
        <f t="shared" si="100"/>
        <v>42629</v>
      </c>
      <c r="F1339" s="146" t="str">
        <f t="shared" ref="F1339:F1402" si="101">IF(E1339="","-",IF(OR(E1339&lt;$E$15,E1339&gt;$E$16),"ERROR - date outside of range",IF(MONTH(E1339)&gt;=7,YEAR(E1339)&amp;"-"&amp;IF(YEAR(E1339)=1999,"00",IF(AND(YEAR(E1339)&gt;=2000,YEAR(E1339)&lt;2009),"0","")&amp;RIGHT(YEAR(E1339),2)+1),RIGHT(YEAR(E1339),4)-1&amp;"-"&amp;RIGHT(YEAR(E1339),2))))</f>
        <v>2016-17</v>
      </c>
      <c r="G1339" s="1"/>
      <c r="H1339" s="161"/>
      <c r="I1339" s="37"/>
      <c r="J1339" s="135">
        <f t="shared" si="97"/>
        <v>0.76382508261777382</v>
      </c>
      <c r="K1339" s="112"/>
      <c r="L1339" s="37">
        <v>45.520139059500003</v>
      </c>
      <c r="M1339" s="37" t="s">
        <v>288</v>
      </c>
      <c r="N1339" s="37">
        <v>950.87219512195099</v>
      </c>
      <c r="O1339" s="130">
        <f t="shared" si="98"/>
        <v>43283.834549763233</v>
      </c>
      <c r="P1339" s="132">
        <f t="shared" si="99"/>
        <v>1174.5771257459505</v>
      </c>
      <c r="Q1339" s="261">
        <v>3.5527274775864662E-2</v>
      </c>
      <c r="R1339" s="92"/>
    </row>
    <row r="1340" spans="1:18" x14ac:dyDescent="0.25">
      <c r="A1340" s="353">
        <v>42629</v>
      </c>
      <c r="B1340" s="353" t="s">
        <v>285</v>
      </c>
      <c r="C1340" s="263" t="s">
        <v>700</v>
      </c>
      <c r="D1340" s="157" t="s">
        <v>701</v>
      </c>
      <c r="E1340" s="44">
        <f t="shared" si="100"/>
        <v>42629</v>
      </c>
      <c r="F1340" s="146" t="str">
        <f t="shared" si="101"/>
        <v>2016-17</v>
      </c>
      <c r="G1340" s="1"/>
      <c r="H1340" s="161"/>
      <c r="I1340" s="37"/>
      <c r="J1340" s="135">
        <f t="shared" si="97"/>
        <v>0.76382508261777382</v>
      </c>
      <c r="K1340" s="112"/>
      <c r="L1340" s="37">
        <v>6.2054338285100004</v>
      </c>
      <c r="M1340" s="37" t="s">
        <v>288</v>
      </c>
      <c r="N1340" s="37">
        <v>950.87219512195099</v>
      </c>
      <c r="O1340" s="130">
        <f t="shared" si="98"/>
        <v>5900.5744861993162</v>
      </c>
      <c r="P1340" s="132">
        <f t="shared" si="99"/>
        <v>160.12166880181812</v>
      </c>
      <c r="Q1340" s="261">
        <v>3.5527274775864662E-2</v>
      </c>
      <c r="R1340" s="92"/>
    </row>
    <row r="1341" spans="1:18" x14ac:dyDescent="0.25">
      <c r="A1341" s="353">
        <v>42629</v>
      </c>
      <c r="B1341" s="353" t="s">
        <v>285</v>
      </c>
      <c r="C1341" s="263" t="s">
        <v>700</v>
      </c>
      <c r="D1341" s="157" t="s">
        <v>701</v>
      </c>
      <c r="E1341" s="44">
        <f t="shared" si="100"/>
        <v>42629</v>
      </c>
      <c r="F1341" s="146" t="str">
        <f t="shared" si="101"/>
        <v>2016-17</v>
      </c>
      <c r="G1341" s="1"/>
      <c r="H1341" s="161"/>
      <c r="I1341" s="37"/>
      <c r="J1341" s="135">
        <f t="shared" si="97"/>
        <v>0.76382508261777382</v>
      </c>
      <c r="K1341" s="112"/>
      <c r="L1341" s="37">
        <v>110.62516609799999</v>
      </c>
      <c r="M1341" s="37" t="s">
        <v>288</v>
      </c>
      <c r="N1341" s="37">
        <v>3336.4019512195118</v>
      </c>
      <c r="O1341" s="130">
        <f t="shared" si="98"/>
        <v>369090.02002334979</v>
      </c>
      <c r="P1341" s="132">
        <f t="shared" si="99"/>
        <v>10015.856944516319</v>
      </c>
      <c r="Q1341" s="261">
        <v>3.5527274775864662E-2</v>
      </c>
      <c r="R1341" s="92"/>
    </row>
    <row r="1342" spans="1:18" x14ac:dyDescent="0.25">
      <c r="A1342" s="353">
        <v>42629</v>
      </c>
      <c r="B1342" s="353" t="s">
        <v>285</v>
      </c>
      <c r="C1342" s="263" t="s">
        <v>700</v>
      </c>
      <c r="D1342" s="157" t="s">
        <v>701</v>
      </c>
      <c r="E1342" s="44">
        <f t="shared" si="100"/>
        <v>42629</v>
      </c>
      <c r="F1342" s="146" t="str">
        <f t="shared" si="101"/>
        <v>2016-17</v>
      </c>
      <c r="G1342" s="1"/>
      <c r="H1342" s="161"/>
      <c r="I1342" s="37"/>
      <c r="J1342" s="135">
        <f t="shared" si="97"/>
        <v>0.76382508261777382</v>
      </c>
      <c r="K1342" s="112"/>
      <c r="L1342" s="37">
        <v>6.4835535009700003</v>
      </c>
      <c r="M1342" s="37" t="s">
        <v>288</v>
      </c>
      <c r="N1342" s="37">
        <v>812.22926829268283</v>
      </c>
      <c r="O1342" s="130">
        <f t="shared" si="98"/>
        <v>5266.1319160293251</v>
      </c>
      <c r="P1342" s="132">
        <f t="shared" si="99"/>
        <v>142.90503958509782</v>
      </c>
      <c r="Q1342" s="261">
        <v>3.5527274775864662E-2</v>
      </c>
      <c r="R1342" s="92"/>
    </row>
    <row r="1343" spans="1:18" x14ac:dyDescent="0.25">
      <c r="A1343" s="353">
        <v>42629</v>
      </c>
      <c r="B1343" s="353" t="s">
        <v>285</v>
      </c>
      <c r="C1343" s="263" t="s">
        <v>700</v>
      </c>
      <c r="D1343" s="157" t="s">
        <v>701</v>
      </c>
      <c r="E1343" s="44">
        <f t="shared" si="100"/>
        <v>42629</v>
      </c>
      <c r="F1343" s="146" t="str">
        <f t="shared" si="101"/>
        <v>2016-17</v>
      </c>
      <c r="G1343" s="1"/>
      <c r="H1343" s="161"/>
      <c r="I1343" s="37"/>
      <c r="J1343" s="135">
        <f t="shared" si="97"/>
        <v>0.76382508261777382</v>
      </c>
      <c r="K1343" s="112"/>
      <c r="L1343" s="37">
        <v>102.791230214</v>
      </c>
      <c r="M1343" s="37" t="s">
        <v>288</v>
      </c>
      <c r="N1343" s="37">
        <v>812.22926829268283</v>
      </c>
      <c r="O1343" s="130">
        <f t="shared" si="98"/>
        <v>83490.04570362193</v>
      </c>
      <c r="P1343" s="132">
        <f t="shared" si="99"/>
        <v>2265.6379438428175</v>
      </c>
      <c r="Q1343" s="261">
        <v>3.5527274775864662E-2</v>
      </c>
      <c r="R1343" s="92"/>
    </row>
    <row r="1344" spans="1:18" x14ac:dyDescent="0.25">
      <c r="A1344" s="353">
        <v>42629</v>
      </c>
      <c r="B1344" s="353" t="s">
        <v>285</v>
      </c>
      <c r="C1344" s="263" t="s">
        <v>700</v>
      </c>
      <c r="D1344" s="157" t="s">
        <v>701</v>
      </c>
      <c r="E1344" s="44">
        <f t="shared" si="100"/>
        <v>42629</v>
      </c>
      <c r="F1344" s="146" t="str">
        <f t="shared" si="101"/>
        <v>2016-17</v>
      </c>
      <c r="G1344" s="1"/>
      <c r="H1344" s="161"/>
      <c r="I1344" s="37"/>
      <c r="J1344" s="135">
        <f t="shared" si="97"/>
        <v>0.76382508261777382</v>
      </c>
      <c r="K1344" s="112"/>
      <c r="L1344" s="37">
        <v>37.754700747599998</v>
      </c>
      <c r="M1344" s="37" t="s">
        <v>288</v>
      </c>
      <c r="N1344" s="37">
        <v>812.22926829268283</v>
      </c>
      <c r="O1344" s="130">
        <f t="shared" si="98"/>
        <v>30665.472962832351</v>
      </c>
      <c r="P1344" s="132">
        <f t="shared" si="99"/>
        <v>832.1573970280507</v>
      </c>
      <c r="Q1344" s="261">
        <v>3.5527274775864662E-2</v>
      </c>
      <c r="R1344" s="92"/>
    </row>
    <row r="1345" spans="1:18" x14ac:dyDescent="0.25">
      <c r="A1345" s="353">
        <v>42629</v>
      </c>
      <c r="B1345" s="353" t="s">
        <v>285</v>
      </c>
      <c r="C1345" s="263" t="s">
        <v>700</v>
      </c>
      <c r="D1345" s="157" t="s">
        <v>701</v>
      </c>
      <c r="E1345" s="44">
        <f t="shared" si="100"/>
        <v>42629</v>
      </c>
      <c r="F1345" s="146" t="str">
        <f t="shared" si="101"/>
        <v>2016-17</v>
      </c>
      <c r="G1345" s="1"/>
      <c r="H1345" s="161"/>
      <c r="I1345" s="37"/>
      <c r="J1345" s="135">
        <f t="shared" si="97"/>
        <v>0.76382508261777382</v>
      </c>
      <c r="K1345" s="112"/>
      <c r="L1345" s="37">
        <v>113.231801054</v>
      </c>
      <c r="M1345" s="37" t="s">
        <v>288</v>
      </c>
      <c r="N1345" s="37">
        <v>3336.4019512195118</v>
      </c>
      <c r="O1345" s="130">
        <f t="shared" si="98"/>
        <v>377786.80197666516</v>
      </c>
      <c r="P1345" s="132">
        <f t="shared" si="99"/>
        <v>10251.858242835217</v>
      </c>
      <c r="Q1345" s="261">
        <v>3.5527274775864662E-2</v>
      </c>
      <c r="R1345" s="92"/>
    </row>
    <row r="1346" spans="1:18" x14ac:dyDescent="0.25">
      <c r="A1346" s="353">
        <v>42629</v>
      </c>
      <c r="B1346" s="353" t="s">
        <v>285</v>
      </c>
      <c r="C1346" s="263" t="s">
        <v>700</v>
      </c>
      <c r="D1346" s="157" t="s">
        <v>701</v>
      </c>
      <c r="E1346" s="44">
        <f t="shared" si="100"/>
        <v>42629</v>
      </c>
      <c r="F1346" s="146" t="str">
        <f t="shared" si="101"/>
        <v>2016-17</v>
      </c>
      <c r="G1346" s="1"/>
      <c r="H1346" s="161"/>
      <c r="I1346" s="37"/>
      <c r="J1346" s="135">
        <f t="shared" si="97"/>
        <v>0.76382508261777382</v>
      </c>
      <c r="K1346" s="112"/>
      <c r="L1346" s="37">
        <v>25.4588644287</v>
      </c>
      <c r="M1346" s="37" t="s">
        <v>288</v>
      </c>
      <c r="N1346" s="37">
        <v>812.22926829268283</v>
      </c>
      <c r="O1346" s="130">
        <f t="shared" si="98"/>
        <v>20678.434826485613</v>
      </c>
      <c r="P1346" s="132">
        <f t="shared" si="99"/>
        <v>561.14290233445354</v>
      </c>
      <c r="Q1346" s="261">
        <v>3.5527274775864662E-2</v>
      </c>
      <c r="R1346" s="92"/>
    </row>
    <row r="1347" spans="1:18" x14ac:dyDescent="0.25">
      <c r="A1347" s="353">
        <v>42629</v>
      </c>
      <c r="B1347" s="353" t="s">
        <v>285</v>
      </c>
      <c r="C1347" s="263" t="s">
        <v>700</v>
      </c>
      <c r="D1347" s="157" t="s">
        <v>701</v>
      </c>
      <c r="E1347" s="44">
        <f t="shared" si="100"/>
        <v>42629</v>
      </c>
      <c r="F1347" s="146" t="str">
        <f t="shared" si="101"/>
        <v>2016-17</v>
      </c>
      <c r="G1347" s="1"/>
      <c r="H1347" s="161"/>
      <c r="I1347" s="37"/>
      <c r="J1347" s="135">
        <f t="shared" si="97"/>
        <v>0.76382508261777382</v>
      </c>
      <c r="K1347" s="112"/>
      <c r="L1347" s="37">
        <v>112.15522626000001</v>
      </c>
      <c r="M1347" s="37" t="s">
        <v>288</v>
      </c>
      <c r="N1347" s="37">
        <v>812.22926829268283</v>
      </c>
      <c r="O1347" s="130">
        <f t="shared" si="98"/>
        <v>91095.75736036009</v>
      </c>
      <c r="P1347" s="132">
        <f t="shared" si="99"/>
        <v>2472.031278212331</v>
      </c>
      <c r="Q1347" s="261">
        <v>3.5527274775864662E-2</v>
      </c>
      <c r="R1347" s="92"/>
    </row>
    <row r="1348" spans="1:18" x14ac:dyDescent="0.25">
      <c r="A1348" s="353">
        <v>42629</v>
      </c>
      <c r="B1348" s="353" t="s">
        <v>285</v>
      </c>
      <c r="C1348" s="263" t="s">
        <v>700</v>
      </c>
      <c r="D1348" s="157" t="s">
        <v>701</v>
      </c>
      <c r="E1348" s="44">
        <f t="shared" si="100"/>
        <v>42629</v>
      </c>
      <c r="F1348" s="146" t="str">
        <f t="shared" si="101"/>
        <v>2016-17</v>
      </c>
      <c r="G1348" s="1"/>
      <c r="H1348" s="161"/>
      <c r="I1348" s="37"/>
      <c r="J1348" s="135">
        <f t="shared" si="97"/>
        <v>0.76382508261777382</v>
      </c>
      <c r="K1348" s="112"/>
      <c r="L1348" s="37">
        <v>37.690843899199997</v>
      </c>
      <c r="M1348" s="37" t="s">
        <v>288</v>
      </c>
      <c r="N1348" s="37">
        <v>812.22926829268283</v>
      </c>
      <c r="O1348" s="130">
        <f t="shared" si="98"/>
        <v>30613.606561580942</v>
      </c>
      <c r="P1348" s="132">
        <f t="shared" si="99"/>
        <v>830.74991802027876</v>
      </c>
      <c r="Q1348" s="261">
        <v>3.5527274775864662E-2</v>
      </c>
      <c r="R1348" s="92"/>
    </row>
    <row r="1349" spans="1:18" x14ac:dyDescent="0.25">
      <c r="A1349" s="353">
        <v>42629</v>
      </c>
      <c r="B1349" s="353" t="s">
        <v>285</v>
      </c>
      <c r="C1349" s="263" t="s">
        <v>700</v>
      </c>
      <c r="D1349" s="157" t="s">
        <v>701</v>
      </c>
      <c r="E1349" s="44">
        <f t="shared" si="100"/>
        <v>42629</v>
      </c>
      <c r="F1349" s="146" t="str">
        <f t="shared" si="101"/>
        <v>2016-17</v>
      </c>
      <c r="G1349" s="1"/>
      <c r="H1349" s="161"/>
      <c r="I1349" s="37"/>
      <c r="J1349" s="135">
        <f t="shared" si="97"/>
        <v>0.76382508261777382</v>
      </c>
      <c r="K1349" s="112"/>
      <c r="L1349" s="37">
        <v>16.2868317975</v>
      </c>
      <c r="M1349" s="37" t="s">
        <v>288</v>
      </c>
      <c r="N1349" s="37">
        <v>812.22926829268283</v>
      </c>
      <c r="O1349" s="130">
        <f t="shared" si="98"/>
        <v>13228.641473689426</v>
      </c>
      <c r="P1349" s="132">
        <f t="shared" si="99"/>
        <v>358.9806642899386</v>
      </c>
      <c r="Q1349" s="261">
        <v>3.5527274775864662E-2</v>
      </c>
      <c r="R1349" s="92"/>
    </row>
    <row r="1350" spans="1:18" x14ac:dyDescent="0.25">
      <c r="A1350" s="353">
        <v>42629</v>
      </c>
      <c r="B1350" s="353" t="s">
        <v>285</v>
      </c>
      <c r="C1350" s="263" t="s">
        <v>700</v>
      </c>
      <c r="D1350" s="157" t="s">
        <v>701</v>
      </c>
      <c r="E1350" s="44">
        <f t="shared" si="100"/>
        <v>42629</v>
      </c>
      <c r="F1350" s="146" t="str">
        <f t="shared" si="101"/>
        <v>2016-17</v>
      </c>
      <c r="G1350" s="1"/>
      <c r="H1350" s="161"/>
      <c r="I1350" s="37"/>
      <c r="J1350" s="135">
        <f t="shared" si="97"/>
        <v>0.76382508261777382</v>
      </c>
      <c r="K1350" s="112"/>
      <c r="L1350" s="37">
        <v>22.824115360899999</v>
      </c>
      <c r="M1350" s="37" t="s">
        <v>288</v>
      </c>
      <c r="N1350" s="37">
        <v>3336.4019512195118</v>
      </c>
      <c r="O1350" s="130">
        <f t="shared" si="98"/>
        <v>76150.423024965989</v>
      </c>
      <c r="P1350" s="132">
        <f t="shared" si="99"/>
        <v>2066.4653659131977</v>
      </c>
      <c r="Q1350" s="261">
        <v>3.5527274775864662E-2</v>
      </c>
      <c r="R1350" s="92"/>
    </row>
    <row r="1351" spans="1:18" x14ac:dyDescent="0.25">
      <c r="A1351" s="353">
        <v>42629</v>
      </c>
      <c r="B1351" s="353" t="s">
        <v>285</v>
      </c>
      <c r="C1351" s="263" t="s">
        <v>700</v>
      </c>
      <c r="D1351" s="157" t="s">
        <v>701</v>
      </c>
      <c r="E1351" s="44">
        <f t="shared" si="100"/>
        <v>42629</v>
      </c>
      <c r="F1351" s="146" t="str">
        <f t="shared" si="101"/>
        <v>2016-17</v>
      </c>
      <c r="G1351" s="1"/>
      <c r="H1351" s="161"/>
      <c r="I1351" s="37"/>
      <c r="J1351" s="135">
        <f t="shared" si="97"/>
        <v>0.76382508261777382</v>
      </c>
      <c r="K1351" s="112"/>
      <c r="L1351" s="37">
        <v>6.2069718865199999</v>
      </c>
      <c r="M1351" s="37" t="s">
        <v>288</v>
      </c>
      <c r="N1351" s="37">
        <v>812.22926829268283</v>
      </c>
      <c r="O1351" s="130">
        <f t="shared" si="98"/>
        <v>5041.4842337013924</v>
      </c>
      <c r="P1351" s="132">
        <f t="shared" si="99"/>
        <v>136.80885998920581</v>
      </c>
      <c r="Q1351" s="261">
        <v>3.5527274775864662E-2</v>
      </c>
      <c r="R1351" s="92"/>
    </row>
    <row r="1352" spans="1:18" x14ac:dyDescent="0.25">
      <c r="A1352" s="353">
        <v>42629</v>
      </c>
      <c r="B1352" s="353" t="s">
        <v>285</v>
      </c>
      <c r="C1352" s="263" t="s">
        <v>700</v>
      </c>
      <c r="D1352" s="157" t="s">
        <v>701</v>
      </c>
      <c r="E1352" s="44">
        <f t="shared" si="100"/>
        <v>42629</v>
      </c>
      <c r="F1352" s="146" t="str">
        <f t="shared" si="101"/>
        <v>2016-17</v>
      </c>
      <c r="G1352" s="1"/>
      <c r="H1352" s="161"/>
      <c r="I1352" s="37"/>
      <c r="J1352" s="135">
        <f t="shared" si="97"/>
        <v>0.76382508261777382</v>
      </c>
      <c r="K1352" s="112"/>
      <c r="L1352" s="37">
        <v>17.952366785300001</v>
      </c>
      <c r="M1352" s="37" t="s">
        <v>288</v>
      </c>
      <c r="N1352" s="37">
        <v>3336.4019512195118</v>
      </c>
      <c r="O1352" s="130">
        <f t="shared" si="98"/>
        <v>59896.311571483275</v>
      </c>
      <c r="P1352" s="132">
        <f t="shared" si="99"/>
        <v>1625.3836615961645</v>
      </c>
      <c r="Q1352" s="261">
        <v>3.5527274775864662E-2</v>
      </c>
      <c r="R1352" s="92"/>
    </row>
    <row r="1353" spans="1:18" x14ac:dyDescent="0.25">
      <c r="A1353" s="353">
        <v>42629</v>
      </c>
      <c r="B1353" s="353" t="s">
        <v>285</v>
      </c>
      <c r="C1353" s="263" t="s">
        <v>700</v>
      </c>
      <c r="D1353" s="157" t="s">
        <v>701</v>
      </c>
      <c r="E1353" s="44">
        <f t="shared" si="100"/>
        <v>42629</v>
      </c>
      <c r="F1353" s="146" t="str">
        <f t="shared" si="101"/>
        <v>2016-17</v>
      </c>
      <c r="G1353" s="1"/>
      <c r="H1353" s="161"/>
      <c r="I1353" s="37"/>
      <c r="J1353" s="135">
        <f t="shared" si="97"/>
        <v>0.76382508261777382</v>
      </c>
      <c r="K1353" s="112"/>
      <c r="L1353" s="37">
        <v>6.2126326142800004</v>
      </c>
      <c r="M1353" s="37" t="s">
        <v>288</v>
      </c>
      <c r="N1353" s="37">
        <v>812.22926829268283</v>
      </c>
      <c r="O1353" s="130">
        <f t="shared" si="98"/>
        <v>5046.0820424679023</v>
      </c>
      <c r="P1353" s="132">
        <f t="shared" si="99"/>
        <v>136.93362899504535</v>
      </c>
      <c r="Q1353" s="261">
        <v>3.5527274775864662E-2</v>
      </c>
      <c r="R1353" s="92"/>
    </row>
    <row r="1354" spans="1:18" x14ac:dyDescent="0.25">
      <c r="A1354" s="353">
        <v>42629</v>
      </c>
      <c r="B1354" s="353" t="s">
        <v>285</v>
      </c>
      <c r="C1354" s="263" t="s">
        <v>700</v>
      </c>
      <c r="D1354" s="157" t="s">
        <v>701</v>
      </c>
      <c r="E1354" s="44">
        <f t="shared" si="100"/>
        <v>42629</v>
      </c>
      <c r="F1354" s="146" t="str">
        <f t="shared" si="101"/>
        <v>2016-17</v>
      </c>
      <c r="G1354" s="1"/>
      <c r="H1354" s="161"/>
      <c r="I1354" s="37"/>
      <c r="J1354" s="135">
        <f t="shared" si="97"/>
        <v>0.76382508261777382</v>
      </c>
      <c r="K1354" s="112"/>
      <c r="L1354" s="37">
        <v>22.653797152999999</v>
      </c>
      <c r="M1354" s="37" t="s">
        <v>288</v>
      </c>
      <c r="N1354" s="37">
        <v>3336.4019512195118</v>
      </c>
      <c r="O1354" s="130">
        <f t="shared" si="98"/>
        <v>75582.17302380022</v>
      </c>
      <c r="P1354" s="132">
        <f t="shared" si="99"/>
        <v>2051.044979526057</v>
      </c>
      <c r="Q1354" s="261">
        <v>3.5527274775864662E-2</v>
      </c>
      <c r="R1354" s="92"/>
    </row>
    <row r="1355" spans="1:18" x14ac:dyDescent="0.25">
      <c r="A1355" s="353">
        <v>42629</v>
      </c>
      <c r="B1355" s="353" t="s">
        <v>285</v>
      </c>
      <c r="C1355" s="263" t="s">
        <v>700</v>
      </c>
      <c r="D1355" s="157" t="s">
        <v>701</v>
      </c>
      <c r="E1355" s="44">
        <f t="shared" si="100"/>
        <v>42629</v>
      </c>
      <c r="F1355" s="146" t="str">
        <f t="shared" si="101"/>
        <v>2016-17</v>
      </c>
      <c r="G1355" s="1"/>
      <c r="H1355" s="161"/>
      <c r="I1355" s="37"/>
      <c r="J1355" s="135">
        <f t="shared" si="97"/>
        <v>0.76382508261777382</v>
      </c>
      <c r="K1355" s="112"/>
      <c r="L1355" s="37">
        <v>6.2089564747599999</v>
      </c>
      <c r="M1355" s="37" t="s">
        <v>288</v>
      </c>
      <c r="N1355" s="37">
        <v>812.22926829268283</v>
      </c>
      <c r="O1355" s="130">
        <f t="shared" si="98"/>
        <v>5043.0961743554299</v>
      </c>
      <c r="P1355" s="132">
        <f t="shared" si="99"/>
        <v>136.85260261598523</v>
      </c>
      <c r="Q1355" s="261">
        <v>3.5527274775864662E-2</v>
      </c>
      <c r="R1355" s="92"/>
    </row>
    <row r="1356" spans="1:18" x14ac:dyDescent="0.25">
      <c r="A1356" s="353">
        <v>42629</v>
      </c>
      <c r="B1356" s="353" t="s">
        <v>285</v>
      </c>
      <c r="C1356" s="263" t="s">
        <v>700</v>
      </c>
      <c r="D1356" s="157" t="s">
        <v>701</v>
      </c>
      <c r="E1356" s="44">
        <f t="shared" si="100"/>
        <v>42629</v>
      </c>
      <c r="F1356" s="146" t="str">
        <f t="shared" si="101"/>
        <v>2016-17</v>
      </c>
      <c r="G1356" s="1"/>
      <c r="H1356" s="161"/>
      <c r="I1356" s="37"/>
      <c r="J1356" s="135">
        <f t="shared" si="97"/>
        <v>0.76382508261777382</v>
      </c>
      <c r="K1356" s="112"/>
      <c r="L1356" s="37">
        <v>59.010229558900001</v>
      </c>
      <c r="M1356" s="37" t="s">
        <v>288</v>
      </c>
      <c r="N1356" s="37">
        <v>3336.4019512195118</v>
      </c>
      <c r="O1356" s="130">
        <f t="shared" si="98"/>
        <v>196881.84504222526</v>
      </c>
      <c r="P1356" s="132">
        <f t="shared" si="99"/>
        <v>5342.7085207847313</v>
      </c>
      <c r="Q1356" s="261">
        <v>3.5527274775864662E-2</v>
      </c>
      <c r="R1356" s="92"/>
    </row>
    <row r="1357" spans="1:18" x14ac:dyDescent="0.25">
      <c r="A1357" s="353">
        <v>42629</v>
      </c>
      <c r="B1357" s="353" t="s">
        <v>285</v>
      </c>
      <c r="C1357" s="263" t="s">
        <v>700</v>
      </c>
      <c r="D1357" s="157" t="s">
        <v>701</v>
      </c>
      <c r="E1357" s="44">
        <f t="shared" si="100"/>
        <v>42629</v>
      </c>
      <c r="F1357" s="146" t="str">
        <f t="shared" si="101"/>
        <v>2016-17</v>
      </c>
      <c r="G1357" s="1"/>
      <c r="H1357" s="161"/>
      <c r="I1357" s="37"/>
      <c r="J1357" s="135">
        <f t="shared" si="97"/>
        <v>0.76382508261777382</v>
      </c>
      <c r="K1357" s="112"/>
      <c r="L1357" s="37">
        <v>25.390159511099998</v>
      </c>
      <c r="M1357" s="37" t="s">
        <v>288</v>
      </c>
      <c r="N1357" s="37">
        <v>812.22926829268283</v>
      </c>
      <c r="O1357" s="130">
        <f t="shared" si="98"/>
        <v>20622.630681535255</v>
      </c>
      <c r="P1357" s="132">
        <f t="shared" si="99"/>
        <v>559.62856625812583</v>
      </c>
      <c r="Q1357" s="261">
        <v>3.5527274775864662E-2</v>
      </c>
      <c r="R1357" s="92"/>
    </row>
    <row r="1358" spans="1:18" x14ac:dyDescent="0.25">
      <c r="A1358" s="353">
        <v>42629</v>
      </c>
      <c r="B1358" s="353" t="s">
        <v>285</v>
      </c>
      <c r="C1358" s="263" t="s">
        <v>700</v>
      </c>
      <c r="D1358" s="157" t="s">
        <v>701</v>
      </c>
      <c r="E1358" s="44">
        <f t="shared" si="100"/>
        <v>42629</v>
      </c>
      <c r="F1358" s="146" t="str">
        <f t="shared" si="101"/>
        <v>2016-17</v>
      </c>
      <c r="G1358" s="1"/>
      <c r="H1358" s="161"/>
      <c r="I1358" s="37"/>
      <c r="J1358" s="135">
        <f t="shared" si="97"/>
        <v>0.76382508261777382</v>
      </c>
      <c r="K1358" s="112"/>
      <c r="L1358" s="37">
        <v>16.3098491103</v>
      </c>
      <c r="M1358" s="37" t="s">
        <v>288</v>
      </c>
      <c r="N1358" s="37">
        <v>812.22926829268283</v>
      </c>
      <c r="O1358" s="130">
        <f t="shared" si="98"/>
        <v>13247.336808823033</v>
      </c>
      <c r="P1358" s="132">
        <f t="shared" si="99"/>
        <v>359.48799256236418</v>
      </c>
      <c r="Q1358" s="261">
        <v>3.5527274775864662E-2</v>
      </c>
      <c r="R1358" s="92"/>
    </row>
    <row r="1359" spans="1:18" x14ac:dyDescent="0.25">
      <c r="A1359" s="353">
        <v>42629</v>
      </c>
      <c r="B1359" s="353" t="s">
        <v>285</v>
      </c>
      <c r="C1359" s="263" t="s">
        <v>700</v>
      </c>
      <c r="D1359" s="157" t="s">
        <v>701</v>
      </c>
      <c r="E1359" s="44">
        <f t="shared" si="100"/>
        <v>42629</v>
      </c>
      <c r="F1359" s="146" t="str">
        <f t="shared" si="101"/>
        <v>2016-17</v>
      </c>
      <c r="G1359" s="1"/>
      <c r="H1359" s="161"/>
      <c r="I1359" s="37"/>
      <c r="J1359" s="135">
        <f t="shared" si="97"/>
        <v>0.76382508261777382</v>
      </c>
      <c r="K1359" s="112"/>
      <c r="L1359" s="37">
        <v>50.575351562000002</v>
      </c>
      <c r="M1359" s="37" t="s">
        <v>288</v>
      </c>
      <c r="N1359" s="37">
        <v>812.22926829268283</v>
      </c>
      <c r="O1359" s="130">
        <f t="shared" si="98"/>
        <v>41078.780792848454</v>
      </c>
      <c r="P1359" s="132">
        <f t="shared" si="99"/>
        <v>1114.7394119469441</v>
      </c>
      <c r="Q1359" s="261">
        <v>3.5527274775864662E-2</v>
      </c>
      <c r="R1359" s="92"/>
    </row>
    <row r="1360" spans="1:18" x14ac:dyDescent="0.25">
      <c r="A1360" s="353">
        <v>42629</v>
      </c>
      <c r="B1360" s="353" t="s">
        <v>285</v>
      </c>
      <c r="C1360" s="263" t="s">
        <v>700</v>
      </c>
      <c r="D1360" s="157" t="s">
        <v>701</v>
      </c>
      <c r="E1360" s="44">
        <f t="shared" si="100"/>
        <v>42629</v>
      </c>
      <c r="F1360" s="146" t="str">
        <f t="shared" si="101"/>
        <v>2016-17</v>
      </c>
      <c r="G1360" s="1"/>
      <c r="H1360" s="161"/>
      <c r="I1360" s="37"/>
      <c r="J1360" s="135">
        <f t="shared" si="97"/>
        <v>0.76382508261777382</v>
      </c>
      <c r="K1360" s="112"/>
      <c r="L1360" s="37">
        <v>26.429106484999998</v>
      </c>
      <c r="M1360" s="37" t="s">
        <v>288</v>
      </c>
      <c r="N1360" s="37">
        <v>3336.4019512195118</v>
      </c>
      <c r="O1360" s="130">
        <f t="shared" si="98"/>
        <v>88178.122445542249</v>
      </c>
      <c r="P1360" s="132">
        <f t="shared" si="99"/>
        <v>2392.8565177533706</v>
      </c>
      <c r="Q1360" s="261">
        <v>3.5527274775864662E-2</v>
      </c>
      <c r="R1360" s="92"/>
    </row>
    <row r="1361" spans="1:18" x14ac:dyDescent="0.25">
      <c r="A1361" s="353">
        <v>42629</v>
      </c>
      <c r="B1361" s="353" t="s">
        <v>285</v>
      </c>
      <c r="C1361" s="263" t="s">
        <v>700</v>
      </c>
      <c r="D1361" s="157" t="s">
        <v>701</v>
      </c>
      <c r="E1361" s="44">
        <f t="shared" si="100"/>
        <v>42629</v>
      </c>
      <c r="F1361" s="146" t="str">
        <f t="shared" si="101"/>
        <v>2016-17</v>
      </c>
      <c r="G1361" s="1"/>
      <c r="H1361" s="161"/>
      <c r="I1361" s="37"/>
      <c r="J1361" s="135">
        <f t="shared" si="97"/>
        <v>0.76382508261777382</v>
      </c>
      <c r="K1361" s="112"/>
      <c r="L1361" s="37">
        <v>25.622716243300001</v>
      </c>
      <c r="M1361" s="37" t="s">
        <v>288</v>
      </c>
      <c r="N1361" s="37">
        <v>812.22926829268283</v>
      </c>
      <c r="O1361" s="130">
        <f t="shared" si="98"/>
        <v>20811.520065966601</v>
      </c>
      <c r="P1361" s="132">
        <f t="shared" si="99"/>
        <v>564.7543863837484</v>
      </c>
      <c r="Q1361" s="261">
        <v>3.5527274775864662E-2</v>
      </c>
      <c r="R1361" s="92"/>
    </row>
    <row r="1362" spans="1:18" x14ac:dyDescent="0.25">
      <c r="A1362" s="353">
        <v>42629</v>
      </c>
      <c r="B1362" s="353" t="s">
        <v>285</v>
      </c>
      <c r="C1362" s="263" t="s">
        <v>700</v>
      </c>
      <c r="D1362" s="157" t="s">
        <v>701</v>
      </c>
      <c r="E1362" s="44">
        <f t="shared" si="100"/>
        <v>42629</v>
      </c>
      <c r="F1362" s="146" t="str">
        <f t="shared" si="101"/>
        <v>2016-17</v>
      </c>
      <c r="G1362" s="1"/>
      <c r="H1362" s="161"/>
      <c r="I1362" s="37"/>
      <c r="J1362" s="135">
        <f t="shared" si="97"/>
        <v>0.76382508261777382</v>
      </c>
      <c r="K1362" s="112"/>
      <c r="L1362" s="37">
        <v>20.816540605899998</v>
      </c>
      <c r="M1362" s="37" t="s">
        <v>288</v>
      </c>
      <c r="N1362" s="37">
        <v>3336.4019512195118</v>
      </c>
      <c r="O1362" s="130">
        <f t="shared" si="98"/>
        <v>69452.346695164961</v>
      </c>
      <c r="P1362" s="132">
        <f t="shared" si="99"/>
        <v>1884.7021897685438</v>
      </c>
      <c r="Q1362" s="261">
        <v>3.5527274775864662E-2</v>
      </c>
      <c r="R1362" s="92"/>
    </row>
    <row r="1363" spans="1:18" x14ac:dyDescent="0.25">
      <c r="A1363" s="353">
        <v>42629</v>
      </c>
      <c r="B1363" s="353" t="s">
        <v>285</v>
      </c>
      <c r="C1363" s="263" t="s">
        <v>700</v>
      </c>
      <c r="D1363" s="157" t="s">
        <v>701</v>
      </c>
      <c r="E1363" s="44">
        <f t="shared" si="100"/>
        <v>42629</v>
      </c>
      <c r="F1363" s="146" t="str">
        <f t="shared" si="101"/>
        <v>2016-17</v>
      </c>
      <c r="G1363" s="1"/>
      <c r="H1363" s="161"/>
      <c r="I1363" s="37"/>
      <c r="J1363" s="135">
        <f t="shared" si="97"/>
        <v>0.76382508261777382</v>
      </c>
      <c r="K1363" s="112"/>
      <c r="L1363" s="37">
        <v>27.074497765899999</v>
      </c>
      <c r="M1363" s="37" t="s">
        <v>288</v>
      </c>
      <c r="N1363" s="37">
        <v>812.22926829268283</v>
      </c>
      <c r="O1363" s="130">
        <f t="shared" si="98"/>
        <v>21990.699509788832</v>
      </c>
      <c r="P1363" s="132">
        <f t="shared" si="99"/>
        <v>596.75333509683105</v>
      </c>
      <c r="Q1363" s="261">
        <v>3.5527274775864662E-2</v>
      </c>
      <c r="R1363" s="92"/>
    </row>
    <row r="1364" spans="1:18" x14ac:dyDescent="0.25">
      <c r="A1364" s="353">
        <v>42629</v>
      </c>
      <c r="B1364" s="353" t="s">
        <v>285</v>
      </c>
      <c r="C1364" s="263" t="s">
        <v>700</v>
      </c>
      <c r="D1364" s="157" t="s">
        <v>701</v>
      </c>
      <c r="E1364" s="44">
        <f t="shared" si="100"/>
        <v>42629</v>
      </c>
      <c r="F1364" s="146" t="str">
        <f t="shared" si="101"/>
        <v>2016-17</v>
      </c>
      <c r="G1364" s="1"/>
      <c r="H1364" s="161"/>
      <c r="I1364" s="37"/>
      <c r="J1364" s="135">
        <f t="shared" si="97"/>
        <v>0.76382508261777382</v>
      </c>
      <c r="K1364" s="112"/>
      <c r="L1364" s="37">
        <v>68.026930118899998</v>
      </c>
      <c r="M1364" s="37" t="s">
        <v>288</v>
      </c>
      <c r="N1364" s="37">
        <v>812.22926829268283</v>
      </c>
      <c r="O1364" s="130">
        <f t="shared" si="98"/>
        <v>55253.463674671613</v>
      </c>
      <c r="P1364" s="132">
        <f t="shared" si="99"/>
        <v>1499.3924458307742</v>
      </c>
      <c r="Q1364" s="261">
        <v>3.5527274775864662E-2</v>
      </c>
      <c r="R1364" s="92"/>
    </row>
    <row r="1365" spans="1:18" x14ac:dyDescent="0.25">
      <c r="A1365" s="353">
        <v>42629</v>
      </c>
      <c r="B1365" s="353" t="s">
        <v>285</v>
      </c>
      <c r="C1365" s="263" t="s">
        <v>700</v>
      </c>
      <c r="D1365" s="157" t="s">
        <v>701</v>
      </c>
      <c r="E1365" s="44">
        <f t="shared" si="100"/>
        <v>42629</v>
      </c>
      <c r="F1365" s="146" t="str">
        <f t="shared" si="101"/>
        <v>2016-17</v>
      </c>
      <c r="G1365" s="1"/>
      <c r="H1365" s="161"/>
      <c r="I1365" s="37"/>
      <c r="J1365" s="135">
        <f t="shared" si="97"/>
        <v>0.76382508261777382</v>
      </c>
      <c r="K1365" s="112"/>
      <c r="L1365" s="37">
        <v>30.575358199</v>
      </c>
      <c r="M1365" s="37" t="s">
        <v>288</v>
      </c>
      <c r="N1365" s="37">
        <v>812.22926829268283</v>
      </c>
      <c r="O1365" s="130">
        <f t="shared" si="98"/>
        <v>24834.200817760451</v>
      </c>
      <c r="P1365" s="132">
        <f t="shared" si="99"/>
        <v>673.91635977137253</v>
      </c>
      <c r="Q1365" s="261">
        <v>3.5527274775864662E-2</v>
      </c>
      <c r="R1365" s="92"/>
    </row>
    <row r="1366" spans="1:18" x14ac:dyDescent="0.25">
      <c r="A1366" s="353">
        <v>42629</v>
      </c>
      <c r="B1366" s="353" t="s">
        <v>285</v>
      </c>
      <c r="C1366" s="263" t="s">
        <v>700</v>
      </c>
      <c r="D1366" s="157" t="s">
        <v>701</v>
      </c>
      <c r="E1366" s="44">
        <f t="shared" si="100"/>
        <v>42629</v>
      </c>
      <c r="F1366" s="146" t="str">
        <f t="shared" si="101"/>
        <v>2016-17</v>
      </c>
      <c r="G1366" s="1"/>
      <c r="H1366" s="161"/>
      <c r="I1366" s="37"/>
      <c r="J1366" s="135">
        <f t="shared" si="97"/>
        <v>0.76382508261777382</v>
      </c>
      <c r="K1366" s="112"/>
      <c r="L1366" s="37">
        <v>13.633438487799999</v>
      </c>
      <c r="M1366" s="37" t="s">
        <v>288</v>
      </c>
      <c r="N1366" s="37">
        <v>812.22926829268283</v>
      </c>
      <c r="O1366" s="130">
        <f t="shared" si="98"/>
        <v>11073.477767259094</v>
      </c>
      <c r="P1366" s="132">
        <f t="shared" si="99"/>
        <v>300.49679801185772</v>
      </c>
      <c r="Q1366" s="261">
        <v>3.5527274775864662E-2</v>
      </c>
      <c r="R1366" s="92"/>
    </row>
    <row r="1367" spans="1:18" x14ac:dyDescent="0.25">
      <c r="A1367" s="353">
        <v>42629</v>
      </c>
      <c r="B1367" s="353" t="s">
        <v>285</v>
      </c>
      <c r="C1367" s="263" t="s">
        <v>700</v>
      </c>
      <c r="D1367" s="157" t="s">
        <v>701</v>
      </c>
      <c r="E1367" s="44">
        <f t="shared" si="100"/>
        <v>42629</v>
      </c>
      <c r="F1367" s="146" t="str">
        <f t="shared" si="101"/>
        <v>2016-17</v>
      </c>
      <c r="G1367" s="1"/>
      <c r="H1367" s="161"/>
      <c r="I1367" s="37"/>
      <c r="J1367" s="135">
        <f t="shared" si="97"/>
        <v>0.76382508261777382</v>
      </c>
      <c r="K1367" s="112"/>
      <c r="L1367" s="37">
        <v>7.3530299877000003</v>
      </c>
      <c r="M1367" s="37" t="s">
        <v>288</v>
      </c>
      <c r="N1367" s="37">
        <v>812.22926829268283</v>
      </c>
      <c r="O1367" s="130">
        <f t="shared" si="98"/>
        <v>5972.3461666437261</v>
      </c>
      <c r="P1367" s="132">
        <f t="shared" si="99"/>
        <v>162.06930987852152</v>
      </c>
      <c r="Q1367" s="261">
        <v>3.5527274775864662E-2</v>
      </c>
      <c r="R1367" s="92"/>
    </row>
    <row r="1368" spans="1:18" x14ac:dyDescent="0.25">
      <c r="A1368" s="353">
        <v>42629</v>
      </c>
      <c r="B1368" s="353" t="s">
        <v>285</v>
      </c>
      <c r="C1368" s="263" t="s">
        <v>700</v>
      </c>
      <c r="D1368" s="157" t="s">
        <v>701</v>
      </c>
      <c r="E1368" s="44">
        <f t="shared" si="100"/>
        <v>42629</v>
      </c>
      <c r="F1368" s="146" t="str">
        <f t="shared" si="101"/>
        <v>2016-17</v>
      </c>
      <c r="G1368" s="1"/>
      <c r="H1368" s="161"/>
      <c r="I1368" s="37"/>
      <c r="J1368" s="135">
        <f t="shared" si="97"/>
        <v>0.76382508261777382</v>
      </c>
      <c r="K1368" s="112"/>
      <c r="L1368" s="37">
        <v>26.2279963111</v>
      </c>
      <c r="M1368" s="37" t="s">
        <v>288</v>
      </c>
      <c r="N1368" s="37">
        <v>812.22926829268283</v>
      </c>
      <c r="O1368" s="130">
        <f t="shared" si="98"/>
        <v>21303.146252547936</v>
      </c>
      <c r="P1368" s="132">
        <f t="shared" si="99"/>
        <v>578.09546115641558</v>
      </c>
      <c r="Q1368" s="261">
        <v>3.5527274775864662E-2</v>
      </c>
      <c r="R1368" s="92"/>
    </row>
    <row r="1369" spans="1:18" x14ac:dyDescent="0.25">
      <c r="A1369" s="353">
        <v>42629</v>
      </c>
      <c r="B1369" s="353" t="s">
        <v>285</v>
      </c>
      <c r="C1369" s="263" t="s">
        <v>700</v>
      </c>
      <c r="D1369" s="157" t="s">
        <v>701</v>
      </c>
      <c r="E1369" s="44">
        <f t="shared" si="100"/>
        <v>42629</v>
      </c>
      <c r="F1369" s="146" t="str">
        <f t="shared" si="101"/>
        <v>2016-17</v>
      </c>
      <c r="G1369" s="1"/>
      <c r="H1369" s="161"/>
      <c r="I1369" s="37"/>
      <c r="J1369" s="135">
        <f t="shared" si="97"/>
        <v>0.76382508261777382</v>
      </c>
      <c r="K1369" s="112"/>
      <c r="L1369" s="37">
        <v>39.396981239699997</v>
      </c>
      <c r="M1369" s="37" t="s">
        <v>288</v>
      </c>
      <c r="N1369" s="37">
        <v>812.22926829268283</v>
      </c>
      <c r="O1369" s="130">
        <f t="shared" si="98"/>
        <v>31999.38124526208</v>
      </c>
      <c r="P1369" s="132">
        <f t="shared" si="99"/>
        <v>868.35516399307573</v>
      </c>
      <c r="Q1369" s="261">
        <v>3.5527274775864662E-2</v>
      </c>
      <c r="R1369" s="92"/>
    </row>
    <row r="1370" spans="1:18" x14ac:dyDescent="0.25">
      <c r="A1370" s="353">
        <v>43785</v>
      </c>
      <c r="B1370" s="353" t="s">
        <v>285</v>
      </c>
      <c r="C1370" s="263" t="s">
        <v>702</v>
      </c>
      <c r="D1370" s="157" t="s">
        <v>703</v>
      </c>
      <c r="E1370" s="44">
        <f t="shared" si="100"/>
        <v>43785</v>
      </c>
      <c r="F1370" s="146" t="str">
        <f t="shared" si="101"/>
        <v>2019-20</v>
      </c>
      <c r="G1370" s="1"/>
      <c r="H1370" s="161"/>
      <c r="I1370" s="37"/>
      <c r="J1370" s="135">
        <f t="shared" ref="J1370:J1433" si="102">J1369</f>
        <v>0.76382508261777382</v>
      </c>
      <c r="K1370" s="112"/>
      <c r="L1370" s="37">
        <v>17.843345258100001</v>
      </c>
      <c r="M1370" s="37" t="s">
        <v>288</v>
      </c>
      <c r="N1370" s="37">
        <v>3592.3639024390236</v>
      </c>
      <c r="O1370" s="130">
        <f t="shared" ref="O1370:O1433" si="103">IF(N1370="","-",L1370*N1370)</f>
        <v>64099.789403954965</v>
      </c>
      <c r="P1370" s="132">
        <f t="shared" ref="P1370:P1433" si="104">IF(O1370="-","-",IF(OR(E1370&lt;$E$15,E1370&gt;$E$16),0,O1370*J1370))*Q1370</f>
        <v>1920.4537813639765</v>
      </c>
      <c r="Q1370" s="261">
        <v>3.9224131957546246E-2</v>
      </c>
      <c r="R1370" s="92"/>
    </row>
    <row r="1371" spans="1:18" x14ac:dyDescent="0.25">
      <c r="A1371" s="353">
        <v>43785</v>
      </c>
      <c r="B1371" s="353" t="s">
        <v>285</v>
      </c>
      <c r="C1371" s="263" t="s">
        <v>702</v>
      </c>
      <c r="D1371" s="157" t="s">
        <v>703</v>
      </c>
      <c r="E1371" s="44">
        <f t="shared" ref="E1371:E1434" si="105">IF(VALUE(A1371)&lt;2022,DATEVALUE("30 Jun "&amp;A1371),A1371)</f>
        <v>43785</v>
      </c>
      <c r="F1371" s="146" t="str">
        <f t="shared" si="101"/>
        <v>2019-20</v>
      </c>
      <c r="G1371" s="1"/>
      <c r="H1371" s="161"/>
      <c r="I1371" s="37"/>
      <c r="J1371" s="135">
        <f t="shared" si="102"/>
        <v>0.76382508261777382</v>
      </c>
      <c r="K1371" s="112"/>
      <c r="L1371" s="37">
        <v>40.398856311199999</v>
      </c>
      <c r="M1371" s="37" t="s">
        <v>288</v>
      </c>
      <c r="N1371" s="37">
        <v>950.87219512195099</v>
      </c>
      <c r="O1371" s="130">
        <f t="shared" si="103"/>
        <v>38414.149181047025</v>
      </c>
      <c r="P1371" s="132">
        <f t="shared" si="104"/>
        <v>1150.902346772295</v>
      </c>
      <c r="Q1371" s="261">
        <v>3.9224131957546246E-2</v>
      </c>
      <c r="R1371" s="92"/>
    </row>
    <row r="1372" spans="1:18" x14ac:dyDescent="0.25">
      <c r="A1372" s="353">
        <v>43785</v>
      </c>
      <c r="B1372" s="353" t="s">
        <v>285</v>
      </c>
      <c r="C1372" s="263" t="s">
        <v>702</v>
      </c>
      <c r="D1372" s="157" t="s">
        <v>703</v>
      </c>
      <c r="E1372" s="44">
        <f t="shared" si="105"/>
        <v>43785</v>
      </c>
      <c r="F1372" s="146" t="str">
        <f t="shared" si="101"/>
        <v>2019-20</v>
      </c>
      <c r="G1372" s="1"/>
      <c r="H1372" s="161"/>
      <c r="I1372" s="37"/>
      <c r="J1372" s="135">
        <f t="shared" si="102"/>
        <v>0.76382508261777382</v>
      </c>
      <c r="K1372" s="112"/>
      <c r="L1372" s="37">
        <v>8.8218026502499995</v>
      </c>
      <c r="M1372" s="37" t="s">
        <v>288</v>
      </c>
      <c r="N1372" s="37">
        <v>3592.3639024390236</v>
      </c>
      <c r="O1372" s="130">
        <f t="shared" si="103"/>
        <v>31691.125395199007</v>
      </c>
      <c r="P1372" s="132">
        <f t="shared" si="104"/>
        <v>949.47802741353041</v>
      </c>
      <c r="Q1372" s="261">
        <v>3.9224131957546246E-2</v>
      </c>
      <c r="R1372" s="92"/>
    </row>
    <row r="1373" spans="1:18" x14ac:dyDescent="0.25">
      <c r="A1373" s="353">
        <v>43785</v>
      </c>
      <c r="B1373" s="353" t="s">
        <v>285</v>
      </c>
      <c r="C1373" s="263" t="s">
        <v>702</v>
      </c>
      <c r="D1373" s="157" t="s">
        <v>703</v>
      </c>
      <c r="E1373" s="44">
        <f t="shared" si="105"/>
        <v>43785</v>
      </c>
      <c r="F1373" s="146" t="str">
        <f t="shared" si="101"/>
        <v>2019-20</v>
      </c>
      <c r="G1373" s="1"/>
      <c r="H1373" s="161"/>
      <c r="I1373" s="37"/>
      <c r="J1373" s="135">
        <f t="shared" si="102"/>
        <v>0.76382508261777382</v>
      </c>
      <c r="K1373" s="112"/>
      <c r="L1373" s="37">
        <v>6.0647415443700003</v>
      </c>
      <c r="M1373" s="37" t="s">
        <v>288</v>
      </c>
      <c r="N1373" s="37">
        <v>950.87219512195099</v>
      </c>
      <c r="O1373" s="130">
        <f t="shared" si="103"/>
        <v>5766.7941051423932</v>
      </c>
      <c r="P1373" s="132">
        <f t="shared" si="104"/>
        <v>172.77531874207494</v>
      </c>
      <c r="Q1373" s="261">
        <v>3.9224131957546246E-2</v>
      </c>
      <c r="R1373" s="92"/>
    </row>
    <row r="1374" spans="1:18" x14ac:dyDescent="0.25">
      <c r="A1374" s="353">
        <v>43785</v>
      </c>
      <c r="B1374" s="353" t="s">
        <v>285</v>
      </c>
      <c r="C1374" s="263" t="s">
        <v>702</v>
      </c>
      <c r="D1374" s="157" t="s">
        <v>703</v>
      </c>
      <c r="E1374" s="44">
        <f t="shared" si="105"/>
        <v>43785</v>
      </c>
      <c r="F1374" s="146" t="str">
        <f t="shared" si="101"/>
        <v>2019-20</v>
      </c>
      <c r="G1374" s="1"/>
      <c r="H1374" s="161"/>
      <c r="I1374" s="37"/>
      <c r="J1374" s="135">
        <f t="shared" si="102"/>
        <v>0.76382508261777382</v>
      </c>
      <c r="K1374" s="112"/>
      <c r="L1374" s="37">
        <v>41.942211984300002</v>
      </c>
      <c r="M1374" s="37" t="s">
        <v>288</v>
      </c>
      <c r="N1374" s="37">
        <v>950.87219512195099</v>
      </c>
      <c r="O1374" s="130">
        <f t="shared" si="103"/>
        <v>39881.683177781546</v>
      </c>
      <c r="P1374" s="132">
        <f t="shared" si="104"/>
        <v>1194.8702168622881</v>
      </c>
      <c r="Q1374" s="261">
        <v>3.9224131957546246E-2</v>
      </c>
      <c r="R1374" s="92"/>
    </row>
    <row r="1375" spans="1:18" x14ac:dyDescent="0.25">
      <c r="A1375" s="353">
        <v>43785</v>
      </c>
      <c r="B1375" s="353" t="s">
        <v>285</v>
      </c>
      <c r="C1375" s="263" t="s">
        <v>702</v>
      </c>
      <c r="D1375" s="157" t="s">
        <v>703</v>
      </c>
      <c r="E1375" s="44">
        <f t="shared" si="105"/>
        <v>43785</v>
      </c>
      <c r="F1375" s="146" t="str">
        <f t="shared" si="101"/>
        <v>2019-20</v>
      </c>
      <c r="G1375" s="1"/>
      <c r="H1375" s="161"/>
      <c r="I1375" s="37"/>
      <c r="J1375" s="135">
        <f t="shared" si="102"/>
        <v>0.76382508261777382</v>
      </c>
      <c r="K1375" s="112"/>
      <c r="L1375" s="37">
        <v>23.016411210299999</v>
      </c>
      <c r="M1375" s="37" t="s">
        <v>288</v>
      </c>
      <c r="N1375" s="37">
        <v>3592.3639024390236</v>
      </c>
      <c r="O1375" s="130">
        <f t="shared" si="103"/>
        <v>82683.32479557459</v>
      </c>
      <c r="P1375" s="132">
        <f t="shared" si="104"/>
        <v>2477.2234860043036</v>
      </c>
      <c r="Q1375" s="261">
        <v>3.9224131957546246E-2</v>
      </c>
      <c r="R1375" s="92"/>
    </row>
    <row r="1376" spans="1:18" x14ac:dyDescent="0.25">
      <c r="A1376" s="353">
        <v>43785</v>
      </c>
      <c r="B1376" s="353" t="s">
        <v>285</v>
      </c>
      <c r="C1376" s="263" t="s">
        <v>702</v>
      </c>
      <c r="D1376" s="157" t="s">
        <v>703</v>
      </c>
      <c r="E1376" s="44">
        <f t="shared" si="105"/>
        <v>43785</v>
      </c>
      <c r="F1376" s="146" t="str">
        <f t="shared" si="101"/>
        <v>2019-20</v>
      </c>
      <c r="G1376" s="1"/>
      <c r="H1376" s="161"/>
      <c r="I1376" s="37"/>
      <c r="J1376" s="135">
        <f t="shared" si="102"/>
        <v>0.76382508261777382</v>
      </c>
      <c r="K1376" s="112"/>
      <c r="L1376" s="37">
        <v>6.1122212001899996</v>
      </c>
      <c r="M1376" s="37" t="s">
        <v>288</v>
      </c>
      <c r="N1376" s="37">
        <v>950.87219512195099</v>
      </c>
      <c r="O1376" s="130">
        <f t="shared" si="103"/>
        <v>5811.9411896955908</v>
      </c>
      <c r="P1376" s="132">
        <f t="shared" si="104"/>
        <v>174.12794236305675</v>
      </c>
      <c r="Q1376" s="261">
        <v>3.9224131957546246E-2</v>
      </c>
      <c r="R1376" s="92"/>
    </row>
    <row r="1377" spans="1:18" x14ac:dyDescent="0.25">
      <c r="A1377" s="353">
        <v>43785</v>
      </c>
      <c r="B1377" s="353" t="s">
        <v>285</v>
      </c>
      <c r="C1377" s="263" t="s">
        <v>702</v>
      </c>
      <c r="D1377" s="157" t="s">
        <v>703</v>
      </c>
      <c r="E1377" s="44">
        <f t="shared" si="105"/>
        <v>43785</v>
      </c>
      <c r="F1377" s="146" t="str">
        <f t="shared" si="101"/>
        <v>2019-20</v>
      </c>
      <c r="G1377" s="1"/>
      <c r="H1377" s="161"/>
      <c r="I1377" s="37"/>
      <c r="J1377" s="135">
        <f t="shared" si="102"/>
        <v>0.76382508261777382</v>
      </c>
      <c r="K1377" s="112"/>
      <c r="L1377" s="37">
        <v>53.979272631400001</v>
      </c>
      <c r="M1377" s="37" t="s">
        <v>288</v>
      </c>
      <c r="N1377" s="37">
        <v>3336.4019512195118</v>
      </c>
      <c r="O1377" s="130">
        <f t="shared" si="103"/>
        <v>180096.55053281295</v>
      </c>
      <c r="P1377" s="132">
        <f t="shared" si="104"/>
        <v>5395.7603402049399</v>
      </c>
      <c r="Q1377" s="261">
        <v>3.9224131957546246E-2</v>
      </c>
      <c r="R1377" s="92"/>
    </row>
    <row r="1378" spans="1:18" x14ac:dyDescent="0.25">
      <c r="A1378" s="353">
        <v>43785</v>
      </c>
      <c r="B1378" s="353" t="s">
        <v>285</v>
      </c>
      <c r="C1378" s="263" t="s">
        <v>702</v>
      </c>
      <c r="D1378" s="157" t="s">
        <v>703</v>
      </c>
      <c r="E1378" s="44">
        <f t="shared" si="105"/>
        <v>43785</v>
      </c>
      <c r="F1378" s="146" t="str">
        <f t="shared" si="101"/>
        <v>2019-20</v>
      </c>
      <c r="G1378" s="1"/>
      <c r="H1378" s="161"/>
      <c r="I1378" s="37"/>
      <c r="J1378" s="135">
        <f t="shared" si="102"/>
        <v>0.76382508261777382</v>
      </c>
      <c r="K1378" s="112"/>
      <c r="L1378" s="37">
        <v>6.4409565283400001</v>
      </c>
      <c r="M1378" s="37" t="s">
        <v>288</v>
      </c>
      <c r="N1378" s="37">
        <v>950.87219512195099</v>
      </c>
      <c r="O1378" s="130">
        <f t="shared" si="103"/>
        <v>6124.5264727877166</v>
      </c>
      <c r="P1378" s="132">
        <f t="shared" si="104"/>
        <v>183.49311492438753</v>
      </c>
      <c r="Q1378" s="261">
        <v>3.9224131957546246E-2</v>
      </c>
      <c r="R1378" s="92"/>
    </row>
    <row r="1379" spans="1:18" x14ac:dyDescent="0.25">
      <c r="A1379" s="353">
        <v>43785</v>
      </c>
      <c r="B1379" s="353" t="s">
        <v>285</v>
      </c>
      <c r="C1379" s="263" t="s">
        <v>702</v>
      </c>
      <c r="D1379" s="157" t="s">
        <v>703</v>
      </c>
      <c r="E1379" s="44">
        <f t="shared" si="105"/>
        <v>43785</v>
      </c>
      <c r="F1379" s="146" t="str">
        <f t="shared" si="101"/>
        <v>2019-20</v>
      </c>
      <c r="G1379" s="1"/>
      <c r="H1379" s="161"/>
      <c r="I1379" s="37"/>
      <c r="J1379" s="135">
        <f t="shared" si="102"/>
        <v>0.76382508261777382</v>
      </c>
      <c r="K1379" s="112"/>
      <c r="L1379" s="37">
        <v>78.785635816300001</v>
      </c>
      <c r="M1379" s="37" t="s">
        <v>288</v>
      </c>
      <c r="N1379" s="37">
        <v>812.22926829268283</v>
      </c>
      <c r="O1379" s="130">
        <f t="shared" si="103"/>
        <v>63991.999331047133</v>
      </c>
      <c r="P1379" s="132">
        <f t="shared" si="104"/>
        <v>1917.2243502685824</v>
      </c>
      <c r="Q1379" s="261">
        <v>3.9224131957546246E-2</v>
      </c>
      <c r="R1379" s="92"/>
    </row>
    <row r="1380" spans="1:18" x14ac:dyDescent="0.25">
      <c r="A1380" s="353">
        <v>43785</v>
      </c>
      <c r="B1380" s="353" t="s">
        <v>285</v>
      </c>
      <c r="C1380" s="263" t="s">
        <v>702</v>
      </c>
      <c r="D1380" s="157" t="s">
        <v>703</v>
      </c>
      <c r="E1380" s="44">
        <f t="shared" si="105"/>
        <v>43785</v>
      </c>
      <c r="F1380" s="146" t="str">
        <f t="shared" si="101"/>
        <v>2019-20</v>
      </c>
      <c r="G1380" s="1"/>
      <c r="H1380" s="161"/>
      <c r="I1380" s="37"/>
      <c r="J1380" s="135">
        <f t="shared" si="102"/>
        <v>0.76382508261777382</v>
      </c>
      <c r="K1380" s="112"/>
      <c r="L1380" s="37">
        <v>54.150090748899999</v>
      </c>
      <c r="M1380" s="37" t="s">
        <v>288</v>
      </c>
      <c r="N1380" s="37">
        <v>3336.4019512195118</v>
      </c>
      <c r="O1380" s="130">
        <f t="shared" si="103"/>
        <v>180666.4684333436</v>
      </c>
      <c r="P1380" s="132">
        <f t="shared" si="104"/>
        <v>5412.8352946988407</v>
      </c>
      <c r="Q1380" s="261">
        <v>3.9224131957546246E-2</v>
      </c>
      <c r="R1380" s="92"/>
    </row>
    <row r="1381" spans="1:18" x14ac:dyDescent="0.25">
      <c r="A1381" s="353">
        <v>43785</v>
      </c>
      <c r="B1381" s="353" t="s">
        <v>285</v>
      </c>
      <c r="C1381" s="263" t="s">
        <v>702</v>
      </c>
      <c r="D1381" s="157" t="s">
        <v>703</v>
      </c>
      <c r="E1381" s="44">
        <f t="shared" si="105"/>
        <v>43785</v>
      </c>
      <c r="F1381" s="146" t="str">
        <f t="shared" si="101"/>
        <v>2019-20</v>
      </c>
      <c r="G1381" s="1"/>
      <c r="H1381" s="161"/>
      <c r="I1381" s="37"/>
      <c r="J1381" s="135">
        <f t="shared" si="102"/>
        <v>0.76382508261777382</v>
      </c>
      <c r="K1381" s="112"/>
      <c r="L1381" s="37">
        <v>17.865223984</v>
      </c>
      <c r="M1381" s="37" t="s">
        <v>288</v>
      </c>
      <c r="N1381" s="37">
        <v>3592.3639024390236</v>
      </c>
      <c r="O1381" s="130">
        <f t="shared" si="103"/>
        <v>64178.385749109482</v>
      </c>
      <c r="P1381" s="132">
        <f t="shared" si="104"/>
        <v>1922.8085574039126</v>
      </c>
      <c r="Q1381" s="261">
        <v>3.9224131957546246E-2</v>
      </c>
      <c r="R1381" s="92"/>
    </row>
    <row r="1382" spans="1:18" x14ac:dyDescent="0.25">
      <c r="A1382" s="353">
        <v>43785</v>
      </c>
      <c r="B1382" s="353" t="s">
        <v>285</v>
      </c>
      <c r="C1382" s="263" t="s">
        <v>702</v>
      </c>
      <c r="D1382" s="157" t="s">
        <v>703</v>
      </c>
      <c r="E1382" s="44">
        <f t="shared" si="105"/>
        <v>43785</v>
      </c>
      <c r="F1382" s="146" t="str">
        <f t="shared" si="101"/>
        <v>2019-20</v>
      </c>
      <c r="G1382" s="1"/>
      <c r="H1382" s="161"/>
      <c r="I1382" s="37"/>
      <c r="J1382" s="135">
        <f t="shared" si="102"/>
        <v>0.76382508261777382</v>
      </c>
      <c r="K1382" s="112"/>
      <c r="L1382" s="37">
        <v>6.3970225886699996</v>
      </c>
      <c r="M1382" s="37" t="s">
        <v>288</v>
      </c>
      <c r="N1382" s="37">
        <v>812.22926829268283</v>
      </c>
      <c r="O1382" s="130">
        <f t="shared" si="103"/>
        <v>5195.8489764471979</v>
      </c>
      <c r="P1382" s="132">
        <f t="shared" si="104"/>
        <v>155.66958810629885</v>
      </c>
      <c r="Q1382" s="261">
        <v>3.9224131957546246E-2</v>
      </c>
      <c r="R1382" s="92"/>
    </row>
    <row r="1383" spans="1:18" x14ac:dyDescent="0.25">
      <c r="A1383" s="353">
        <v>43785</v>
      </c>
      <c r="B1383" s="353" t="s">
        <v>285</v>
      </c>
      <c r="C1383" s="263" t="s">
        <v>702</v>
      </c>
      <c r="D1383" s="157" t="s">
        <v>703</v>
      </c>
      <c r="E1383" s="44">
        <f t="shared" si="105"/>
        <v>43785</v>
      </c>
      <c r="F1383" s="146" t="str">
        <f t="shared" si="101"/>
        <v>2019-20</v>
      </c>
      <c r="G1383" s="1"/>
      <c r="H1383" s="161"/>
      <c r="I1383" s="37"/>
      <c r="J1383" s="135">
        <f t="shared" si="102"/>
        <v>0.76382508261777382</v>
      </c>
      <c r="K1383" s="112"/>
      <c r="L1383" s="37">
        <v>28.1692401462</v>
      </c>
      <c r="M1383" s="37" t="s">
        <v>288</v>
      </c>
      <c r="N1383" s="37">
        <v>812.22926829268283</v>
      </c>
      <c r="O1383" s="130">
        <f t="shared" si="103"/>
        <v>22879.881312308891</v>
      </c>
      <c r="P1383" s="132">
        <f t="shared" si="104"/>
        <v>685.48984313311189</v>
      </c>
      <c r="Q1383" s="261">
        <v>3.9224131957546246E-2</v>
      </c>
      <c r="R1383" s="92"/>
    </row>
    <row r="1384" spans="1:18" x14ac:dyDescent="0.25">
      <c r="A1384" s="353">
        <v>43785</v>
      </c>
      <c r="B1384" s="353" t="s">
        <v>285</v>
      </c>
      <c r="C1384" s="263" t="s">
        <v>702</v>
      </c>
      <c r="D1384" s="157" t="s">
        <v>703</v>
      </c>
      <c r="E1384" s="44">
        <f t="shared" si="105"/>
        <v>43785</v>
      </c>
      <c r="F1384" s="146" t="str">
        <f t="shared" si="101"/>
        <v>2019-20</v>
      </c>
      <c r="G1384" s="1"/>
      <c r="H1384" s="161"/>
      <c r="I1384" s="37"/>
      <c r="J1384" s="135">
        <f t="shared" si="102"/>
        <v>0.76382508261777382</v>
      </c>
      <c r="K1384" s="112"/>
      <c r="L1384" s="37">
        <v>18.169507234299999</v>
      </c>
      <c r="M1384" s="37" t="s">
        <v>288</v>
      </c>
      <c r="N1384" s="37">
        <v>812.22926829268283</v>
      </c>
      <c r="O1384" s="130">
        <f t="shared" si="103"/>
        <v>14757.805566154097</v>
      </c>
      <c r="P1384" s="132">
        <f t="shared" si="104"/>
        <v>442.14940123354427</v>
      </c>
      <c r="Q1384" s="261">
        <v>3.9224131957546246E-2</v>
      </c>
      <c r="R1384" s="92"/>
    </row>
    <row r="1385" spans="1:18" x14ac:dyDescent="0.25">
      <c r="A1385" s="353">
        <v>43785</v>
      </c>
      <c r="B1385" s="353" t="s">
        <v>285</v>
      </c>
      <c r="C1385" s="263" t="s">
        <v>702</v>
      </c>
      <c r="D1385" s="157" t="s">
        <v>703</v>
      </c>
      <c r="E1385" s="44">
        <f t="shared" si="105"/>
        <v>43785</v>
      </c>
      <c r="F1385" s="146" t="str">
        <f t="shared" si="101"/>
        <v>2019-20</v>
      </c>
      <c r="G1385" s="1"/>
      <c r="H1385" s="161"/>
      <c r="I1385" s="37"/>
      <c r="J1385" s="135">
        <f t="shared" si="102"/>
        <v>0.76382508261777382</v>
      </c>
      <c r="K1385" s="112"/>
      <c r="L1385" s="37">
        <v>43.808383950699998</v>
      </c>
      <c r="M1385" s="37" t="s">
        <v>288</v>
      </c>
      <c r="N1385" s="37">
        <v>812.22926829268283</v>
      </c>
      <c r="O1385" s="130">
        <f t="shared" si="103"/>
        <v>35582.451641361971</v>
      </c>
      <c r="P1385" s="132">
        <f t="shared" si="104"/>
        <v>1066.0636242377136</v>
      </c>
      <c r="Q1385" s="261">
        <v>3.9224131957546246E-2</v>
      </c>
      <c r="R1385" s="92"/>
    </row>
    <row r="1386" spans="1:18" x14ac:dyDescent="0.25">
      <c r="A1386" s="353">
        <v>43785</v>
      </c>
      <c r="B1386" s="353" t="s">
        <v>285</v>
      </c>
      <c r="C1386" s="263" t="s">
        <v>702</v>
      </c>
      <c r="D1386" s="157" t="s">
        <v>703</v>
      </c>
      <c r="E1386" s="44">
        <f t="shared" si="105"/>
        <v>43785</v>
      </c>
      <c r="F1386" s="146" t="str">
        <f t="shared" si="101"/>
        <v>2019-20</v>
      </c>
      <c r="G1386" s="1"/>
      <c r="H1386" s="161"/>
      <c r="I1386" s="37"/>
      <c r="J1386" s="135">
        <f t="shared" si="102"/>
        <v>0.76382508261777382</v>
      </c>
      <c r="K1386" s="112"/>
      <c r="L1386" s="37">
        <v>24.9668675048</v>
      </c>
      <c r="M1386" s="37" t="s">
        <v>288</v>
      </c>
      <c r="N1386" s="37">
        <v>3592.3639024390236</v>
      </c>
      <c r="O1386" s="130">
        <f t="shared" si="103"/>
        <v>89690.073581221368</v>
      </c>
      <c r="P1386" s="132">
        <f t="shared" si="104"/>
        <v>2687.1483129902808</v>
      </c>
      <c r="Q1386" s="261">
        <v>3.9224131957546246E-2</v>
      </c>
      <c r="R1386" s="92"/>
    </row>
    <row r="1387" spans="1:18" x14ac:dyDescent="0.25">
      <c r="A1387" s="353">
        <v>43785</v>
      </c>
      <c r="B1387" s="353" t="s">
        <v>285</v>
      </c>
      <c r="C1387" s="263" t="s">
        <v>702</v>
      </c>
      <c r="D1387" s="157" t="s">
        <v>703</v>
      </c>
      <c r="E1387" s="44">
        <f t="shared" si="105"/>
        <v>43785</v>
      </c>
      <c r="F1387" s="146" t="str">
        <f t="shared" si="101"/>
        <v>2019-20</v>
      </c>
      <c r="G1387" s="1"/>
      <c r="H1387" s="161"/>
      <c r="I1387" s="37"/>
      <c r="J1387" s="135">
        <f t="shared" si="102"/>
        <v>0.76382508261777382</v>
      </c>
      <c r="K1387" s="112"/>
      <c r="L1387" s="37">
        <v>56.243882967899999</v>
      </c>
      <c r="M1387" s="37" t="s">
        <v>288</v>
      </c>
      <c r="N1387" s="37">
        <v>3336.4019512195118</v>
      </c>
      <c r="O1387" s="130">
        <f t="shared" si="103"/>
        <v>187652.20087826342</v>
      </c>
      <c r="P1387" s="132">
        <f t="shared" si="104"/>
        <v>5622.1304642180012</v>
      </c>
      <c r="Q1387" s="261">
        <v>3.9224131957546246E-2</v>
      </c>
      <c r="R1387" s="92"/>
    </row>
    <row r="1388" spans="1:18" x14ac:dyDescent="0.25">
      <c r="A1388" s="353">
        <v>43785</v>
      </c>
      <c r="B1388" s="353" t="s">
        <v>285</v>
      </c>
      <c r="C1388" s="263" t="s">
        <v>702</v>
      </c>
      <c r="D1388" s="157" t="s">
        <v>703</v>
      </c>
      <c r="E1388" s="44">
        <f t="shared" si="105"/>
        <v>43785</v>
      </c>
      <c r="F1388" s="146" t="str">
        <f t="shared" si="101"/>
        <v>2019-20</v>
      </c>
      <c r="G1388" s="1"/>
      <c r="H1388" s="161"/>
      <c r="I1388" s="37"/>
      <c r="J1388" s="135">
        <f t="shared" si="102"/>
        <v>0.76382508261777382</v>
      </c>
      <c r="K1388" s="112"/>
      <c r="L1388" s="37">
        <v>58.502337830199998</v>
      </c>
      <c r="M1388" s="37" t="s">
        <v>288</v>
      </c>
      <c r="N1388" s="37">
        <v>3336.4019512195118</v>
      </c>
      <c r="O1388" s="130">
        <f t="shared" si="103"/>
        <v>195187.31408758234</v>
      </c>
      <c r="P1388" s="132">
        <f t="shared" si="104"/>
        <v>5847.8852879140268</v>
      </c>
      <c r="Q1388" s="261">
        <v>3.9224131957546246E-2</v>
      </c>
      <c r="R1388" s="92"/>
    </row>
    <row r="1389" spans="1:18" x14ac:dyDescent="0.25">
      <c r="A1389" s="353">
        <v>43785</v>
      </c>
      <c r="B1389" s="353" t="s">
        <v>285</v>
      </c>
      <c r="C1389" s="263" t="s">
        <v>702</v>
      </c>
      <c r="D1389" s="157" t="s">
        <v>703</v>
      </c>
      <c r="E1389" s="44">
        <f t="shared" si="105"/>
        <v>43785</v>
      </c>
      <c r="F1389" s="146" t="str">
        <f t="shared" si="101"/>
        <v>2019-20</v>
      </c>
      <c r="G1389" s="1"/>
      <c r="H1389" s="161"/>
      <c r="I1389" s="37"/>
      <c r="J1389" s="135">
        <f t="shared" si="102"/>
        <v>0.76382508261777382</v>
      </c>
      <c r="K1389" s="112"/>
      <c r="L1389" s="37">
        <v>19.327552276500001</v>
      </c>
      <c r="M1389" s="37" t="s">
        <v>288</v>
      </c>
      <c r="N1389" s="37">
        <v>812.22926829268283</v>
      </c>
      <c r="O1389" s="130">
        <f t="shared" si="103"/>
        <v>15698.403643430172</v>
      </c>
      <c r="P1389" s="132">
        <f t="shared" si="104"/>
        <v>470.33007313661096</v>
      </c>
      <c r="Q1389" s="261">
        <v>3.9224131957546246E-2</v>
      </c>
      <c r="R1389" s="92"/>
    </row>
    <row r="1390" spans="1:18" x14ac:dyDescent="0.25">
      <c r="A1390" s="353">
        <v>43785</v>
      </c>
      <c r="B1390" s="353" t="s">
        <v>285</v>
      </c>
      <c r="C1390" s="263" t="s">
        <v>702</v>
      </c>
      <c r="D1390" s="157" t="s">
        <v>703</v>
      </c>
      <c r="E1390" s="44">
        <f t="shared" si="105"/>
        <v>43785</v>
      </c>
      <c r="F1390" s="146" t="str">
        <f t="shared" si="101"/>
        <v>2019-20</v>
      </c>
      <c r="G1390" s="1"/>
      <c r="H1390" s="161"/>
      <c r="I1390" s="37"/>
      <c r="J1390" s="135">
        <f t="shared" si="102"/>
        <v>0.76382508261777382</v>
      </c>
      <c r="K1390" s="112"/>
      <c r="L1390" s="37">
        <v>12.8691822973</v>
      </c>
      <c r="M1390" s="37" t="s">
        <v>288</v>
      </c>
      <c r="N1390" s="37">
        <v>3336.4019512195118</v>
      </c>
      <c r="O1390" s="130">
        <f t="shared" si="103"/>
        <v>42936.76492731132</v>
      </c>
      <c r="P1390" s="132">
        <f t="shared" si="104"/>
        <v>1286.4016142789933</v>
      </c>
      <c r="Q1390" s="261">
        <v>3.9224131957546246E-2</v>
      </c>
      <c r="R1390" s="92"/>
    </row>
    <row r="1391" spans="1:18" x14ac:dyDescent="0.25">
      <c r="A1391" s="353">
        <v>43785</v>
      </c>
      <c r="B1391" s="353" t="s">
        <v>285</v>
      </c>
      <c r="C1391" s="263" t="s">
        <v>702</v>
      </c>
      <c r="D1391" s="157" t="s">
        <v>703</v>
      </c>
      <c r="E1391" s="44">
        <f t="shared" si="105"/>
        <v>43785</v>
      </c>
      <c r="F1391" s="146" t="str">
        <f t="shared" si="101"/>
        <v>2019-20</v>
      </c>
      <c r="G1391" s="1"/>
      <c r="H1391" s="161"/>
      <c r="I1391" s="37"/>
      <c r="J1391" s="135">
        <f t="shared" si="102"/>
        <v>0.76382508261777382</v>
      </c>
      <c r="K1391" s="112"/>
      <c r="L1391" s="37">
        <v>17.8197600606</v>
      </c>
      <c r="M1391" s="37" t="s">
        <v>288</v>
      </c>
      <c r="N1391" s="37">
        <v>3336.4019512195118</v>
      </c>
      <c r="O1391" s="130">
        <f t="shared" si="103"/>
        <v>59453.882236449368</v>
      </c>
      <c r="P1391" s="132">
        <f t="shared" si="104"/>
        <v>1781.2606565398937</v>
      </c>
      <c r="Q1391" s="261">
        <v>3.9224131957546246E-2</v>
      </c>
      <c r="R1391" s="92"/>
    </row>
    <row r="1392" spans="1:18" x14ac:dyDescent="0.25">
      <c r="A1392" s="353">
        <v>43785</v>
      </c>
      <c r="B1392" s="353" t="s">
        <v>285</v>
      </c>
      <c r="C1392" s="263" t="s">
        <v>702</v>
      </c>
      <c r="D1392" s="157" t="s">
        <v>703</v>
      </c>
      <c r="E1392" s="44">
        <f t="shared" si="105"/>
        <v>43785</v>
      </c>
      <c r="F1392" s="146" t="str">
        <f t="shared" si="101"/>
        <v>2019-20</v>
      </c>
      <c r="G1392" s="1"/>
      <c r="H1392" s="161"/>
      <c r="I1392" s="37"/>
      <c r="J1392" s="135">
        <f t="shared" si="102"/>
        <v>0.76382508261777382</v>
      </c>
      <c r="K1392" s="112"/>
      <c r="L1392" s="37">
        <v>6.1959426240099997</v>
      </c>
      <c r="M1392" s="37" t="s">
        <v>288</v>
      </c>
      <c r="N1392" s="37">
        <v>812.22926829268283</v>
      </c>
      <c r="O1392" s="130">
        <f t="shared" si="103"/>
        <v>5032.5259438830872</v>
      </c>
      <c r="P1392" s="132">
        <f t="shared" si="104"/>
        <v>150.77636866847919</v>
      </c>
      <c r="Q1392" s="261">
        <v>3.9224131957546246E-2</v>
      </c>
      <c r="R1392" s="92"/>
    </row>
    <row r="1393" spans="1:18" x14ac:dyDescent="0.25">
      <c r="A1393" s="353">
        <v>43785</v>
      </c>
      <c r="B1393" s="353" t="s">
        <v>285</v>
      </c>
      <c r="C1393" s="263" t="s">
        <v>702</v>
      </c>
      <c r="D1393" s="157" t="s">
        <v>703</v>
      </c>
      <c r="E1393" s="44">
        <f t="shared" si="105"/>
        <v>43785</v>
      </c>
      <c r="F1393" s="146" t="str">
        <f t="shared" si="101"/>
        <v>2019-20</v>
      </c>
      <c r="G1393" s="1"/>
      <c r="H1393" s="161"/>
      <c r="I1393" s="37"/>
      <c r="J1393" s="135">
        <f t="shared" si="102"/>
        <v>0.76382508261777382</v>
      </c>
      <c r="K1393" s="112"/>
      <c r="L1393" s="37">
        <v>6.5860367445100003</v>
      </c>
      <c r="M1393" s="37" t="s">
        <v>288</v>
      </c>
      <c r="N1393" s="37">
        <v>812.22926829268283</v>
      </c>
      <c r="O1393" s="130">
        <f t="shared" si="103"/>
        <v>5349.3718059420808</v>
      </c>
      <c r="P1393" s="132">
        <f t="shared" si="104"/>
        <v>160.26918977692389</v>
      </c>
      <c r="Q1393" s="261">
        <v>3.9224131957546246E-2</v>
      </c>
      <c r="R1393" s="92"/>
    </row>
    <row r="1394" spans="1:18" x14ac:dyDescent="0.25">
      <c r="A1394" s="353">
        <v>43785</v>
      </c>
      <c r="B1394" s="353" t="s">
        <v>285</v>
      </c>
      <c r="C1394" s="263" t="s">
        <v>702</v>
      </c>
      <c r="D1394" s="157" t="s">
        <v>703</v>
      </c>
      <c r="E1394" s="44">
        <f t="shared" si="105"/>
        <v>43785</v>
      </c>
      <c r="F1394" s="146" t="str">
        <f t="shared" si="101"/>
        <v>2019-20</v>
      </c>
      <c r="G1394" s="1"/>
      <c r="H1394" s="161"/>
      <c r="I1394" s="37"/>
      <c r="J1394" s="135">
        <f t="shared" si="102"/>
        <v>0.76382508261777382</v>
      </c>
      <c r="K1394" s="112"/>
      <c r="L1394" s="37">
        <v>66.820198961000003</v>
      </c>
      <c r="M1394" s="37" t="s">
        <v>288</v>
      </c>
      <c r="N1394" s="37">
        <v>3336.4019512195118</v>
      </c>
      <c r="O1394" s="130">
        <f t="shared" si="103"/>
        <v>222939.04219435641</v>
      </c>
      <c r="P1394" s="132">
        <f t="shared" si="104"/>
        <v>6679.3374920105171</v>
      </c>
      <c r="Q1394" s="261">
        <v>3.9224131957546246E-2</v>
      </c>
      <c r="R1394" s="92"/>
    </row>
    <row r="1395" spans="1:18" x14ac:dyDescent="0.25">
      <c r="A1395" s="353">
        <v>43785</v>
      </c>
      <c r="B1395" s="353" t="s">
        <v>285</v>
      </c>
      <c r="C1395" s="263" t="s">
        <v>702</v>
      </c>
      <c r="D1395" s="157" t="s">
        <v>703</v>
      </c>
      <c r="E1395" s="44">
        <f t="shared" si="105"/>
        <v>43785</v>
      </c>
      <c r="F1395" s="146" t="str">
        <f t="shared" si="101"/>
        <v>2019-20</v>
      </c>
      <c r="G1395" s="1"/>
      <c r="H1395" s="161"/>
      <c r="I1395" s="37"/>
      <c r="J1395" s="135">
        <f t="shared" si="102"/>
        <v>0.76382508261777382</v>
      </c>
      <c r="K1395" s="112"/>
      <c r="L1395" s="37">
        <v>27.096952696300001</v>
      </c>
      <c r="M1395" s="37" t="s">
        <v>288</v>
      </c>
      <c r="N1395" s="37">
        <v>3336.4019512195118</v>
      </c>
      <c r="O1395" s="130">
        <f t="shared" si="103"/>
        <v>90406.325848038134</v>
      </c>
      <c r="P1395" s="132">
        <f t="shared" si="104"/>
        <v>2708.6075000954093</v>
      </c>
      <c r="Q1395" s="261">
        <v>3.9224131957546246E-2</v>
      </c>
      <c r="R1395" s="92"/>
    </row>
    <row r="1396" spans="1:18" x14ac:dyDescent="0.25">
      <c r="A1396" s="353">
        <v>43785</v>
      </c>
      <c r="B1396" s="353" t="s">
        <v>285</v>
      </c>
      <c r="C1396" s="263" t="s">
        <v>702</v>
      </c>
      <c r="D1396" s="157" t="s">
        <v>703</v>
      </c>
      <c r="E1396" s="44">
        <f t="shared" si="105"/>
        <v>43785</v>
      </c>
      <c r="F1396" s="146" t="str">
        <f t="shared" si="101"/>
        <v>2019-20</v>
      </c>
      <c r="G1396" s="1"/>
      <c r="H1396" s="161"/>
      <c r="I1396" s="37"/>
      <c r="J1396" s="135">
        <f t="shared" si="102"/>
        <v>0.76382508261777382</v>
      </c>
      <c r="K1396" s="112"/>
      <c r="L1396" s="37">
        <v>42.087284084799997</v>
      </c>
      <c r="M1396" s="37" t="s">
        <v>288</v>
      </c>
      <c r="N1396" s="37">
        <v>812.22926829268283</v>
      </c>
      <c r="O1396" s="130">
        <f t="shared" si="103"/>
        <v>34184.523956623379</v>
      </c>
      <c r="P1396" s="132">
        <f t="shared" si="104"/>
        <v>1024.1811854154737</v>
      </c>
      <c r="Q1396" s="261">
        <v>3.9224131957546246E-2</v>
      </c>
      <c r="R1396" s="92"/>
    </row>
    <row r="1397" spans="1:18" x14ac:dyDescent="0.25">
      <c r="A1397" s="353">
        <v>43785</v>
      </c>
      <c r="B1397" s="353" t="s">
        <v>285</v>
      </c>
      <c r="C1397" s="263" t="s">
        <v>702</v>
      </c>
      <c r="D1397" s="157" t="s">
        <v>703</v>
      </c>
      <c r="E1397" s="44">
        <f t="shared" si="105"/>
        <v>43785</v>
      </c>
      <c r="F1397" s="146" t="str">
        <f t="shared" si="101"/>
        <v>2019-20</v>
      </c>
      <c r="G1397" s="1"/>
      <c r="H1397" s="161"/>
      <c r="I1397" s="37"/>
      <c r="J1397" s="135">
        <f t="shared" si="102"/>
        <v>0.76382508261777382</v>
      </c>
      <c r="K1397" s="112"/>
      <c r="L1397" s="37">
        <v>20.5619778475</v>
      </c>
      <c r="M1397" s="37" t="s">
        <v>288</v>
      </c>
      <c r="N1397" s="37">
        <v>812.22926829268283</v>
      </c>
      <c r="O1397" s="130">
        <f t="shared" si="103"/>
        <v>16701.040221725278</v>
      </c>
      <c r="P1397" s="132">
        <f t="shared" si="104"/>
        <v>500.36944184632887</v>
      </c>
      <c r="Q1397" s="261">
        <v>3.9224131957546246E-2</v>
      </c>
      <c r="R1397" s="92"/>
    </row>
    <row r="1398" spans="1:18" x14ac:dyDescent="0.25">
      <c r="A1398" s="353">
        <v>43785</v>
      </c>
      <c r="B1398" s="353" t="s">
        <v>285</v>
      </c>
      <c r="C1398" s="263" t="s">
        <v>702</v>
      </c>
      <c r="D1398" s="157" t="s">
        <v>703</v>
      </c>
      <c r="E1398" s="44">
        <f t="shared" si="105"/>
        <v>43785</v>
      </c>
      <c r="F1398" s="146" t="str">
        <f t="shared" si="101"/>
        <v>2019-20</v>
      </c>
      <c r="G1398" s="1"/>
      <c r="H1398" s="161"/>
      <c r="I1398" s="37"/>
      <c r="J1398" s="135">
        <f t="shared" si="102"/>
        <v>0.76382508261777382</v>
      </c>
      <c r="K1398" s="112"/>
      <c r="L1398" s="37">
        <v>45.870039567399999</v>
      </c>
      <c r="M1398" s="37" t="s">
        <v>288</v>
      </c>
      <c r="N1398" s="37">
        <v>812.22926829268283</v>
      </c>
      <c r="O1398" s="130">
        <f t="shared" si="103"/>
        <v>37256.988674385713</v>
      </c>
      <c r="P1398" s="132">
        <f t="shared" si="104"/>
        <v>1116.2333830935211</v>
      </c>
      <c r="Q1398" s="261">
        <v>3.9224131957546246E-2</v>
      </c>
      <c r="R1398" s="92"/>
    </row>
    <row r="1399" spans="1:18" x14ac:dyDescent="0.25">
      <c r="A1399" s="353">
        <v>43785</v>
      </c>
      <c r="B1399" s="353" t="s">
        <v>285</v>
      </c>
      <c r="C1399" s="263" t="s">
        <v>702</v>
      </c>
      <c r="D1399" s="157" t="s">
        <v>703</v>
      </c>
      <c r="E1399" s="44">
        <f t="shared" si="105"/>
        <v>43785</v>
      </c>
      <c r="F1399" s="146" t="str">
        <f t="shared" si="101"/>
        <v>2019-20</v>
      </c>
      <c r="G1399" s="1"/>
      <c r="H1399" s="161"/>
      <c r="I1399" s="37"/>
      <c r="J1399" s="135">
        <f t="shared" si="102"/>
        <v>0.76382508261777382</v>
      </c>
      <c r="K1399" s="112"/>
      <c r="L1399" s="37">
        <v>27.321943436800002</v>
      </c>
      <c r="M1399" s="37" t="s">
        <v>288</v>
      </c>
      <c r="N1399" s="37">
        <v>3336.4019512195118</v>
      </c>
      <c r="O1399" s="130">
        <f t="shared" si="103"/>
        <v>91156.985393648662</v>
      </c>
      <c r="P1399" s="132">
        <f t="shared" si="104"/>
        <v>2731.0975422045922</v>
      </c>
      <c r="Q1399" s="261">
        <v>3.9224131957546246E-2</v>
      </c>
      <c r="R1399" s="92"/>
    </row>
    <row r="1400" spans="1:18" x14ac:dyDescent="0.25">
      <c r="A1400" s="353">
        <v>43785</v>
      </c>
      <c r="B1400" s="353" t="s">
        <v>285</v>
      </c>
      <c r="C1400" s="263" t="s">
        <v>702</v>
      </c>
      <c r="D1400" s="157" t="s">
        <v>703</v>
      </c>
      <c r="E1400" s="44">
        <f t="shared" si="105"/>
        <v>43785</v>
      </c>
      <c r="F1400" s="146" t="str">
        <f t="shared" si="101"/>
        <v>2019-20</v>
      </c>
      <c r="G1400" s="1"/>
      <c r="H1400" s="161"/>
      <c r="I1400" s="37"/>
      <c r="J1400" s="135">
        <f t="shared" si="102"/>
        <v>0.76382508261777382</v>
      </c>
      <c r="K1400" s="112"/>
      <c r="L1400" s="37">
        <v>5.9806532251900002</v>
      </c>
      <c r="M1400" s="37" t="s">
        <v>288</v>
      </c>
      <c r="N1400" s="37">
        <v>3336.4019512195118</v>
      </c>
      <c r="O1400" s="130">
        <f t="shared" si="103"/>
        <v>19953.863090091185</v>
      </c>
      <c r="P1400" s="132">
        <f t="shared" si="104"/>
        <v>597.82523750101927</v>
      </c>
      <c r="Q1400" s="261">
        <v>3.9224131957546246E-2</v>
      </c>
      <c r="R1400" s="92"/>
    </row>
    <row r="1401" spans="1:18" x14ac:dyDescent="0.25">
      <c r="A1401" s="353">
        <v>43785</v>
      </c>
      <c r="B1401" s="353" t="s">
        <v>285</v>
      </c>
      <c r="C1401" s="263" t="s">
        <v>702</v>
      </c>
      <c r="D1401" s="157" t="s">
        <v>703</v>
      </c>
      <c r="E1401" s="44">
        <f t="shared" si="105"/>
        <v>43785</v>
      </c>
      <c r="F1401" s="146" t="str">
        <f t="shared" si="101"/>
        <v>2019-20</v>
      </c>
      <c r="G1401" s="1"/>
      <c r="H1401" s="161"/>
      <c r="I1401" s="37"/>
      <c r="J1401" s="135">
        <f t="shared" si="102"/>
        <v>0.76382508261777382</v>
      </c>
      <c r="K1401" s="112"/>
      <c r="L1401" s="37">
        <v>5.3517515824300004</v>
      </c>
      <c r="M1401" s="37" t="s">
        <v>288</v>
      </c>
      <c r="N1401" s="37">
        <v>3336.4019512195118</v>
      </c>
      <c r="O1401" s="130">
        <f t="shared" si="103"/>
        <v>17855.594422061564</v>
      </c>
      <c r="P1401" s="132">
        <f t="shared" si="104"/>
        <v>534.96031960806886</v>
      </c>
      <c r="Q1401" s="261">
        <v>3.9224131957546246E-2</v>
      </c>
      <c r="R1401" s="92"/>
    </row>
    <row r="1402" spans="1:18" x14ac:dyDescent="0.25">
      <c r="A1402" s="353">
        <v>43785</v>
      </c>
      <c r="B1402" s="353" t="s">
        <v>285</v>
      </c>
      <c r="C1402" s="263" t="s">
        <v>702</v>
      </c>
      <c r="D1402" s="157" t="s">
        <v>703</v>
      </c>
      <c r="E1402" s="44">
        <f t="shared" si="105"/>
        <v>43785</v>
      </c>
      <c r="F1402" s="146" t="str">
        <f t="shared" si="101"/>
        <v>2019-20</v>
      </c>
      <c r="G1402" s="1"/>
      <c r="H1402" s="161"/>
      <c r="I1402" s="37"/>
      <c r="J1402" s="135">
        <f t="shared" si="102"/>
        <v>0.76382508261777382</v>
      </c>
      <c r="K1402" s="112"/>
      <c r="L1402" s="37">
        <v>18.832187875900001</v>
      </c>
      <c r="M1402" s="37" t="s">
        <v>288</v>
      </c>
      <c r="N1402" s="37">
        <v>812.22926829268283</v>
      </c>
      <c r="O1402" s="130">
        <f t="shared" si="103"/>
        <v>15296.05417879259</v>
      </c>
      <c r="P1402" s="132">
        <f t="shared" si="104"/>
        <v>458.27553195982915</v>
      </c>
      <c r="Q1402" s="261">
        <v>3.9224131957546246E-2</v>
      </c>
      <c r="R1402" s="92"/>
    </row>
    <row r="1403" spans="1:18" x14ac:dyDescent="0.25">
      <c r="A1403" s="353">
        <v>43785</v>
      </c>
      <c r="B1403" s="353" t="s">
        <v>285</v>
      </c>
      <c r="C1403" s="263" t="s">
        <v>702</v>
      </c>
      <c r="D1403" s="157" t="s">
        <v>703</v>
      </c>
      <c r="E1403" s="44">
        <f t="shared" si="105"/>
        <v>43785</v>
      </c>
      <c r="F1403" s="146" t="str">
        <f t="shared" ref="F1403:F1466" si="106">IF(E1403="","-",IF(OR(E1403&lt;$E$15,E1403&gt;$E$16),"ERROR - date outside of range",IF(MONTH(E1403)&gt;=7,YEAR(E1403)&amp;"-"&amp;IF(YEAR(E1403)=1999,"00",IF(AND(YEAR(E1403)&gt;=2000,YEAR(E1403)&lt;2009),"0","")&amp;RIGHT(YEAR(E1403),2)+1),RIGHT(YEAR(E1403),4)-1&amp;"-"&amp;RIGHT(YEAR(E1403),2))))</f>
        <v>2019-20</v>
      </c>
      <c r="G1403" s="1"/>
      <c r="H1403" s="161"/>
      <c r="I1403" s="37"/>
      <c r="J1403" s="135">
        <f t="shared" si="102"/>
        <v>0.76382508261777382</v>
      </c>
      <c r="K1403" s="112"/>
      <c r="L1403" s="37">
        <v>16.749679401200002</v>
      </c>
      <c r="M1403" s="37" t="s">
        <v>288</v>
      </c>
      <c r="N1403" s="37">
        <v>812.22926829268283</v>
      </c>
      <c r="O1403" s="130">
        <f t="shared" si="103"/>
        <v>13604.579844173699</v>
      </c>
      <c r="P1403" s="132">
        <f t="shared" si="104"/>
        <v>407.59832518263278</v>
      </c>
      <c r="Q1403" s="261">
        <v>3.9224131957546246E-2</v>
      </c>
      <c r="R1403" s="92"/>
    </row>
    <row r="1404" spans="1:18" x14ac:dyDescent="0.25">
      <c r="A1404" s="353">
        <v>43785</v>
      </c>
      <c r="B1404" s="353" t="s">
        <v>285</v>
      </c>
      <c r="C1404" s="263" t="s">
        <v>702</v>
      </c>
      <c r="D1404" s="157" t="s">
        <v>703</v>
      </c>
      <c r="E1404" s="44">
        <f t="shared" si="105"/>
        <v>43785</v>
      </c>
      <c r="F1404" s="146" t="str">
        <f t="shared" si="106"/>
        <v>2019-20</v>
      </c>
      <c r="G1404" s="1"/>
      <c r="H1404" s="161"/>
      <c r="I1404" s="37"/>
      <c r="J1404" s="135">
        <f t="shared" si="102"/>
        <v>0.76382508261777382</v>
      </c>
      <c r="K1404" s="112"/>
      <c r="L1404" s="37">
        <v>18.732997244</v>
      </c>
      <c r="M1404" s="37" t="s">
        <v>288</v>
      </c>
      <c r="N1404" s="37">
        <v>812.22926829268283</v>
      </c>
      <c r="O1404" s="130">
        <f t="shared" si="103"/>
        <v>15215.488644422963</v>
      </c>
      <c r="P1404" s="132">
        <f t="shared" si="104"/>
        <v>455.861758270922</v>
      </c>
      <c r="Q1404" s="261">
        <v>3.9224131957546246E-2</v>
      </c>
      <c r="R1404" s="92"/>
    </row>
    <row r="1405" spans="1:18" x14ac:dyDescent="0.25">
      <c r="A1405" s="353">
        <v>43785</v>
      </c>
      <c r="B1405" s="353" t="s">
        <v>285</v>
      </c>
      <c r="C1405" s="263" t="s">
        <v>702</v>
      </c>
      <c r="D1405" s="157" t="s">
        <v>703</v>
      </c>
      <c r="E1405" s="44">
        <f t="shared" si="105"/>
        <v>43785</v>
      </c>
      <c r="F1405" s="146" t="str">
        <f t="shared" si="106"/>
        <v>2019-20</v>
      </c>
      <c r="G1405" s="1"/>
      <c r="H1405" s="161"/>
      <c r="I1405" s="37"/>
      <c r="J1405" s="135">
        <f t="shared" si="102"/>
        <v>0.76382508261777382</v>
      </c>
      <c r="K1405" s="112"/>
      <c r="L1405" s="37">
        <v>66.5019374946</v>
      </c>
      <c r="M1405" s="37" t="s">
        <v>288</v>
      </c>
      <c r="N1405" s="37">
        <v>3336.4019512195118</v>
      </c>
      <c r="O1405" s="130">
        <f t="shared" si="103"/>
        <v>221877.19401686147</v>
      </c>
      <c r="P1405" s="132">
        <f t="shared" si="104"/>
        <v>6647.5241215350934</v>
      </c>
      <c r="Q1405" s="261">
        <v>3.9224131957546246E-2</v>
      </c>
      <c r="R1405" s="92"/>
    </row>
    <row r="1406" spans="1:18" x14ac:dyDescent="0.25">
      <c r="A1406" s="353">
        <v>43785</v>
      </c>
      <c r="B1406" s="353" t="s">
        <v>285</v>
      </c>
      <c r="C1406" s="263" t="s">
        <v>702</v>
      </c>
      <c r="D1406" s="157" t="s">
        <v>703</v>
      </c>
      <c r="E1406" s="44">
        <f t="shared" si="105"/>
        <v>43785</v>
      </c>
      <c r="F1406" s="146" t="str">
        <f t="shared" si="106"/>
        <v>2019-20</v>
      </c>
      <c r="G1406" s="1"/>
      <c r="H1406" s="161"/>
      <c r="I1406" s="37"/>
      <c r="J1406" s="135">
        <f t="shared" si="102"/>
        <v>0.76382508261777382</v>
      </c>
      <c r="K1406" s="112"/>
      <c r="L1406" s="37">
        <v>22.431521082300002</v>
      </c>
      <c r="M1406" s="37" t="s">
        <v>288</v>
      </c>
      <c r="N1406" s="37">
        <v>3336.4019512195118</v>
      </c>
      <c r="O1406" s="130">
        <f t="shared" si="103"/>
        <v>74840.570707807346</v>
      </c>
      <c r="P1406" s="132">
        <f t="shared" si="104"/>
        <v>2242.2516259683475</v>
      </c>
      <c r="Q1406" s="261">
        <v>3.9224131957546246E-2</v>
      </c>
      <c r="R1406" s="92"/>
    </row>
    <row r="1407" spans="1:18" x14ac:dyDescent="0.25">
      <c r="A1407" s="353">
        <v>43785</v>
      </c>
      <c r="B1407" s="353" t="s">
        <v>285</v>
      </c>
      <c r="C1407" s="263" t="s">
        <v>702</v>
      </c>
      <c r="D1407" s="157" t="s">
        <v>703</v>
      </c>
      <c r="E1407" s="44">
        <f t="shared" si="105"/>
        <v>43785</v>
      </c>
      <c r="F1407" s="146" t="str">
        <f t="shared" si="106"/>
        <v>2019-20</v>
      </c>
      <c r="G1407" s="1"/>
      <c r="H1407" s="161"/>
      <c r="I1407" s="37"/>
      <c r="J1407" s="135">
        <f t="shared" si="102"/>
        <v>0.76382508261777382</v>
      </c>
      <c r="K1407" s="112"/>
      <c r="L1407" s="37">
        <v>18.839487524300001</v>
      </c>
      <c r="M1407" s="37" t="s">
        <v>288</v>
      </c>
      <c r="N1407" s="37">
        <v>3336.4019512195118</v>
      </c>
      <c r="O1407" s="130">
        <f t="shared" si="103"/>
        <v>62856.102936050171</v>
      </c>
      <c r="P1407" s="132">
        <f t="shared" si="104"/>
        <v>1883.1924673670289</v>
      </c>
      <c r="Q1407" s="261">
        <v>3.9224131957546246E-2</v>
      </c>
      <c r="R1407" s="92"/>
    </row>
    <row r="1408" spans="1:18" x14ac:dyDescent="0.25">
      <c r="A1408" s="353">
        <v>43785</v>
      </c>
      <c r="B1408" s="353" t="s">
        <v>285</v>
      </c>
      <c r="C1408" s="263" t="s">
        <v>702</v>
      </c>
      <c r="D1408" s="157" t="s">
        <v>703</v>
      </c>
      <c r="E1408" s="44">
        <f t="shared" si="105"/>
        <v>43785</v>
      </c>
      <c r="F1408" s="146" t="str">
        <f t="shared" si="106"/>
        <v>2019-20</v>
      </c>
      <c r="G1408" s="1"/>
      <c r="H1408" s="161"/>
      <c r="I1408" s="37"/>
      <c r="J1408" s="135">
        <f t="shared" si="102"/>
        <v>0.76382508261777382</v>
      </c>
      <c r="K1408" s="112"/>
      <c r="L1408" s="37">
        <v>6.2539872881200003</v>
      </c>
      <c r="M1408" s="37" t="s">
        <v>288</v>
      </c>
      <c r="N1408" s="37">
        <v>812.22926829268283</v>
      </c>
      <c r="O1408" s="130">
        <f t="shared" si="103"/>
        <v>5079.6715189414472</v>
      </c>
      <c r="P1408" s="132">
        <f t="shared" si="104"/>
        <v>152.1888678160945</v>
      </c>
      <c r="Q1408" s="261">
        <v>3.9224131957546246E-2</v>
      </c>
      <c r="R1408" s="92"/>
    </row>
    <row r="1409" spans="1:18" x14ac:dyDescent="0.25">
      <c r="A1409" s="353">
        <v>43785</v>
      </c>
      <c r="B1409" s="353" t="s">
        <v>285</v>
      </c>
      <c r="C1409" s="263" t="s">
        <v>702</v>
      </c>
      <c r="D1409" s="157" t="s">
        <v>703</v>
      </c>
      <c r="E1409" s="44">
        <f t="shared" si="105"/>
        <v>43785</v>
      </c>
      <c r="F1409" s="146" t="str">
        <f t="shared" si="106"/>
        <v>2019-20</v>
      </c>
      <c r="G1409" s="1"/>
      <c r="H1409" s="161"/>
      <c r="I1409" s="37"/>
      <c r="J1409" s="135">
        <f t="shared" si="102"/>
        <v>0.76382508261777382</v>
      </c>
      <c r="K1409" s="112"/>
      <c r="L1409" s="37">
        <v>22.860892495000002</v>
      </c>
      <c r="M1409" s="37" t="s">
        <v>288</v>
      </c>
      <c r="N1409" s="37">
        <v>812.22926829268283</v>
      </c>
      <c r="O1409" s="130">
        <f t="shared" si="103"/>
        <v>18568.285983731537</v>
      </c>
      <c r="P1409" s="132">
        <f t="shared" si="104"/>
        <v>556.31282664876835</v>
      </c>
      <c r="Q1409" s="261">
        <v>3.9224131957546246E-2</v>
      </c>
      <c r="R1409" s="92"/>
    </row>
    <row r="1410" spans="1:18" x14ac:dyDescent="0.25">
      <c r="A1410" s="353">
        <v>43785</v>
      </c>
      <c r="B1410" s="353" t="s">
        <v>285</v>
      </c>
      <c r="C1410" s="263" t="s">
        <v>702</v>
      </c>
      <c r="D1410" s="157" t="s">
        <v>703</v>
      </c>
      <c r="E1410" s="44">
        <f t="shared" si="105"/>
        <v>43785</v>
      </c>
      <c r="F1410" s="146" t="str">
        <f t="shared" si="106"/>
        <v>2019-20</v>
      </c>
      <c r="G1410" s="1"/>
      <c r="H1410" s="161"/>
      <c r="I1410" s="37"/>
      <c r="J1410" s="135">
        <f t="shared" si="102"/>
        <v>0.76382508261777382</v>
      </c>
      <c r="K1410" s="112"/>
      <c r="L1410" s="37">
        <v>24.786762981999999</v>
      </c>
      <c r="M1410" s="37" t="s">
        <v>288</v>
      </c>
      <c r="N1410" s="37">
        <v>812.22926829268283</v>
      </c>
      <c r="O1410" s="130">
        <f t="shared" si="103"/>
        <v>20132.534360214016</v>
      </c>
      <c r="P1410" s="132">
        <f t="shared" si="104"/>
        <v>603.17829590447366</v>
      </c>
      <c r="Q1410" s="261">
        <v>3.9224131957546246E-2</v>
      </c>
      <c r="R1410" s="92"/>
    </row>
    <row r="1411" spans="1:18" x14ac:dyDescent="0.25">
      <c r="A1411" s="353">
        <v>43785</v>
      </c>
      <c r="B1411" s="353" t="s">
        <v>285</v>
      </c>
      <c r="C1411" s="263" t="s">
        <v>702</v>
      </c>
      <c r="D1411" s="157" t="s">
        <v>703</v>
      </c>
      <c r="E1411" s="44">
        <f t="shared" si="105"/>
        <v>43785</v>
      </c>
      <c r="F1411" s="146" t="str">
        <f t="shared" si="106"/>
        <v>2019-20</v>
      </c>
      <c r="G1411" s="1"/>
      <c r="H1411" s="161"/>
      <c r="I1411" s="37"/>
      <c r="J1411" s="135">
        <f t="shared" si="102"/>
        <v>0.76382508261777382</v>
      </c>
      <c r="K1411" s="112"/>
      <c r="L1411" s="37">
        <v>20.251351447299999</v>
      </c>
      <c r="M1411" s="37" t="s">
        <v>288</v>
      </c>
      <c r="N1411" s="37">
        <v>3336.4019512195118</v>
      </c>
      <c r="O1411" s="130">
        <f t="shared" si="103"/>
        <v>67566.6484836038</v>
      </c>
      <c r="P1411" s="132">
        <f t="shared" si="104"/>
        <v>2024.3221823505926</v>
      </c>
      <c r="Q1411" s="261">
        <v>3.9224131957546246E-2</v>
      </c>
      <c r="R1411" s="92"/>
    </row>
    <row r="1412" spans="1:18" x14ac:dyDescent="0.25">
      <c r="A1412" s="353">
        <v>43785</v>
      </c>
      <c r="B1412" s="353" t="s">
        <v>285</v>
      </c>
      <c r="C1412" s="263" t="s">
        <v>702</v>
      </c>
      <c r="D1412" s="157" t="s">
        <v>703</v>
      </c>
      <c r="E1412" s="44">
        <f t="shared" si="105"/>
        <v>43785</v>
      </c>
      <c r="F1412" s="146" t="str">
        <f t="shared" si="106"/>
        <v>2019-20</v>
      </c>
      <c r="G1412" s="1"/>
      <c r="H1412" s="161"/>
      <c r="I1412" s="37"/>
      <c r="J1412" s="135">
        <f t="shared" si="102"/>
        <v>0.76382508261777382</v>
      </c>
      <c r="K1412" s="112"/>
      <c r="L1412" s="37">
        <v>53.986532786399998</v>
      </c>
      <c r="M1412" s="37" t="s">
        <v>288</v>
      </c>
      <c r="N1412" s="37">
        <v>812.22926829268283</v>
      </c>
      <c r="O1412" s="130">
        <f t="shared" si="103"/>
        <v>43849.442022756601</v>
      </c>
      <c r="P1412" s="132">
        <f t="shared" si="104"/>
        <v>1313.7457630727808</v>
      </c>
      <c r="Q1412" s="261">
        <v>3.9224131957546246E-2</v>
      </c>
      <c r="R1412" s="92"/>
    </row>
    <row r="1413" spans="1:18" x14ac:dyDescent="0.25">
      <c r="A1413" s="353">
        <v>43785</v>
      </c>
      <c r="B1413" s="353" t="s">
        <v>285</v>
      </c>
      <c r="C1413" s="263" t="s">
        <v>702</v>
      </c>
      <c r="D1413" s="157" t="s">
        <v>703</v>
      </c>
      <c r="E1413" s="44">
        <f t="shared" si="105"/>
        <v>43785</v>
      </c>
      <c r="F1413" s="146" t="str">
        <f t="shared" si="106"/>
        <v>2019-20</v>
      </c>
      <c r="G1413" s="1"/>
      <c r="H1413" s="161"/>
      <c r="I1413" s="37"/>
      <c r="J1413" s="135">
        <f t="shared" si="102"/>
        <v>0.76382508261777382</v>
      </c>
      <c r="K1413" s="112"/>
      <c r="L1413" s="37">
        <v>14.610357328599999</v>
      </c>
      <c r="M1413" s="37" t="s">
        <v>288</v>
      </c>
      <c r="N1413" s="37">
        <v>812.22926829268283</v>
      </c>
      <c r="O1413" s="130">
        <f t="shared" si="103"/>
        <v>11866.959842503413</v>
      </c>
      <c r="P1413" s="132">
        <f t="shared" si="104"/>
        <v>355.53857687750838</v>
      </c>
      <c r="Q1413" s="261">
        <v>3.9224131957546246E-2</v>
      </c>
      <c r="R1413" s="92"/>
    </row>
    <row r="1414" spans="1:18" x14ac:dyDescent="0.25">
      <c r="A1414" s="353">
        <v>43785</v>
      </c>
      <c r="B1414" s="353" t="s">
        <v>285</v>
      </c>
      <c r="C1414" s="263" t="s">
        <v>702</v>
      </c>
      <c r="D1414" s="157" t="s">
        <v>703</v>
      </c>
      <c r="E1414" s="44">
        <f t="shared" si="105"/>
        <v>43785</v>
      </c>
      <c r="F1414" s="146" t="str">
        <f t="shared" si="106"/>
        <v>2019-20</v>
      </c>
      <c r="G1414" s="1"/>
      <c r="H1414" s="161"/>
      <c r="I1414" s="37"/>
      <c r="J1414" s="135">
        <f t="shared" si="102"/>
        <v>0.76382508261777382</v>
      </c>
      <c r="K1414" s="112"/>
      <c r="L1414" s="37">
        <v>37.489319852800001</v>
      </c>
      <c r="M1414" s="37" t="s">
        <v>288</v>
      </c>
      <c r="N1414" s="37">
        <v>3336.4019512195118</v>
      </c>
      <c r="O1414" s="130">
        <f t="shared" si="103"/>
        <v>125079.43990677431</v>
      </c>
      <c r="P1414" s="132">
        <f t="shared" si="104"/>
        <v>3747.4270285985062</v>
      </c>
      <c r="Q1414" s="261">
        <v>3.9224131957546246E-2</v>
      </c>
      <c r="R1414" s="92"/>
    </row>
    <row r="1415" spans="1:18" x14ac:dyDescent="0.25">
      <c r="A1415" s="353">
        <v>43785</v>
      </c>
      <c r="B1415" s="353" t="s">
        <v>285</v>
      </c>
      <c r="C1415" s="263" t="s">
        <v>702</v>
      </c>
      <c r="D1415" s="157" t="s">
        <v>703</v>
      </c>
      <c r="E1415" s="44">
        <f t="shared" si="105"/>
        <v>43785</v>
      </c>
      <c r="F1415" s="146" t="str">
        <f t="shared" si="106"/>
        <v>2019-20</v>
      </c>
      <c r="G1415" s="1"/>
      <c r="H1415" s="161"/>
      <c r="I1415" s="37"/>
      <c r="J1415" s="135">
        <f t="shared" si="102"/>
        <v>0.76382508261777382</v>
      </c>
      <c r="K1415" s="112"/>
      <c r="L1415" s="37">
        <v>56.5455958131</v>
      </c>
      <c r="M1415" s="37" t="s">
        <v>288</v>
      </c>
      <c r="N1415" s="37">
        <v>3336.4019512195118</v>
      </c>
      <c r="O1415" s="130">
        <f t="shared" si="103"/>
        <v>188658.8362036967</v>
      </c>
      <c r="P1415" s="132">
        <f t="shared" si="104"/>
        <v>5652.2896368948414</v>
      </c>
      <c r="Q1415" s="261">
        <v>3.9224131957546246E-2</v>
      </c>
      <c r="R1415" s="92"/>
    </row>
    <row r="1416" spans="1:18" x14ac:dyDescent="0.25">
      <c r="A1416" s="353">
        <v>43785</v>
      </c>
      <c r="B1416" s="353" t="s">
        <v>285</v>
      </c>
      <c r="C1416" s="263" t="s">
        <v>702</v>
      </c>
      <c r="D1416" s="157" t="s">
        <v>703</v>
      </c>
      <c r="E1416" s="44">
        <f t="shared" si="105"/>
        <v>43785</v>
      </c>
      <c r="F1416" s="146" t="str">
        <f t="shared" si="106"/>
        <v>2019-20</v>
      </c>
      <c r="G1416" s="1"/>
      <c r="H1416" s="161"/>
      <c r="I1416" s="37"/>
      <c r="J1416" s="135">
        <f t="shared" si="102"/>
        <v>0.76382508261777382</v>
      </c>
      <c r="K1416" s="112"/>
      <c r="L1416" s="37">
        <v>57.760896365000001</v>
      </c>
      <c r="M1416" s="37" t="s">
        <v>288</v>
      </c>
      <c r="N1416" s="37">
        <v>812.22926829268283</v>
      </c>
      <c r="O1416" s="130">
        <f t="shared" si="103"/>
        <v>46915.090590473432</v>
      </c>
      <c r="P1416" s="132">
        <f t="shared" si="104"/>
        <v>1405.5937463337302</v>
      </c>
      <c r="Q1416" s="261">
        <v>3.9224131957546246E-2</v>
      </c>
      <c r="R1416" s="92"/>
    </row>
    <row r="1417" spans="1:18" x14ac:dyDescent="0.25">
      <c r="A1417" s="353">
        <v>43785</v>
      </c>
      <c r="B1417" s="353" t="s">
        <v>285</v>
      </c>
      <c r="C1417" s="263" t="s">
        <v>702</v>
      </c>
      <c r="D1417" s="157" t="s">
        <v>703</v>
      </c>
      <c r="E1417" s="44">
        <f t="shared" si="105"/>
        <v>43785</v>
      </c>
      <c r="F1417" s="146" t="str">
        <f t="shared" si="106"/>
        <v>2019-20</v>
      </c>
      <c r="G1417" s="1"/>
      <c r="H1417" s="161"/>
      <c r="I1417" s="37"/>
      <c r="J1417" s="135">
        <f t="shared" si="102"/>
        <v>0.76382508261777382</v>
      </c>
      <c r="K1417" s="112"/>
      <c r="L1417" s="37">
        <v>20.7042273966</v>
      </c>
      <c r="M1417" s="37" t="s">
        <v>288</v>
      </c>
      <c r="N1417" s="37">
        <v>812.22926829268283</v>
      </c>
      <c r="O1417" s="130">
        <f t="shared" si="103"/>
        <v>16816.579468905737</v>
      </c>
      <c r="P1417" s="132">
        <f t="shared" si="104"/>
        <v>503.83104111532691</v>
      </c>
      <c r="Q1417" s="261">
        <v>3.9224131957546246E-2</v>
      </c>
      <c r="R1417" s="92"/>
    </row>
    <row r="1418" spans="1:18" x14ac:dyDescent="0.25">
      <c r="A1418" s="353">
        <v>43785</v>
      </c>
      <c r="B1418" s="353" t="s">
        <v>285</v>
      </c>
      <c r="C1418" s="263" t="s">
        <v>702</v>
      </c>
      <c r="D1418" s="157" t="s">
        <v>703</v>
      </c>
      <c r="E1418" s="44">
        <f t="shared" si="105"/>
        <v>43785</v>
      </c>
      <c r="F1418" s="146" t="str">
        <f t="shared" si="106"/>
        <v>2019-20</v>
      </c>
      <c r="G1418" s="1"/>
      <c r="H1418" s="161"/>
      <c r="I1418" s="37"/>
      <c r="J1418" s="135">
        <f t="shared" si="102"/>
        <v>0.76382508261777382</v>
      </c>
      <c r="K1418" s="112"/>
      <c r="L1418" s="37">
        <v>23.3810895059</v>
      </c>
      <c r="M1418" s="37" t="s">
        <v>288</v>
      </c>
      <c r="N1418" s="37">
        <v>3336.4019512195118</v>
      </c>
      <c r="O1418" s="130">
        <f t="shared" si="103"/>
        <v>78008.712649122812</v>
      </c>
      <c r="P1418" s="132">
        <f t="shared" si="104"/>
        <v>2337.1703492227125</v>
      </c>
      <c r="Q1418" s="261">
        <v>3.9224131957546246E-2</v>
      </c>
      <c r="R1418" s="92"/>
    </row>
    <row r="1419" spans="1:18" x14ac:dyDescent="0.25">
      <c r="A1419" s="353">
        <v>43785</v>
      </c>
      <c r="B1419" s="353" t="s">
        <v>285</v>
      </c>
      <c r="C1419" s="263" t="s">
        <v>702</v>
      </c>
      <c r="D1419" s="157" t="s">
        <v>703</v>
      </c>
      <c r="E1419" s="44">
        <f t="shared" si="105"/>
        <v>43785</v>
      </c>
      <c r="F1419" s="146" t="str">
        <f t="shared" si="106"/>
        <v>2019-20</v>
      </c>
      <c r="G1419" s="1"/>
      <c r="H1419" s="161"/>
      <c r="I1419" s="37"/>
      <c r="J1419" s="135">
        <f t="shared" si="102"/>
        <v>0.76382508261777382</v>
      </c>
      <c r="K1419" s="112"/>
      <c r="L1419" s="37">
        <v>20.910533500300001</v>
      </c>
      <c r="M1419" s="37" t="s">
        <v>288</v>
      </c>
      <c r="N1419" s="37">
        <v>3336.4019512195118</v>
      </c>
      <c r="O1419" s="130">
        <f t="shared" si="103"/>
        <v>69765.944771441893</v>
      </c>
      <c r="P1419" s="132">
        <f t="shared" si="104"/>
        <v>2090.2139257025265</v>
      </c>
      <c r="Q1419" s="261">
        <v>3.9224131957546246E-2</v>
      </c>
      <c r="R1419" s="92"/>
    </row>
    <row r="1420" spans="1:18" x14ac:dyDescent="0.25">
      <c r="A1420" s="353">
        <v>43785</v>
      </c>
      <c r="B1420" s="353" t="s">
        <v>285</v>
      </c>
      <c r="C1420" s="263" t="s">
        <v>702</v>
      </c>
      <c r="D1420" s="157" t="s">
        <v>703</v>
      </c>
      <c r="E1420" s="44">
        <f t="shared" si="105"/>
        <v>43785</v>
      </c>
      <c r="F1420" s="146" t="str">
        <f t="shared" si="106"/>
        <v>2019-20</v>
      </c>
      <c r="G1420" s="1"/>
      <c r="H1420" s="161"/>
      <c r="I1420" s="37"/>
      <c r="J1420" s="135">
        <f t="shared" si="102"/>
        <v>0.76382508261777382</v>
      </c>
      <c r="K1420" s="112"/>
      <c r="L1420" s="37">
        <v>57.911237717699997</v>
      </c>
      <c r="M1420" s="37" t="s">
        <v>288</v>
      </c>
      <c r="N1420" s="37">
        <v>812.22926829268283</v>
      </c>
      <c r="O1420" s="130">
        <f t="shared" si="103"/>
        <v>47037.202237371086</v>
      </c>
      <c r="P1420" s="132">
        <f t="shared" si="104"/>
        <v>1409.252257168381</v>
      </c>
      <c r="Q1420" s="261">
        <v>3.9224131957546246E-2</v>
      </c>
      <c r="R1420" s="92"/>
    </row>
    <row r="1421" spans="1:18" x14ac:dyDescent="0.25">
      <c r="A1421" s="353">
        <v>43785</v>
      </c>
      <c r="B1421" s="353" t="s">
        <v>285</v>
      </c>
      <c r="C1421" s="263" t="s">
        <v>702</v>
      </c>
      <c r="D1421" s="157" t="s">
        <v>703</v>
      </c>
      <c r="E1421" s="44">
        <f t="shared" si="105"/>
        <v>43785</v>
      </c>
      <c r="F1421" s="146" t="str">
        <f t="shared" si="106"/>
        <v>2019-20</v>
      </c>
      <c r="G1421" s="1"/>
      <c r="H1421" s="161"/>
      <c r="I1421" s="37"/>
      <c r="J1421" s="135">
        <f t="shared" si="102"/>
        <v>0.76382508261777382</v>
      </c>
      <c r="K1421" s="112"/>
      <c r="L1421" s="37">
        <v>57.471145954100002</v>
      </c>
      <c r="M1421" s="37" t="s">
        <v>288</v>
      </c>
      <c r="N1421" s="37">
        <v>812.22926829268283</v>
      </c>
      <c r="O1421" s="130">
        <f t="shared" si="103"/>
        <v>46679.746826240626</v>
      </c>
      <c r="P1421" s="132">
        <f t="shared" si="104"/>
        <v>1398.5427587073427</v>
      </c>
      <c r="Q1421" s="261">
        <v>3.9224131957546246E-2</v>
      </c>
      <c r="R1421" s="92"/>
    </row>
    <row r="1422" spans="1:18" x14ac:dyDescent="0.25">
      <c r="A1422" s="353">
        <v>43785</v>
      </c>
      <c r="B1422" s="353" t="s">
        <v>285</v>
      </c>
      <c r="C1422" s="263" t="s">
        <v>702</v>
      </c>
      <c r="D1422" s="157" t="s">
        <v>703</v>
      </c>
      <c r="E1422" s="44">
        <f t="shared" si="105"/>
        <v>43785</v>
      </c>
      <c r="F1422" s="146" t="str">
        <f t="shared" si="106"/>
        <v>2019-20</v>
      </c>
      <c r="G1422" s="1"/>
      <c r="H1422" s="161"/>
      <c r="I1422" s="37"/>
      <c r="J1422" s="135">
        <f t="shared" si="102"/>
        <v>0.76382508261777382</v>
      </c>
      <c r="K1422" s="112"/>
      <c r="L1422" s="37">
        <v>22.3251352807</v>
      </c>
      <c r="M1422" s="37" t="s">
        <v>288</v>
      </c>
      <c r="N1422" s="37">
        <v>812.22926829268283</v>
      </c>
      <c r="O1422" s="130">
        <f t="shared" si="103"/>
        <v>18133.12829357812</v>
      </c>
      <c r="P1422" s="132">
        <f t="shared" si="104"/>
        <v>543.27533870511559</v>
      </c>
      <c r="Q1422" s="261">
        <v>3.9224131957546246E-2</v>
      </c>
      <c r="R1422" s="92"/>
    </row>
    <row r="1423" spans="1:18" x14ac:dyDescent="0.25">
      <c r="A1423" s="353">
        <v>42653</v>
      </c>
      <c r="B1423" s="353" t="s">
        <v>285</v>
      </c>
      <c r="C1423" s="263" t="s">
        <v>704</v>
      </c>
      <c r="D1423" s="157" t="s">
        <v>699</v>
      </c>
      <c r="E1423" s="44">
        <f t="shared" si="105"/>
        <v>42653</v>
      </c>
      <c r="F1423" s="146" t="str">
        <f t="shared" si="106"/>
        <v>2016-17</v>
      </c>
      <c r="G1423" s="1"/>
      <c r="H1423" s="161"/>
      <c r="I1423" s="37"/>
      <c r="J1423" s="135">
        <f t="shared" si="102"/>
        <v>0.76382508261777382</v>
      </c>
      <c r="K1423" s="112"/>
      <c r="L1423" s="37">
        <v>19.200785130300002</v>
      </c>
      <c r="M1423" s="37" t="s">
        <v>288</v>
      </c>
      <c r="N1423" s="37">
        <v>812.22926829268283</v>
      </c>
      <c r="O1423" s="130">
        <f t="shared" si="103"/>
        <v>15595.439657028595</v>
      </c>
      <c r="P1423" s="132">
        <f t="shared" si="104"/>
        <v>662.46549195253829</v>
      </c>
      <c r="Q1423" s="261">
        <v>5.5612410819495632E-2</v>
      </c>
      <c r="R1423" s="92"/>
    </row>
    <row r="1424" spans="1:18" x14ac:dyDescent="0.25">
      <c r="A1424" s="353">
        <v>42653</v>
      </c>
      <c r="B1424" s="353" t="s">
        <v>285</v>
      </c>
      <c r="C1424" s="263" t="s">
        <v>704</v>
      </c>
      <c r="D1424" s="157" t="s">
        <v>699</v>
      </c>
      <c r="E1424" s="44">
        <f t="shared" si="105"/>
        <v>42653</v>
      </c>
      <c r="F1424" s="146" t="str">
        <f t="shared" si="106"/>
        <v>2016-17</v>
      </c>
      <c r="G1424" s="1"/>
      <c r="H1424" s="161"/>
      <c r="I1424" s="37"/>
      <c r="J1424" s="135">
        <f t="shared" si="102"/>
        <v>0.76382508261777382</v>
      </c>
      <c r="K1424" s="112"/>
      <c r="L1424" s="37">
        <v>27.720351540100001</v>
      </c>
      <c r="M1424" s="37" t="s">
        <v>288</v>
      </c>
      <c r="N1424" s="37">
        <v>3875.3912195121943</v>
      </c>
      <c r="O1424" s="130">
        <f t="shared" si="103"/>
        <v>107427.20696029488</v>
      </c>
      <c r="P1424" s="132">
        <f t="shared" si="104"/>
        <v>4563.3094720715508</v>
      </c>
      <c r="Q1424" s="261">
        <v>5.5612410819495632E-2</v>
      </c>
      <c r="R1424" s="92"/>
    </row>
    <row r="1425" spans="1:18" x14ac:dyDescent="0.25">
      <c r="A1425" s="353">
        <v>42653</v>
      </c>
      <c r="B1425" s="353" t="s">
        <v>285</v>
      </c>
      <c r="C1425" s="263" t="s">
        <v>704</v>
      </c>
      <c r="D1425" s="157" t="s">
        <v>699</v>
      </c>
      <c r="E1425" s="44">
        <f t="shared" si="105"/>
        <v>42653</v>
      </c>
      <c r="F1425" s="146" t="str">
        <f t="shared" si="106"/>
        <v>2016-17</v>
      </c>
      <c r="G1425" s="1"/>
      <c r="H1425" s="161"/>
      <c r="I1425" s="37"/>
      <c r="J1425" s="135">
        <f t="shared" si="102"/>
        <v>0.76382508261777382</v>
      </c>
      <c r="K1425" s="112"/>
      <c r="L1425" s="37">
        <v>4.9526438394100003</v>
      </c>
      <c r="M1425" s="37" t="s">
        <v>288</v>
      </c>
      <c r="N1425" s="37">
        <v>1162.6195121951216</v>
      </c>
      <c r="O1425" s="130">
        <f t="shared" si="103"/>
        <v>5758.0403646510285</v>
      </c>
      <c r="P1425" s="132">
        <f t="shared" si="104"/>
        <v>244.59092701063966</v>
      </c>
      <c r="Q1425" s="261">
        <v>5.5612410819495632E-2</v>
      </c>
      <c r="R1425" s="92"/>
    </row>
    <row r="1426" spans="1:18" x14ac:dyDescent="0.25">
      <c r="A1426" s="353">
        <v>42653</v>
      </c>
      <c r="B1426" s="353" t="s">
        <v>285</v>
      </c>
      <c r="C1426" s="263" t="s">
        <v>704</v>
      </c>
      <c r="D1426" s="157" t="s">
        <v>699</v>
      </c>
      <c r="E1426" s="44">
        <f t="shared" si="105"/>
        <v>42653</v>
      </c>
      <c r="F1426" s="146" t="str">
        <f t="shared" si="106"/>
        <v>2016-17</v>
      </c>
      <c r="G1426" s="1"/>
      <c r="H1426" s="161"/>
      <c r="I1426" s="37"/>
      <c r="J1426" s="135">
        <f t="shared" si="102"/>
        <v>0.76382508261777382</v>
      </c>
      <c r="K1426" s="112"/>
      <c r="L1426" s="37">
        <v>32.373103558399997</v>
      </c>
      <c r="M1426" s="37" t="s">
        <v>288</v>
      </c>
      <c r="N1426" s="37">
        <v>3336.4019512195118</v>
      </c>
      <c r="O1426" s="130">
        <f t="shared" si="103"/>
        <v>108009.68587927707</v>
      </c>
      <c r="P1426" s="132">
        <f t="shared" si="104"/>
        <v>4588.0521014620354</v>
      </c>
      <c r="Q1426" s="261">
        <v>5.5612410819495632E-2</v>
      </c>
      <c r="R1426" s="92"/>
    </row>
    <row r="1427" spans="1:18" x14ac:dyDescent="0.25">
      <c r="A1427" s="353">
        <v>42653</v>
      </c>
      <c r="B1427" s="353" t="s">
        <v>285</v>
      </c>
      <c r="C1427" s="263" t="s">
        <v>704</v>
      </c>
      <c r="D1427" s="157" t="s">
        <v>699</v>
      </c>
      <c r="E1427" s="44">
        <f t="shared" si="105"/>
        <v>42653</v>
      </c>
      <c r="F1427" s="146" t="str">
        <f t="shared" si="106"/>
        <v>2016-17</v>
      </c>
      <c r="G1427" s="1"/>
      <c r="H1427" s="161"/>
      <c r="I1427" s="37"/>
      <c r="J1427" s="135">
        <f t="shared" si="102"/>
        <v>0.76382508261777382</v>
      </c>
      <c r="K1427" s="112"/>
      <c r="L1427" s="37">
        <v>13.493344627600001</v>
      </c>
      <c r="M1427" s="37" t="s">
        <v>288</v>
      </c>
      <c r="N1427" s="37">
        <v>812.22926829268283</v>
      </c>
      <c r="O1427" s="130">
        <f t="shared" si="103"/>
        <v>10959.689433696552</v>
      </c>
      <c r="P1427" s="132">
        <f t="shared" si="104"/>
        <v>465.54737872161741</v>
      </c>
      <c r="Q1427" s="261">
        <v>5.5612410819495632E-2</v>
      </c>
      <c r="R1427" s="92"/>
    </row>
    <row r="1428" spans="1:18" x14ac:dyDescent="0.25">
      <c r="A1428" s="353">
        <v>42653</v>
      </c>
      <c r="B1428" s="353" t="s">
        <v>285</v>
      </c>
      <c r="C1428" s="263" t="s">
        <v>704</v>
      </c>
      <c r="D1428" s="157" t="s">
        <v>699</v>
      </c>
      <c r="E1428" s="44">
        <f t="shared" si="105"/>
        <v>42653</v>
      </c>
      <c r="F1428" s="146" t="str">
        <f t="shared" si="106"/>
        <v>2016-17</v>
      </c>
      <c r="G1428" s="1"/>
      <c r="H1428" s="161"/>
      <c r="I1428" s="37"/>
      <c r="J1428" s="135">
        <f t="shared" si="102"/>
        <v>0.76382508261777382</v>
      </c>
      <c r="K1428" s="112"/>
      <c r="L1428" s="37">
        <v>7.5817813869800004</v>
      </c>
      <c r="M1428" s="37" t="s">
        <v>288</v>
      </c>
      <c r="N1428" s="37">
        <v>812.22926829268283</v>
      </c>
      <c r="O1428" s="130">
        <f t="shared" si="103"/>
        <v>6158.1447483018474</v>
      </c>
      <c r="P1428" s="132">
        <f t="shared" si="104"/>
        <v>261.58662275097436</v>
      </c>
      <c r="Q1428" s="261">
        <v>5.5612410819495632E-2</v>
      </c>
      <c r="R1428" s="92"/>
    </row>
    <row r="1429" spans="1:18" x14ac:dyDescent="0.25">
      <c r="A1429" s="353">
        <v>42653</v>
      </c>
      <c r="B1429" s="353" t="s">
        <v>285</v>
      </c>
      <c r="C1429" s="263" t="s">
        <v>704</v>
      </c>
      <c r="D1429" s="157" t="s">
        <v>699</v>
      </c>
      <c r="E1429" s="44">
        <f t="shared" si="105"/>
        <v>42653</v>
      </c>
      <c r="F1429" s="146" t="str">
        <f t="shared" si="106"/>
        <v>2016-17</v>
      </c>
      <c r="G1429" s="1"/>
      <c r="H1429" s="161"/>
      <c r="I1429" s="37"/>
      <c r="J1429" s="135">
        <f t="shared" si="102"/>
        <v>0.76382508261777382</v>
      </c>
      <c r="K1429" s="112"/>
      <c r="L1429" s="37">
        <v>51.806127043399997</v>
      </c>
      <c r="M1429" s="37" t="s">
        <v>288</v>
      </c>
      <c r="N1429" s="37">
        <v>3336.4019512195118</v>
      </c>
      <c r="O1429" s="130">
        <f t="shared" si="103"/>
        <v>172846.06335272567</v>
      </c>
      <c r="P1429" s="132">
        <f t="shared" si="104"/>
        <v>7342.1817473044302</v>
      </c>
      <c r="Q1429" s="261">
        <v>5.5612410819495632E-2</v>
      </c>
      <c r="R1429" s="92"/>
    </row>
    <row r="1430" spans="1:18" x14ac:dyDescent="0.25">
      <c r="A1430" s="353">
        <v>42653</v>
      </c>
      <c r="B1430" s="353" t="s">
        <v>285</v>
      </c>
      <c r="C1430" s="263" t="s">
        <v>704</v>
      </c>
      <c r="D1430" s="157" t="s">
        <v>699</v>
      </c>
      <c r="E1430" s="44">
        <f t="shared" si="105"/>
        <v>42653</v>
      </c>
      <c r="F1430" s="146" t="str">
        <f t="shared" si="106"/>
        <v>2016-17</v>
      </c>
      <c r="G1430" s="1"/>
      <c r="H1430" s="161"/>
      <c r="I1430" s="37"/>
      <c r="J1430" s="135">
        <f t="shared" si="102"/>
        <v>0.76382508261777382</v>
      </c>
      <c r="K1430" s="112"/>
      <c r="L1430" s="37">
        <v>53.843112166099999</v>
      </c>
      <c r="M1430" s="37" t="s">
        <v>288</v>
      </c>
      <c r="N1430" s="37">
        <v>812.22926829268283</v>
      </c>
      <c r="O1430" s="130">
        <f t="shared" si="103"/>
        <v>43732.951597272251</v>
      </c>
      <c r="P1430" s="132">
        <f t="shared" si="104"/>
        <v>1857.6950654524521</v>
      </c>
      <c r="Q1430" s="261">
        <v>5.5612410819495632E-2</v>
      </c>
      <c r="R1430" s="92"/>
    </row>
    <row r="1431" spans="1:18" x14ac:dyDescent="0.25">
      <c r="A1431" s="353">
        <v>42653</v>
      </c>
      <c r="B1431" s="353" t="s">
        <v>285</v>
      </c>
      <c r="C1431" s="263" t="s">
        <v>704</v>
      </c>
      <c r="D1431" s="157" t="s">
        <v>699</v>
      </c>
      <c r="E1431" s="44">
        <f t="shared" si="105"/>
        <v>42653</v>
      </c>
      <c r="F1431" s="146" t="str">
        <f t="shared" si="106"/>
        <v>2016-17</v>
      </c>
      <c r="G1431" s="1"/>
      <c r="H1431" s="161"/>
      <c r="I1431" s="37"/>
      <c r="J1431" s="135">
        <f t="shared" si="102"/>
        <v>0.76382508261777382</v>
      </c>
      <c r="K1431" s="112"/>
      <c r="L1431" s="37">
        <v>29.1564888612</v>
      </c>
      <c r="M1431" s="37" t="s">
        <v>288</v>
      </c>
      <c r="N1431" s="37">
        <v>3336.4019512195118</v>
      </c>
      <c r="O1431" s="130">
        <f t="shared" si="103"/>
        <v>97277.766327217643</v>
      </c>
      <c r="P1431" s="132">
        <f t="shared" si="104"/>
        <v>4132.1799669149359</v>
      </c>
      <c r="Q1431" s="261">
        <v>5.5612410819495632E-2</v>
      </c>
      <c r="R1431" s="92"/>
    </row>
    <row r="1432" spans="1:18" x14ac:dyDescent="0.25">
      <c r="A1432" s="353">
        <v>42653</v>
      </c>
      <c r="B1432" s="353" t="s">
        <v>285</v>
      </c>
      <c r="C1432" s="263" t="s">
        <v>704</v>
      </c>
      <c r="D1432" s="157" t="s">
        <v>699</v>
      </c>
      <c r="E1432" s="44">
        <f t="shared" si="105"/>
        <v>42653</v>
      </c>
      <c r="F1432" s="146" t="str">
        <f t="shared" si="106"/>
        <v>2016-17</v>
      </c>
      <c r="G1432" s="1"/>
      <c r="H1432" s="161"/>
      <c r="I1432" s="37"/>
      <c r="J1432" s="135">
        <f t="shared" si="102"/>
        <v>0.76382508261777382</v>
      </c>
      <c r="K1432" s="112"/>
      <c r="L1432" s="37">
        <v>20.711403670700001</v>
      </c>
      <c r="M1432" s="37" t="s">
        <v>288</v>
      </c>
      <c r="N1432" s="37">
        <v>3336.4019512195118</v>
      </c>
      <c r="O1432" s="130">
        <f t="shared" si="103"/>
        <v>69101.567619418449</v>
      </c>
      <c r="P1432" s="132">
        <f t="shared" si="104"/>
        <v>2935.3070509338636</v>
      </c>
      <c r="Q1432" s="261">
        <v>5.5612410819495632E-2</v>
      </c>
      <c r="R1432" s="92"/>
    </row>
    <row r="1433" spans="1:18" x14ac:dyDescent="0.25">
      <c r="A1433" s="353">
        <v>42653</v>
      </c>
      <c r="B1433" s="353" t="s">
        <v>285</v>
      </c>
      <c r="C1433" s="263" t="s">
        <v>704</v>
      </c>
      <c r="D1433" s="157" t="s">
        <v>699</v>
      </c>
      <c r="E1433" s="44">
        <f t="shared" si="105"/>
        <v>42653</v>
      </c>
      <c r="F1433" s="146" t="str">
        <f t="shared" si="106"/>
        <v>2016-17</v>
      </c>
      <c r="G1433" s="1"/>
      <c r="H1433" s="161"/>
      <c r="I1433" s="37"/>
      <c r="J1433" s="135">
        <f t="shared" si="102"/>
        <v>0.76382508261777382</v>
      </c>
      <c r="K1433" s="112"/>
      <c r="L1433" s="37">
        <v>4.8593165157299998</v>
      </c>
      <c r="M1433" s="37" t="s">
        <v>288</v>
      </c>
      <c r="N1433" s="37">
        <v>812.22926829268283</v>
      </c>
      <c r="O1433" s="130">
        <f t="shared" si="103"/>
        <v>3946.8790979739269</v>
      </c>
      <c r="P1433" s="132">
        <f t="shared" si="104"/>
        <v>167.65613928287689</v>
      </c>
      <c r="Q1433" s="261">
        <v>5.5612410819495632E-2</v>
      </c>
      <c r="R1433" s="92"/>
    </row>
    <row r="1434" spans="1:18" x14ac:dyDescent="0.25">
      <c r="A1434" s="353">
        <v>42653</v>
      </c>
      <c r="B1434" s="353" t="s">
        <v>285</v>
      </c>
      <c r="C1434" s="263" t="s">
        <v>704</v>
      </c>
      <c r="D1434" s="157" t="s">
        <v>699</v>
      </c>
      <c r="E1434" s="44">
        <f t="shared" si="105"/>
        <v>42653</v>
      </c>
      <c r="F1434" s="146" t="str">
        <f t="shared" si="106"/>
        <v>2016-17</v>
      </c>
      <c r="G1434" s="1"/>
      <c r="H1434" s="161"/>
      <c r="I1434" s="37"/>
      <c r="J1434" s="135">
        <f t="shared" ref="J1434:J1497" si="107">J1433</f>
        <v>0.76382508261777382</v>
      </c>
      <c r="K1434" s="112"/>
      <c r="L1434" s="37">
        <v>69.206745462599997</v>
      </c>
      <c r="M1434" s="37" t="s">
        <v>288</v>
      </c>
      <c r="N1434" s="37">
        <v>3336.4019512195118</v>
      </c>
      <c r="O1434" s="130">
        <f t="shared" ref="O1434:O1497" si="108">IF(N1434="","-",L1434*N1434)</f>
        <v>230901.52059897073</v>
      </c>
      <c r="P1434" s="132">
        <f t="shared" ref="P1434:P1497" si="109">IF(O1434="-","-",IF(OR(E1434&lt;$E$15,E1434&gt;$E$16),0,O1434*J1434))*Q1434</f>
        <v>9808.2704175157978</v>
      </c>
      <c r="Q1434" s="261">
        <v>5.5612410819495632E-2</v>
      </c>
      <c r="R1434" s="92"/>
    </row>
    <row r="1435" spans="1:18" x14ac:dyDescent="0.25">
      <c r="A1435" s="353">
        <v>42653</v>
      </c>
      <c r="B1435" s="353" t="s">
        <v>285</v>
      </c>
      <c r="C1435" s="263" t="s">
        <v>704</v>
      </c>
      <c r="D1435" s="157" t="s">
        <v>699</v>
      </c>
      <c r="E1435" s="44">
        <f t="shared" ref="E1435:E1498" si="110">IF(VALUE(A1435)&lt;2022,DATEVALUE("30 Jun "&amp;A1435),A1435)</f>
        <v>42653</v>
      </c>
      <c r="F1435" s="146" t="str">
        <f t="shared" si="106"/>
        <v>2016-17</v>
      </c>
      <c r="G1435" s="1"/>
      <c r="H1435" s="161"/>
      <c r="I1435" s="37"/>
      <c r="J1435" s="135">
        <f t="shared" si="107"/>
        <v>0.76382508261777382</v>
      </c>
      <c r="K1435" s="112"/>
      <c r="L1435" s="37">
        <v>59.332713562000002</v>
      </c>
      <c r="M1435" s="37" t="s">
        <v>288</v>
      </c>
      <c r="N1435" s="37">
        <v>3336.4019512195118</v>
      </c>
      <c r="O1435" s="130">
        <f t="shared" si="108"/>
        <v>197957.78129940521</v>
      </c>
      <c r="P1435" s="132">
        <f t="shared" si="109"/>
        <v>8408.8811766996805</v>
      </c>
      <c r="Q1435" s="261">
        <v>5.5612410819495632E-2</v>
      </c>
      <c r="R1435" s="92"/>
    </row>
    <row r="1436" spans="1:18" x14ac:dyDescent="0.25">
      <c r="A1436" s="353">
        <v>42653</v>
      </c>
      <c r="B1436" s="353" t="s">
        <v>285</v>
      </c>
      <c r="C1436" s="263" t="s">
        <v>704</v>
      </c>
      <c r="D1436" s="157" t="s">
        <v>699</v>
      </c>
      <c r="E1436" s="44">
        <f t="shared" si="110"/>
        <v>42653</v>
      </c>
      <c r="F1436" s="146" t="str">
        <f t="shared" si="106"/>
        <v>2016-17</v>
      </c>
      <c r="G1436" s="1"/>
      <c r="H1436" s="161"/>
      <c r="I1436" s="37"/>
      <c r="J1436" s="135">
        <f t="shared" si="107"/>
        <v>0.76382508261777382</v>
      </c>
      <c r="K1436" s="112"/>
      <c r="L1436" s="37">
        <v>26.7396027831</v>
      </c>
      <c r="M1436" s="37" t="s">
        <v>288</v>
      </c>
      <c r="N1436" s="37">
        <v>3336.4019512195118</v>
      </c>
      <c r="O1436" s="130">
        <f t="shared" si="108"/>
        <v>89214.062900369536</v>
      </c>
      <c r="P1436" s="132">
        <f t="shared" si="109"/>
        <v>3789.6487286103602</v>
      </c>
      <c r="Q1436" s="261">
        <v>5.5612410819495632E-2</v>
      </c>
      <c r="R1436" s="92"/>
    </row>
    <row r="1437" spans="1:18" x14ac:dyDescent="0.25">
      <c r="A1437" s="353">
        <v>42653</v>
      </c>
      <c r="B1437" s="353" t="s">
        <v>285</v>
      </c>
      <c r="C1437" s="263" t="s">
        <v>704</v>
      </c>
      <c r="D1437" s="157" t="s">
        <v>699</v>
      </c>
      <c r="E1437" s="44">
        <f t="shared" si="110"/>
        <v>42653</v>
      </c>
      <c r="F1437" s="146" t="str">
        <f t="shared" si="106"/>
        <v>2016-17</v>
      </c>
      <c r="G1437" s="1"/>
      <c r="H1437" s="161"/>
      <c r="I1437" s="37"/>
      <c r="J1437" s="135">
        <f t="shared" si="107"/>
        <v>0.76382508261777382</v>
      </c>
      <c r="K1437" s="112"/>
      <c r="L1437" s="37">
        <v>54.457674551799997</v>
      </c>
      <c r="M1437" s="37" t="s">
        <v>288</v>
      </c>
      <c r="N1437" s="37">
        <v>812.22926829268283</v>
      </c>
      <c r="O1437" s="130">
        <f t="shared" si="108"/>
        <v>44232.117154129563</v>
      </c>
      <c r="P1437" s="132">
        <f t="shared" si="109"/>
        <v>1878.8986969922796</v>
      </c>
      <c r="Q1437" s="261">
        <v>5.5612410819495632E-2</v>
      </c>
      <c r="R1437" s="92"/>
    </row>
    <row r="1438" spans="1:18" x14ac:dyDescent="0.25">
      <c r="A1438" s="353">
        <v>42653</v>
      </c>
      <c r="B1438" s="353" t="s">
        <v>285</v>
      </c>
      <c r="C1438" s="263" t="s">
        <v>704</v>
      </c>
      <c r="D1438" s="157" t="s">
        <v>699</v>
      </c>
      <c r="E1438" s="44">
        <f t="shared" si="110"/>
        <v>42653</v>
      </c>
      <c r="F1438" s="146" t="str">
        <f t="shared" si="106"/>
        <v>2016-17</v>
      </c>
      <c r="G1438" s="1"/>
      <c r="H1438" s="161"/>
      <c r="I1438" s="37"/>
      <c r="J1438" s="135">
        <f t="shared" si="107"/>
        <v>0.76382508261777382</v>
      </c>
      <c r="K1438" s="112"/>
      <c r="L1438" s="37">
        <v>62.969479181499999</v>
      </c>
      <c r="M1438" s="37" t="s">
        <v>288</v>
      </c>
      <c r="N1438" s="37">
        <v>3336.4019512195118</v>
      </c>
      <c r="O1438" s="130">
        <f t="shared" si="108"/>
        <v>210091.49320843304</v>
      </c>
      <c r="P1438" s="132">
        <f t="shared" si="109"/>
        <v>8924.2988632669076</v>
      </c>
      <c r="Q1438" s="261">
        <v>5.5612410819495632E-2</v>
      </c>
      <c r="R1438" s="92"/>
    </row>
    <row r="1439" spans="1:18" x14ac:dyDescent="0.25">
      <c r="A1439" s="353">
        <v>42653</v>
      </c>
      <c r="B1439" s="353" t="s">
        <v>285</v>
      </c>
      <c r="C1439" s="263" t="s">
        <v>704</v>
      </c>
      <c r="D1439" s="157" t="s">
        <v>699</v>
      </c>
      <c r="E1439" s="44">
        <f t="shared" si="110"/>
        <v>42653</v>
      </c>
      <c r="F1439" s="146" t="str">
        <f t="shared" si="106"/>
        <v>2016-17</v>
      </c>
      <c r="G1439" s="1"/>
      <c r="H1439" s="161"/>
      <c r="I1439" s="37"/>
      <c r="J1439" s="135">
        <f t="shared" si="107"/>
        <v>0.76382508261777382</v>
      </c>
      <c r="K1439" s="112"/>
      <c r="L1439" s="37">
        <v>60.961061936299998</v>
      </c>
      <c r="M1439" s="37" t="s">
        <v>288</v>
      </c>
      <c r="N1439" s="37">
        <v>812.22926829268283</v>
      </c>
      <c r="O1439" s="130">
        <f t="shared" si="108"/>
        <v>49514.358730865868</v>
      </c>
      <c r="P1439" s="132">
        <f t="shared" si="109"/>
        <v>2103.2785696794654</v>
      </c>
      <c r="Q1439" s="261">
        <v>5.5612410819495632E-2</v>
      </c>
      <c r="R1439" s="92"/>
    </row>
    <row r="1440" spans="1:18" x14ac:dyDescent="0.25">
      <c r="A1440" s="353">
        <v>42653</v>
      </c>
      <c r="B1440" s="353" t="s">
        <v>285</v>
      </c>
      <c r="C1440" s="263" t="s">
        <v>704</v>
      </c>
      <c r="D1440" s="157" t="s">
        <v>699</v>
      </c>
      <c r="E1440" s="44">
        <f t="shared" si="110"/>
        <v>42653</v>
      </c>
      <c r="F1440" s="146" t="str">
        <f t="shared" si="106"/>
        <v>2016-17</v>
      </c>
      <c r="G1440" s="1"/>
      <c r="H1440" s="161"/>
      <c r="I1440" s="37"/>
      <c r="J1440" s="135">
        <f t="shared" si="107"/>
        <v>0.76382508261777382</v>
      </c>
      <c r="K1440" s="112"/>
      <c r="L1440" s="37">
        <v>56.961220560900003</v>
      </c>
      <c r="M1440" s="37" t="s">
        <v>288</v>
      </c>
      <c r="N1440" s="37">
        <v>812.22926829268283</v>
      </c>
      <c r="O1440" s="130">
        <f t="shared" si="108"/>
        <v>46265.570497237932</v>
      </c>
      <c r="P1440" s="132">
        <f t="shared" si="109"/>
        <v>1965.2760418398618</v>
      </c>
      <c r="Q1440" s="261">
        <v>5.5612410819495632E-2</v>
      </c>
      <c r="R1440" s="92"/>
    </row>
    <row r="1441" spans="1:18" x14ac:dyDescent="0.25">
      <c r="A1441" s="353">
        <v>42653</v>
      </c>
      <c r="B1441" s="353" t="s">
        <v>285</v>
      </c>
      <c r="C1441" s="263" t="s">
        <v>704</v>
      </c>
      <c r="D1441" s="157" t="s">
        <v>699</v>
      </c>
      <c r="E1441" s="44">
        <f t="shared" si="110"/>
        <v>42653</v>
      </c>
      <c r="F1441" s="146" t="str">
        <f t="shared" si="106"/>
        <v>2016-17</v>
      </c>
      <c r="G1441" s="1"/>
      <c r="H1441" s="161"/>
      <c r="I1441" s="37"/>
      <c r="J1441" s="135">
        <f t="shared" si="107"/>
        <v>0.76382508261777382</v>
      </c>
      <c r="K1441" s="112"/>
      <c r="L1441" s="37">
        <v>109.76835555</v>
      </c>
      <c r="M1441" s="37" t="s">
        <v>288</v>
      </c>
      <c r="N1441" s="37">
        <v>812.22926829268283</v>
      </c>
      <c r="O1441" s="130">
        <f t="shared" si="108"/>
        <v>89157.07111006754</v>
      </c>
      <c r="P1441" s="132">
        <f t="shared" si="109"/>
        <v>3787.227822548718</v>
      </c>
      <c r="Q1441" s="261">
        <v>5.5612410819495632E-2</v>
      </c>
      <c r="R1441" s="92"/>
    </row>
    <row r="1442" spans="1:18" x14ac:dyDescent="0.25">
      <c r="A1442" s="353">
        <v>42653</v>
      </c>
      <c r="B1442" s="353" t="s">
        <v>285</v>
      </c>
      <c r="C1442" s="263" t="s">
        <v>704</v>
      </c>
      <c r="D1442" s="157" t="s">
        <v>699</v>
      </c>
      <c r="E1442" s="44">
        <f t="shared" si="110"/>
        <v>42653</v>
      </c>
      <c r="F1442" s="146" t="str">
        <f t="shared" si="106"/>
        <v>2016-17</v>
      </c>
      <c r="G1442" s="1"/>
      <c r="H1442" s="161"/>
      <c r="I1442" s="37"/>
      <c r="J1442" s="135">
        <f t="shared" si="107"/>
        <v>0.76382508261777382</v>
      </c>
      <c r="K1442" s="112"/>
      <c r="L1442" s="37">
        <v>54.973389523599998</v>
      </c>
      <c r="M1442" s="37" t="s">
        <v>288</v>
      </c>
      <c r="N1442" s="37">
        <v>812.22926829268283</v>
      </c>
      <c r="O1442" s="130">
        <f t="shared" si="108"/>
        <v>44650.995948322263</v>
      </c>
      <c r="P1442" s="132">
        <f t="shared" si="109"/>
        <v>1896.6918950402928</v>
      </c>
      <c r="Q1442" s="261">
        <v>5.5612410819495632E-2</v>
      </c>
      <c r="R1442" s="92"/>
    </row>
    <row r="1443" spans="1:18" x14ac:dyDescent="0.25">
      <c r="A1443" s="353">
        <v>42653</v>
      </c>
      <c r="B1443" s="353" t="s">
        <v>285</v>
      </c>
      <c r="C1443" s="263" t="s">
        <v>704</v>
      </c>
      <c r="D1443" s="157" t="s">
        <v>699</v>
      </c>
      <c r="E1443" s="44">
        <f t="shared" si="110"/>
        <v>42653</v>
      </c>
      <c r="F1443" s="146" t="str">
        <f t="shared" si="106"/>
        <v>2016-17</v>
      </c>
      <c r="G1443" s="1"/>
      <c r="H1443" s="161"/>
      <c r="I1443" s="37"/>
      <c r="J1443" s="135">
        <f t="shared" si="107"/>
        <v>0.76382508261777382</v>
      </c>
      <c r="K1443" s="112"/>
      <c r="L1443" s="37">
        <v>26.690726367</v>
      </c>
      <c r="M1443" s="37" t="s">
        <v>288</v>
      </c>
      <c r="N1443" s="37">
        <v>3336.4019512195118</v>
      </c>
      <c r="O1443" s="130">
        <f t="shared" si="108"/>
        <v>89050.991530324871</v>
      </c>
      <c r="P1443" s="132">
        <f t="shared" si="109"/>
        <v>3782.7217577935203</v>
      </c>
      <c r="Q1443" s="261">
        <v>5.5612410819495632E-2</v>
      </c>
      <c r="R1443" s="92"/>
    </row>
    <row r="1444" spans="1:18" x14ac:dyDescent="0.25">
      <c r="A1444" s="353">
        <v>42653</v>
      </c>
      <c r="B1444" s="353" t="s">
        <v>285</v>
      </c>
      <c r="C1444" s="263" t="s">
        <v>704</v>
      </c>
      <c r="D1444" s="157" t="s">
        <v>699</v>
      </c>
      <c r="E1444" s="44">
        <f t="shared" si="110"/>
        <v>42653</v>
      </c>
      <c r="F1444" s="146" t="str">
        <f t="shared" si="106"/>
        <v>2016-17</v>
      </c>
      <c r="G1444" s="1"/>
      <c r="H1444" s="161"/>
      <c r="I1444" s="37"/>
      <c r="J1444" s="135">
        <f t="shared" si="107"/>
        <v>0.76382508261777382</v>
      </c>
      <c r="K1444" s="112"/>
      <c r="L1444" s="37">
        <v>40.659936965500002</v>
      </c>
      <c r="M1444" s="37" t="s">
        <v>288</v>
      </c>
      <c r="N1444" s="37">
        <v>812.22926829268283</v>
      </c>
      <c r="O1444" s="130">
        <f t="shared" si="108"/>
        <v>33025.19085031467</v>
      </c>
      <c r="P1444" s="132">
        <f t="shared" si="109"/>
        <v>1402.8491523559014</v>
      </c>
      <c r="Q1444" s="261">
        <v>5.5612410819495632E-2</v>
      </c>
      <c r="R1444" s="92"/>
    </row>
    <row r="1445" spans="1:18" x14ac:dyDescent="0.25">
      <c r="A1445" s="353">
        <v>42653</v>
      </c>
      <c r="B1445" s="353" t="s">
        <v>285</v>
      </c>
      <c r="C1445" s="263" t="s">
        <v>704</v>
      </c>
      <c r="D1445" s="157" t="s">
        <v>699</v>
      </c>
      <c r="E1445" s="44">
        <f t="shared" si="110"/>
        <v>42653</v>
      </c>
      <c r="F1445" s="146" t="str">
        <f t="shared" si="106"/>
        <v>2016-17</v>
      </c>
      <c r="G1445" s="1"/>
      <c r="H1445" s="161"/>
      <c r="I1445" s="37"/>
      <c r="J1445" s="135">
        <f t="shared" si="107"/>
        <v>0.76382508261777382</v>
      </c>
      <c r="K1445" s="112"/>
      <c r="L1445" s="37">
        <v>38.564042199399999</v>
      </c>
      <c r="M1445" s="37" t="s">
        <v>288</v>
      </c>
      <c r="N1445" s="37">
        <v>812.22926829268283</v>
      </c>
      <c r="O1445" s="130">
        <f t="shared" si="108"/>
        <v>31322.843778026803</v>
      </c>
      <c r="P1445" s="132">
        <f t="shared" si="109"/>
        <v>1330.5365907662133</v>
      </c>
      <c r="Q1445" s="261">
        <v>5.5612410819495632E-2</v>
      </c>
      <c r="R1445" s="92"/>
    </row>
    <row r="1446" spans="1:18" x14ac:dyDescent="0.25">
      <c r="A1446" s="353">
        <v>42653</v>
      </c>
      <c r="B1446" s="353" t="s">
        <v>285</v>
      </c>
      <c r="C1446" s="263" t="s">
        <v>704</v>
      </c>
      <c r="D1446" s="157" t="s">
        <v>699</v>
      </c>
      <c r="E1446" s="44">
        <f t="shared" si="110"/>
        <v>42653</v>
      </c>
      <c r="F1446" s="146" t="str">
        <f t="shared" si="106"/>
        <v>2016-17</v>
      </c>
      <c r="G1446" s="1"/>
      <c r="H1446" s="161"/>
      <c r="I1446" s="37"/>
      <c r="J1446" s="135">
        <f t="shared" si="107"/>
        <v>0.76382508261777382</v>
      </c>
      <c r="K1446" s="112"/>
      <c r="L1446" s="37">
        <v>74.881416403399996</v>
      </c>
      <c r="M1446" s="37" t="s">
        <v>288</v>
      </c>
      <c r="N1446" s="37">
        <v>3875.3912195121943</v>
      </c>
      <c r="O1446" s="130">
        <f t="shared" si="108"/>
        <v>290194.78363437275</v>
      </c>
      <c r="P1446" s="132">
        <f t="shared" si="109"/>
        <v>12326.938793018515</v>
      </c>
      <c r="Q1446" s="261">
        <v>5.5612410819495632E-2</v>
      </c>
      <c r="R1446" s="92"/>
    </row>
    <row r="1447" spans="1:18" x14ac:dyDescent="0.25">
      <c r="A1447" s="353">
        <v>42653</v>
      </c>
      <c r="B1447" s="353" t="s">
        <v>285</v>
      </c>
      <c r="C1447" s="263" t="s">
        <v>704</v>
      </c>
      <c r="D1447" s="157" t="s">
        <v>699</v>
      </c>
      <c r="E1447" s="44">
        <f t="shared" si="110"/>
        <v>42653</v>
      </c>
      <c r="F1447" s="146" t="str">
        <f t="shared" si="106"/>
        <v>2016-17</v>
      </c>
      <c r="G1447" s="1"/>
      <c r="H1447" s="161"/>
      <c r="I1447" s="37"/>
      <c r="J1447" s="135">
        <f t="shared" si="107"/>
        <v>0.76382508261777382</v>
      </c>
      <c r="K1447" s="112"/>
      <c r="L1447" s="37">
        <v>26.341041206</v>
      </c>
      <c r="M1447" s="37" t="s">
        <v>288</v>
      </c>
      <c r="N1447" s="37">
        <v>3875.3912195121943</v>
      </c>
      <c r="O1447" s="130">
        <f t="shared" si="108"/>
        <v>102081.8398025413</v>
      </c>
      <c r="P1447" s="132">
        <f t="shared" si="109"/>
        <v>4336.2481412143452</v>
      </c>
      <c r="Q1447" s="261">
        <v>5.5612410819495632E-2</v>
      </c>
      <c r="R1447" s="92"/>
    </row>
    <row r="1448" spans="1:18" x14ac:dyDescent="0.25">
      <c r="A1448" s="353">
        <v>42653</v>
      </c>
      <c r="B1448" s="353" t="s">
        <v>285</v>
      </c>
      <c r="C1448" s="263" t="s">
        <v>704</v>
      </c>
      <c r="D1448" s="157" t="s">
        <v>699</v>
      </c>
      <c r="E1448" s="44">
        <f t="shared" si="110"/>
        <v>42653</v>
      </c>
      <c r="F1448" s="146" t="str">
        <f t="shared" si="106"/>
        <v>2016-17</v>
      </c>
      <c r="G1448" s="1"/>
      <c r="H1448" s="161"/>
      <c r="I1448" s="37"/>
      <c r="J1448" s="135">
        <f t="shared" si="107"/>
        <v>0.76382508261777382</v>
      </c>
      <c r="K1448" s="112"/>
      <c r="L1448" s="37">
        <v>82.459955467300006</v>
      </c>
      <c r="M1448" s="37" t="s">
        <v>288</v>
      </c>
      <c r="N1448" s="37">
        <v>1162.6195121951216</v>
      </c>
      <c r="O1448" s="130">
        <f t="shared" si="108"/>
        <v>95869.55320102378</v>
      </c>
      <c r="P1448" s="132">
        <f t="shared" si="109"/>
        <v>4072.361672468995</v>
      </c>
      <c r="Q1448" s="261">
        <v>5.5612410819495632E-2</v>
      </c>
      <c r="R1448" s="92"/>
    </row>
    <row r="1449" spans="1:18" x14ac:dyDescent="0.25">
      <c r="A1449" s="353">
        <v>42653</v>
      </c>
      <c r="B1449" s="353" t="s">
        <v>285</v>
      </c>
      <c r="C1449" s="263" t="s">
        <v>704</v>
      </c>
      <c r="D1449" s="157" t="s">
        <v>699</v>
      </c>
      <c r="E1449" s="44">
        <f t="shared" si="110"/>
        <v>42653</v>
      </c>
      <c r="F1449" s="146" t="str">
        <f t="shared" si="106"/>
        <v>2016-17</v>
      </c>
      <c r="G1449" s="1"/>
      <c r="H1449" s="161"/>
      <c r="I1449" s="37"/>
      <c r="J1449" s="135">
        <f t="shared" si="107"/>
        <v>0.76382508261777382</v>
      </c>
      <c r="K1449" s="112"/>
      <c r="L1449" s="37">
        <v>26.894289135600001</v>
      </c>
      <c r="M1449" s="37" t="s">
        <v>288</v>
      </c>
      <c r="N1449" s="37">
        <v>812.22926829268283</v>
      </c>
      <c r="O1449" s="130">
        <f t="shared" si="108"/>
        <v>21844.328785860238</v>
      </c>
      <c r="P1449" s="132">
        <f t="shared" si="109"/>
        <v>927.90676850049658</v>
      </c>
      <c r="Q1449" s="261">
        <v>5.5612410819495632E-2</v>
      </c>
      <c r="R1449" s="92"/>
    </row>
    <row r="1450" spans="1:18" x14ac:dyDescent="0.25">
      <c r="A1450" s="353">
        <v>42653</v>
      </c>
      <c r="B1450" s="353" t="s">
        <v>285</v>
      </c>
      <c r="C1450" s="263" t="s">
        <v>704</v>
      </c>
      <c r="D1450" s="157" t="s">
        <v>699</v>
      </c>
      <c r="E1450" s="44">
        <f t="shared" si="110"/>
        <v>42653</v>
      </c>
      <c r="F1450" s="146" t="str">
        <f t="shared" si="106"/>
        <v>2016-17</v>
      </c>
      <c r="G1450" s="1"/>
      <c r="H1450" s="161"/>
      <c r="I1450" s="37"/>
      <c r="J1450" s="135">
        <f t="shared" si="107"/>
        <v>0.76382508261777382</v>
      </c>
      <c r="K1450" s="112"/>
      <c r="L1450" s="37">
        <v>26.197280581000001</v>
      </c>
      <c r="M1450" s="37" t="s">
        <v>288</v>
      </c>
      <c r="N1450" s="37">
        <v>812.22926829268283</v>
      </c>
      <c r="O1450" s="130">
        <f t="shared" si="108"/>
        <v>21278.198037563739</v>
      </c>
      <c r="P1450" s="132">
        <f t="shared" si="109"/>
        <v>903.85857922673824</v>
      </c>
      <c r="Q1450" s="261">
        <v>5.5612410819495632E-2</v>
      </c>
      <c r="R1450" s="92"/>
    </row>
    <row r="1451" spans="1:18" x14ac:dyDescent="0.25">
      <c r="A1451" s="353">
        <v>42653</v>
      </c>
      <c r="B1451" s="353" t="s">
        <v>285</v>
      </c>
      <c r="C1451" s="263" t="s">
        <v>704</v>
      </c>
      <c r="D1451" s="157" t="s">
        <v>699</v>
      </c>
      <c r="E1451" s="44">
        <f t="shared" si="110"/>
        <v>42653</v>
      </c>
      <c r="F1451" s="146" t="str">
        <f t="shared" si="106"/>
        <v>2016-17</v>
      </c>
      <c r="G1451" s="1"/>
      <c r="H1451" s="161"/>
      <c r="I1451" s="37"/>
      <c r="J1451" s="135">
        <f t="shared" si="107"/>
        <v>0.76382508261777382</v>
      </c>
      <c r="K1451" s="112"/>
      <c r="L1451" s="37">
        <v>28.0012617573</v>
      </c>
      <c r="M1451" s="37" t="s">
        <v>288</v>
      </c>
      <c r="N1451" s="37">
        <v>3336.4019512195118</v>
      </c>
      <c r="O1451" s="130">
        <f t="shared" si="108"/>
        <v>93423.46436366401</v>
      </c>
      <c r="P1451" s="132">
        <f t="shared" si="109"/>
        <v>3968.4563334315771</v>
      </c>
      <c r="Q1451" s="261">
        <v>5.5612410819495632E-2</v>
      </c>
      <c r="R1451" s="92"/>
    </row>
    <row r="1452" spans="1:18" x14ac:dyDescent="0.25">
      <c r="A1452" s="353">
        <v>42653</v>
      </c>
      <c r="B1452" s="353" t="s">
        <v>285</v>
      </c>
      <c r="C1452" s="263" t="s">
        <v>704</v>
      </c>
      <c r="D1452" s="157" t="s">
        <v>699</v>
      </c>
      <c r="E1452" s="44">
        <f t="shared" si="110"/>
        <v>42653</v>
      </c>
      <c r="F1452" s="146" t="str">
        <f t="shared" si="106"/>
        <v>2016-17</v>
      </c>
      <c r="G1452" s="1"/>
      <c r="H1452" s="161"/>
      <c r="I1452" s="37"/>
      <c r="J1452" s="135">
        <f t="shared" si="107"/>
        <v>0.76382508261777382</v>
      </c>
      <c r="K1452" s="112"/>
      <c r="L1452" s="37">
        <v>51.348566596600001</v>
      </c>
      <c r="M1452" s="37" t="s">
        <v>288</v>
      </c>
      <c r="N1452" s="37">
        <v>812.22926829268283</v>
      </c>
      <c r="O1452" s="130">
        <f t="shared" si="108"/>
        <v>41706.808674634514</v>
      </c>
      <c r="P1452" s="132">
        <f t="shared" si="109"/>
        <v>1771.6282537735374</v>
      </c>
      <c r="Q1452" s="261">
        <v>5.5612410819495632E-2</v>
      </c>
      <c r="R1452" s="92"/>
    </row>
    <row r="1453" spans="1:18" x14ac:dyDescent="0.25">
      <c r="A1453" s="353">
        <v>42653</v>
      </c>
      <c r="B1453" s="353" t="s">
        <v>285</v>
      </c>
      <c r="C1453" s="263" t="s">
        <v>704</v>
      </c>
      <c r="D1453" s="157" t="s">
        <v>699</v>
      </c>
      <c r="E1453" s="44">
        <f t="shared" si="110"/>
        <v>42653</v>
      </c>
      <c r="F1453" s="146" t="str">
        <f t="shared" si="106"/>
        <v>2016-17</v>
      </c>
      <c r="G1453" s="1"/>
      <c r="H1453" s="161"/>
      <c r="I1453" s="37"/>
      <c r="J1453" s="135">
        <f t="shared" si="107"/>
        <v>0.76382508261777382</v>
      </c>
      <c r="K1453" s="112"/>
      <c r="L1453" s="37">
        <v>13.4768982115</v>
      </c>
      <c r="M1453" s="37" t="s">
        <v>288</v>
      </c>
      <c r="N1453" s="37">
        <v>812.22926829268283</v>
      </c>
      <c r="O1453" s="130">
        <f t="shared" si="108"/>
        <v>10946.33117318161</v>
      </c>
      <c r="P1453" s="132">
        <f t="shared" si="109"/>
        <v>464.97994447043408</v>
      </c>
      <c r="Q1453" s="261">
        <v>5.5612410819495632E-2</v>
      </c>
      <c r="R1453" s="92"/>
    </row>
    <row r="1454" spans="1:18" x14ac:dyDescent="0.25">
      <c r="A1454" s="353">
        <v>42653</v>
      </c>
      <c r="B1454" s="353" t="s">
        <v>285</v>
      </c>
      <c r="C1454" s="263" t="s">
        <v>704</v>
      </c>
      <c r="D1454" s="157" t="s">
        <v>699</v>
      </c>
      <c r="E1454" s="44">
        <f t="shared" si="110"/>
        <v>42653</v>
      </c>
      <c r="F1454" s="146" t="str">
        <f t="shared" si="106"/>
        <v>2016-17</v>
      </c>
      <c r="G1454" s="1"/>
      <c r="H1454" s="161"/>
      <c r="I1454" s="37"/>
      <c r="J1454" s="135">
        <f t="shared" si="107"/>
        <v>0.76382508261777382</v>
      </c>
      <c r="K1454" s="112"/>
      <c r="L1454" s="37">
        <v>5.2342869619499997</v>
      </c>
      <c r="M1454" s="37" t="s">
        <v>288</v>
      </c>
      <c r="N1454" s="37">
        <v>812.22926829268283</v>
      </c>
      <c r="O1454" s="130">
        <f t="shared" si="108"/>
        <v>4251.4410691385783</v>
      </c>
      <c r="P1454" s="132">
        <f t="shared" si="109"/>
        <v>180.59336968450236</v>
      </c>
      <c r="Q1454" s="261">
        <v>5.5612410819495632E-2</v>
      </c>
      <c r="R1454" s="92"/>
    </row>
    <row r="1455" spans="1:18" x14ac:dyDescent="0.25">
      <c r="A1455" s="353">
        <v>42653</v>
      </c>
      <c r="B1455" s="353" t="s">
        <v>285</v>
      </c>
      <c r="C1455" s="263" t="s">
        <v>704</v>
      </c>
      <c r="D1455" s="157" t="s">
        <v>699</v>
      </c>
      <c r="E1455" s="44">
        <f t="shared" si="110"/>
        <v>42653</v>
      </c>
      <c r="F1455" s="146" t="str">
        <f t="shared" si="106"/>
        <v>2016-17</v>
      </c>
      <c r="G1455" s="1"/>
      <c r="H1455" s="161"/>
      <c r="I1455" s="37"/>
      <c r="J1455" s="135">
        <f t="shared" si="107"/>
        <v>0.76382508261777382</v>
      </c>
      <c r="K1455" s="112"/>
      <c r="L1455" s="37">
        <v>27.284779957000001</v>
      </c>
      <c r="M1455" s="37" t="s">
        <v>288</v>
      </c>
      <c r="N1455" s="37">
        <v>3875.3912195121943</v>
      </c>
      <c r="O1455" s="130">
        <f t="shared" si="108"/>
        <v>105739.19667168011</v>
      </c>
      <c r="P1455" s="132">
        <f t="shared" si="109"/>
        <v>4491.6059105907343</v>
      </c>
      <c r="Q1455" s="261">
        <v>5.5612410819495632E-2</v>
      </c>
      <c r="R1455" s="92"/>
    </row>
    <row r="1456" spans="1:18" x14ac:dyDescent="0.25">
      <c r="A1456" s="353">
        <v>42653</v>
      </c>
      <c r="B1456" s="353" t="s">
        <v>285</v>
      </c>
      <c r="C1456" s="263" t="s">
        <v>704</v>
      </c>
      <c r="D1456" s="157" t="s">
        <v>699</v>
      </c>
      <c r="E1456" s="44">
        <f t="shared" si="110"/>
        <v>42653</v>
      </c>
      <c r="F1456" s="146" t="str">
        <f t="shared" si="106"/>
        <v>2016-17</v>
      </c>
      <c r="G1456" s="1"/>
      <c r="H1456" s="161"/>
      <c r="I1456" s="37"/>
      <c r="J1456" s="135">
        <f t="shared" si="107"/>
        <v>0.76382508261777382</v>
      </c>
      <c r="K1456" s="112"/>
      <c r="L1456" s="37">
        <v>21.5687018896</v>
      </c>
      <c r="M1456" s="37" t="s">
        <v>288</v>
      </c>
      <c r="N1456" s="37">
        <v>1162.6195121951216</v>
      </c>
      <c r="O1456" s="130">
        <f t="shared" si="108"/>
        <v>25076.193669568751</v>
      </c>
      <c r="P1456" s="132">
        <f t="shared" si="109"/>
        <v>1065.19042367114</v>
      </c>
      <c r="Q1456" s="261">
        <v>5.5612410819495632E-2</v>
      </c>
      <c r="R1456" s="92"/>
    </row>
    <row r="1457" spans="1:18" x14ac:dyDescent="0.25">
      <c r="A1457" s="353">
        <v>42653</v>
      </c>
      <c r="B1457" s="353" t="s">
        <v>285</v>
      </c>
      <c r="C1457" s="263" t="s">
        <v>704</v>
      </c>
      <c r="D1457" s="157" t="s">
        <v>699</v>
      </c>
      <c r="E1457" s="44">
        <f t="shared" si="110"/>
        <v>42653</v>
      </c>
      <c r="F1457" s="146" t="str">
        <f t="shared" si="106"/>
        <v>2016-17</v>
      </c>
      <c r="G1457" s="1"/>
      <c r="H1457" s="161"/>
      <c r="I1457" s="37"/>
      <c r="J1457" s="135">
        <f t="shared" si="107"/>
        <v>0.76382508261777382</v>
      </c>
      <c r="K1457" s="112"/>
      <c r="L1457" s="37">
        <v>2.7407247216699999</v>
      </c>
      <c r="M1457" s="37" t="s">
        <v>288</v>
      </c>
      <c r="N1457" s="37">
        <v>812.22926829268283</v>
      </c>
      <c r="O1457" s="130">
        <f t="shared" si="108"/>
        <v>2226.0968352736909</v>
      </c>
      <c r="P1457" s="132">
        <f t="shared" si="109"/>
        <v>94.560484830509196</v>
      </c>
      <c r="Q1457" s="261">
        <v>5.5612410819495632E-2</v>
      </c>
      <c r="R1457" s="92"/>
    </row>
    <row r="1458" spans="1:18" x14ac:dyDescent="0.25">
      <c r="A1458" s="353">
        <v>42653</v>
      </c>
      <c r="B1458" s="353" t="s">
        <v>285</v>
      </c>
      <c r="C1458" s="263" t="s">
        <v>704</v>
      </c>
      <c r="D1458" s="157" t="s">
        <v>699</v>
      </c>
      <c r="E1458" s="44">
        <f t="shared" si="110"/>
        <v>42653</v>
      </c>
      <c r="F1458" s="146" t="str">
        <f t="shared" si="106"/>
        <v>2016-17</v>
      </c>
      <c r="G1458" s="1"/>
      <c r="H1458" s="161"/>
      <c r="I1458" s="37"/>
      <c r="J1458" s="135">
        <f t="shared" si="107"/>
        <v>0.76382508261777382</v>
      </c>
      <c r="K1458" s="112"/>
      <c r="L1458" s="37">
        <v>6.2600978426899996</v>
      </c>
      <c r="M1458" s="37" t="s">
        <v>288</v>
      </c>
      <c r="N1458" s="37">
        <v>812.22926829268283</v>
      </c>
      <c r="O1458" s="130">
        <f t="shared" si="108"/>
        <v>5084.6346902087007</v>
      </c>
      <c r="P1458" s="132">
        <f t="shared" si="109"/>
        <v>215.98589687274199</v>
      </c>
      <c r="Q1458" s="261">
        <v>5.5612410819495632E-2</v>
      </c>
      <c r="R1458" s="92"/>
    </row>
    <row r="1459" spans="1:18" x14ac:dyDescent="0.25">
      <c r="A1459" s="353">
        <v>42653</v>
      </c>
      <c r="B1459" s="353" t="s">
        <v>285</v>
      </c>
      <c r="C1459" s="263" t="s">
        <v>704</v>
      </c>
      <c r="D1459" s="157" t="s">
        <v>699</v>
      </c>
      <c r="E1459" s="44">
        <f t="shared" si="110"/>
        <v>42653</v>
      </c>
      <c r="F1459" s="146" t="str">
        <f t="shared" si="106"/>
        <v>2016-17</v>
      </c>
      <c r="G1459" s="1"/>
      <c r="H1459" s="161"/>
      <c r="I1459" s="37"/>
      <c r="J1459" s="135">
        <f t="shared" si="107"/>
        <v>0.76382508261777382</v>
      </c>
      <c r="K1459" s="112"/>
      <c r="L1459" s="37">
        <v>40.008392782599998</v>
      </c>
      <c r="M1459" s="37" t="s">
        <v>288</v>
      </c>
      <c r="N1459" s="37">
        <v>3875.3912195121943</v>
      </c>
      <c r="O1459" s="130">
        <f t="shared" si="108"/>
        <v>155048.17409648307</v>
      </c>
      <c r="P1459" s="132">
        <f t="shared" si="109"/>
        <v>6586.1602614632284</v>
      </c>
      <c r="Q1459" s="261">
        <v>5.5612410819495632E-2</v>
      </c>
      <c r="R1459" s="92"/>
    </row>
    <row r="1460" spans="1:18" x14ac:dyDescent="0.25">
      <c r="A1460" s="353">
        <v>42653</v>
      </c>
      <c r="B1460" s="353" t="s">
        <v>285</v>
      </c>
      <c r="C1460" s="263" t="s">
        <v>704</v>
      </c>
      <c r="D1460" s="157" t="s">
        <v>699</v>
      </c>
      <c r="E1460" s="44">
        <f t="shared" si="110"/>
        <v>42653</v>
      </c>
      <c r="F1460" s="146" t="str">
        <f t="shared" si="106"/>
        <v>2016-17</v>
      </c>
      <c r="G1460" s="1"/>
      <c r="H1460" s="161"/>
      <c r="I1460" s="37"/>
      <c r="J1460" s="135">
        <f t="shared" si="107"/>
        <v>0.76382508261777382</v>
      </c>
      <c r="K1460" s="112"/>
      <c r="L1460" s="37">
        <v>4.5152400822100001</v>
      </c>
      <c r="M1460" s="37" t="s">
        <v>288</v>
      </c>
      <c r="N1460" s="37">
        <v>812.22926829268283</v>
      </c>
      <c r="O1460" s="130">
        <f t="shared" si="108"/>
        <v>3667.4101481392213</v>
      </c>
      <c r="P1460" s="132">
        <f t="shared" si="109"/>
        <v>155.7848141128764</v>
      </c>
      <c r="Q1460" s="261">
        <v>5.5612410819495632E-2</v>
      </c>
      <c r="R1460" s="92"/>
    </row>
    <row r="1461" spans="1:18" x14ac:dyDescent="0.25">
      <c r="A1461" s="353">
        <v>42653</v>
      </c>
      <c r="B1461" s="353" t="s">
        <v>285</v>
      </c>
      <c r="C1461" s="263" t="s">
        <v>704</v>
      </c>
      <c r="D1461" s="157" t="s">
        <v>699</v>
      </c>
      <c r="E1461" s="44">
        <f t="shared" si="110"/>
        <v>42653</v>
      </c>
      <c r="F1461" s="146" t="str">
        <f t="shared" si="106"/>
        <v>2016-17</v>
      </c>
      <c r="G1461" s="1"/>
      <c r="H1461" s="161"/>
      <c r="I1461" s="37"/>
      <c r="J1461" s="135">
        <f t="shared" si="107"/>
        <v>0.76382508261777382</v>
      </c>
      <c r="K1461" s="112"/>
      <c r="L1461" s="37">
        <v>49.469479357499999</v>
      </c>
      <c r="M1461" s="37" t="s">
        <v>288</v>
      </c>
      <c r="N1461" s="37">
        <v>3336.4019512195118</v>
      </c>
      <c r="O1461" s="130">
        <f t="shared" si="108"/>
        <v>165050.06745417637</v>
      </c>
      <c r="P1461" s="132">
        <f t="shared" si="109"/>
        <v>7011.0222306911974</v>
      </c>
      <c r="Q1461" s="261">
        <v>5.5612410819495632E-2</v>
      </c>
      <c r="R1461" s="92"/>
    </row>
    <row r="1462" spans="1:18" x14ac:dyDescent="0.25">
      <c r="A1462" s="353">
        <v>42653</v>
      </c>
      <c r="B1462" s="353" t="s">
        <v>285</v>
      </c>
      <c r="C1462" s="263" t="s">
        <v>704</v>
      </c>
      <c r="D1462" s="157" t="s">
        <v>699</v>
      </c>
      <c r="E1462" s="44">
        <f t="shared" si="110"/>
        <v>42653</v>
      </c>
      <c r="F1462" s="146" t="str">
        <f t="shared" si="106"/>
        <v>2016-17</v>
      </c>
      <c r="G1462" s="1"/>
      <c r="H1462" s="161"/>
      <c r="I1462" s="37"/>
      <c r="J1462" s="135">
        <f t="shared" si="107"/>
        <v>0.76382508261777382</v>
      </c>
      <c r="K1462" s="112"/>
      <c r="L1462" s="37">
        <v>22.565138709999999</v>
      </c>
      <c r="M1462" s="37" t="s">
        <v>288</v>
      </c>
      <c r="N1462" s="37">
        <v>3336.4019512195118</v>
      </c>
      <c r="O1462" s="130">
        <f t="shared" si="108"/>
        <v>75286.372821582932</v>
      </c>
      <c r="P1462" s="132">
        <f t="shared" si="109"/>
        <v>3198.0261605574237</v>
      </c>
      <c r="Q1462" s="261">
        <v>5.5612410819495632E-2</v>
      </c>
      <c r="R1462" s="92"/>
    </row>
    <row r="1463" spans="1:18" x14ac:dyDescent="0.25">
      <c r="A1463" s="353">
        <v>42653</v>
      </c>
      <c r="B1463" s="353" t="s">
        <v>285</v>
      </c>
      <c r="C1463" s="263" t="s">
        <v>704</v>
      </c>
      <c r="D1463" s="157" t="s">
        <v>699</v>
      </c>
      <c r="E1463" s="44">
        <f t="shared" si="110"/>
        <v>42653</v>
      </c>
      <c r="F1463" s="146" t="str">
        <f t="shared" si="106"/>
        <v>2016-17</v>
      </c>
      <c r="G1463" s="1"/>
      <c r="H1463" s="161"/>
      <c r="I1463" s="37"/>
      <c r="J1463" s="135">
        <f t="shared" si="107"/>
        <v>0.76382508261777382</v>
      </c>
      <c r="K1463" s="112"/>
      <c r="L1463" s="37">
        <v>25.035477386499998</v>
      </c>
      <c r="M1463" s="37" t="s">
        <v>288</v>
      </c>
      <c r="N1463" s="37">
        <v>3336.4019512195118</v>
      </c>
      <c r="O1463" s="130">
        <f t="shared" si="108"/>
        <v>83528.415602030553</v>
      </c>
      <c r="P1463" s="132">
        <f t="shared" si="109"/>
        <v>3548.1329254399607</v>
      </c>
      <c r="Q1463" s="261">
        <v>5.5612410819495632E-2</v>
      </c>
      <c r="R1463" s="92"/>
    </row>
    <row r="1464" spans="1:18" x14ac:dyDescent="0.25">
      <c r="A1464" s="353">
        <v>42653</v>
      </c>
      <c r="B1464" s="353" t="s">
        <v>285</v>
      </c>
      <c r="C1464" s="263" t="s">
        <v>704</v>
      </c>
      <c r="D1464" s="157" t="s">
        <v>699</v>
      </c>
      <c r="E1464" s="44">
        <f t="shared" si="110"/>
        <v>42653</v>
      </c>
      <c r="F1464" s="146" t="str">
        <f t="shared" si="106"/>
        <v>2016-17</v>
      </c>
      <c r="G1464" s="1"/>
      <c r="H1464" s="161"/>
      <c r="I1464" s="37"/>
      <c r="J1464" s="135">
        <f t="shared" si="107"/>
        <v>0.76382508261777382</v>
      </c>
      <c r="K1464" s="112"/>
      <c r="L1464" s="37">
        <v>20.163618559900002</v>
      </c>
      <c r="M1464" s="37" t="s">
        <v>288</v>
      </c>
      <c r="N1464" s="37">
        <v>3336.4019512195118</v>
      </c>
      <c r="O1464" s="130">
        <f t="shared" si="108"/>
        <v>67273.936306896328</v>
      </c>
      <c r="P1464" s="132">
        <f t="shared" si="109"/>
        <v>2857.6726460575533</v>
      </c>
      <c r="Q1464" s="261">
        <v>5.5612410819495632E-2</v>
      </c>
      <c r="R1464" s="92"/>
    </row>
    <row r="1465" spans="1:18" x14ac:dyDescent="0.25">
      <c r="A1465" s="353">
        <v>42653</v>
      </c>
      <c r="B1465" s="353" t="s">
        <v>285</v>
      </c>
      <c r="C1465" s="263" t="s">
        <v>704</v>
      </c>
      <c r="D1465" s="157" t="s">
        <v>699</v>
      </c>
      <c r="E1465" s="44">
        <f t="shared" si="110"/>
        <v>42653</v>
      </c>
      <c r="F1465" s="146" t="str">
        <f t="shared" si="106"/>
        <v>2016-17</v>
      </c>
      <c r="G1465" s="1"/>
      <c r="H1465" s="161"/>
      <c r="I1465" s="37"/>
      <c r="J1465" s="135">
        <f t="shared" si="107"/>
        <v>0.76382508261777382</v>
      </c>
      <c r="K1465" s="112"/>
      <c r="L1465" s="37">
        <v>20.2417907558</v>
      </c>
      <c r="M1465" s="37" t="s">
        <v>288</v>
      </c>
      <c r="N1465" s="37">
        <v>3336.4019512195118</v>
      </c>
      <c r="O1465" s="130">
        <f t="shared" si="108"/>
        <v>67534.750173828201</v>
      </c>
      <c r="P1465" s="132">
        <f t="shared" si="109"/>
        <v>2868.7515377377372</v>
      </c>
      <c r="Q1465" s="261">
        <v>5.5612410819495632E-2</v>
      </c>
      <c r="R1465" s="92"/>
    </row>
    <row r="1466" spans="1:18" x14ac:dyDescent="0.25">
      <c r="A1466" s="353">
        <v>42653</v>
      </c>
      <c r="B1466" s="353" t="s">
        <v>285</v>
      </c>
      <c r="C1466" s="263" t="s">
        <v>704</v>
      </c>
      <c r="D1466" s="157" t="s">
        <v>699</v>
      </c>
      <c r="E1466" s="44">
        <f t="shared" si="110"/>
        <v>42653</v>
      </c>
      <c r="F1466" s="146" t="str">
        <f t="shared" si="106"/>
        <v>2016-17</v>
      </c>
      <c r="G1466" s="1"/>
      <c r="H1466" s="161"/>
      <c r="I1466" s="37"/>
      <c r="J1466" s="135">
        <f t="shared" si="107"/>
        <v>0.76382508261777382</v>
      </c>
      <c r="K1466" s="112"/>
      <c r="L1466" s="37">
        <v>3.71900376445</v>
      </c>
      <c r="M1466" s="37" t="s">
        <v>288</v>
      </c>
      <c r="N1466" s="37">
        <v>3336.4019512195118</v>
      </c>
      <c r="O1466" s="130">
        <f t="shared" si="108"/>
        <v>12408.09141630369</v>
      </c>
      <c r="P1466" s="132">
        <f t="shared" si="109"/>
        <v>527.07282161097078</v>
      </c>
      <c r="Q1466" s="261">
        <v>5.5612410819495632E-2</v>
      </c>
      <c r="R1466" s="92"/>
    </row>
    <row r="1467" spans="1:18" x14ac:dyDescent="0.25">
      <c r="A1467" s="353">
        <v>42653</v>
      </c>
      <c r="B1467" s="353" t="s">
        <v>285</v>
      </c>
      <c r="C1467" s="263" t="s">
        <v>704</v>
      </c>
      <c r="D1467" s="157" t="s">
        <v>699</v>
      </c>
      <c r="E1467" s="44">
        <f t="shared" si="110"/>
        <v>42653</v>
      </c>
      <c r="F1467" s="146" t="str">
        <f t="shared" ref="F1467:F1530" si="111">IF(E1467="","-",IF(OR(E1467&lt;$E$15,E1467&gt;$E$16),"ERROR - date outside of range",IF(MONTH(E1467)&gt;=7,YEAR(E1467)&amp;"-"&amp;IF(YEAR(E1467)=1999,"00",IF(AND(YEAR(E1467)&gt;=2000,YEAR(E1467)&lt;2009),"0","")&amp;RIGHT(YEAR(E1467),2)+1),RIGHT(YEAR(E1467),4)-1&amp;"-"&amp;RIGHT(YEAR(E1467),2))))</f>
        <v>2016-17</v>
      </c>
      <c r="G1467" s="1"/>
      <c r="H1467" s="161"/>
      <c r="I1467" s="37"/>
      <c r="J1467" s="135">
        <f t="shared" si="107"/>
        <v>0.76382508261777382</v>
      </c>
      <c r="K1467" s="112"/>
      <c r="L1467" s="37">
        <v>77.910902443599994</v>
      </c>
      <c r="M1467" s="37" t="s">
        <v>288</v>
      </c>
      <c r="N1467" s="37">
        <v>812.22926829268283</v>
      </c>
      <c r="O1467" s="130">
        <f t="shared" si="108"/>
        <v>63281.515283787819</v>
      </c>
      <c r="P1467" s="132">
        <f t="shared" si="109"/>
        <v>2688.0819698522014</v>
      </c>
      <c r="Q1467" s="261">
        <v>5.5612410819495632E-2</v>
      </c>
      <c r="R1467" s="92"/>
    </row>
    <row r="1468" spans="1:18" x14ac:dyDescent="0.25">
      <c r="A1468" s="353">
        <v>42653</v>
      </c>
      <c r="B1468" s="353" t="s">
        <v>285</v>
      </c>
      <c r="C1468" s="263" t="s">
        <v>704</v>
      </c>
      <c r="D1468" s="157" t="s">
        <v>699</v>
      </c>
      <c r="E1468" s="44">
        <f t="shared" si="110"/>
        <v>42653</v>
      </c>
      <c r="F1468" s="146" t="str">
        <f t="shared" si="111"/>
        <v>2016-17</v>
      </c>
      <c r="G1468" s="1"/>
      <c r="H1468" s="161"/>
      <c r="I1468" s="37"/>
      <c r="J1468" s="135">
        <f t="shared" si="107"/>
        <v>0.76382508261777382</v>
      </c>
      <c r="K1468" s="112"/>
      <c r="L1468" s="37">
        <v>40.086816308499998</v>
      </c>
      <c r="M1468" s="37" t="s">
        <v>288</v>
      </c>
      <c r="N1468" s="37">
        <v>812.22926829268283</v>
      </c>
      <c r="O1468" s="130">
        <f t="shared" si="108"/>
        <v>32559.685478436139</v>
      </c>
      <c r="P1468" s="132">
        <f t="shared" si="109"/>
        <v>1383.0753433469915</v>
      </c>
      <c r="Q1468" s="261">
        <v>5.5612410819495632E-2</v>
      </c>
      <c r="R1468" s="92"/>
    </row>
    <row r="1469" spans="1:18" x14ac:dyDescent="0.25">
      <c r="A1469" s="353">
        <v>42653</v>
      </c>
      <c r="B1469" s="353" t="s">
        <v>285</v>
      </c>
      <c r="C1469" s="263" t="s">
        <v>704</v>
      </c>
      <c r="D1469" s="157" t="s">
        <v>699</v>
      </c>
      <c r="E1469" s="44">
        <f t="shared" si="110"/>
        <v>42653</v>
      </c>
      <c r="F1469" s="146" t="str">
        <f t="shared" si="111"/>
        <v>2016-17</v>
      </c>
      <c r="G1469" s="1"/>
      <c r="H1469" s="161"/>
      <c r="I1469" s="37"/>
      <c r="J1469" s="135">
        <f t="shared" si="107"/>
        <v>0.76382508261777382</v>
      </c>
      <c r="K1469" s="112"/>
      <c r="L1469" s="37">
        <v>74.908298974499999</v>
      </c>
      <c r="M1469" s="37" t="s">
        <v>288</v>
      </c>
      <c r="N1469" s="37">
        <v>812.22926829268283</v>
      </c>
      <c r="O1469" s="130">
        <f t="shared" si="108"/>
        <v>60842.712865107656</v>
      </c>
      <c r="P1469" s="132">
        <f t="shared" si="109"/>
        <v>2584.4861444316684</v>
      </c>
      <c r="Q1469" s="261">
        <v>5.5612410819495632E-2</v>
      </c>
      <c r="R1469" s="92"/>
    </row>
    <row r="1470" spans="1:18" x14ac:dyDescent="0.25">
      <c r="A1470" s="353">
        <v>42653</v>
      </c>
      <c r="B1470" s="353" t="s">
        <v>285</v>
      </c>
      <c r="C1470" s="263" t="s">
        <v>704</v>
      </c>
      <c r="D1470" s="157" t="s">
        <v>699</v>
      </c>
      <c r="E1470" s="44">
        <f t="shared" si="110"/>
        <v>42653</v>
      </c>
      <c r="F1470" s="146" t="str">
        <f t="shared" si="111"/>
        <v>2016-17</v>
      </c>
      <c r="G1470" s="1"/>
      <c r="H1470" s="161"/>
      <c r="I1470" s="37"/>
      <c r="J1470" s="135">
        <f t="shared" si="107"/>
        <v>0.76382508261777382</v>
      </c>
      <c r="K1470" s="112"/>
      <c r="L1470" s="37">
        <v>27.900725984499999</v>
      </c>
      <c r="M1470" s="37" t="s">
        <v>288</v>
      </c>
      <c r="N1470" s="37">
        <v>812.22926829268283</v>
      </c>
      <c r="O1470" s="130">
        <f t="shared" si="108"/>
        <v>22661.786251225076</v>
      </c>
      <c r="P1470" s="132">
        <f t="shared" si="109"/>
        <v>962.63085283877501</v>
      </c>
      <c r="Q1470" s="261">
        <v>5.5612410819495632E-2</v>
      </c>
      <c r="R1470" s="92"/>
    </row>
    <row r="1471" spans="1:18" x14ac:dyDescent="0.25">
      <c r="A1471" s="353">
        <v>42653</v>
      </c>
      <c r="B1471" s="353" t="s">
        <v>285</v>
      </c>
      <c r="C1471" s="263" t="s">
        <v>704</v>
      </c>
      <c r="D1471" s="157" t="s">
        <v>699</v>
      </c>
      <c r="E1471" s="44">
        <f t="shared" si="110"/>
        <v>42653</v>
      </c>
      <c r="F1471" s="146" t="str">
        <f t="shared" si="111"/>
        <v>2016-17</v>
      </c>
      <c r="G1471" s="1"/>
      <c r="H1471" s="161"/>
      <c r="I1471" s="37"/>
      <c r="J1471" s="135">
        <f t="shared" si="107"/>
        <v>0.76382508261777382</v>
      </c>
      <c r="K1471" s="112"/>
      <c r="L1471" s="37">
        <v>25.486083478099999</v>
      </c>
      <c r="M1471" s="37" t="s">
        <v>288</v>
      </c>
      <c r="N1471" s="37">
        <v>812.22926829268283</v>
      </c>
      <c r="O1471" s="130">
        <f t="shared" si="108"/>
        <v>20700.542935063397</v>
      </c>
      <c r="P1471" s="132">
        <f t="shared" si="109"/>
        <v>879.32085665703073</v>
      </c>
      <c r="Q1471" s="261">
        <v>5.5612410819495632E-2</v>
      </c>
      <c r="R1471" s="92"/>
    </row>
    <row r="1472" spans="1:18" x14ac:dyDescent="0.25">
      <c r="A1472" s="353">
        <v>42653</v>
      </c>
      <c r="B1472" s="353" t="s">
        <v>285</v>
      </c>
      <c r="C1472" s="263" t="s">
        <v>704</v>
      </c>
      <c r="D1472" s="157" t="s">
        <v>699</v>
      </c>
      <c r="E1472" s="44">
        <f t="shared" si="110"/>
        <v>42653</v>
      </c>
      <c r="F1472" s="146" t="str">
        <f t="shared" si="111"/>
        <v>2016-17</v>
      </c>
      <c r="G1472" s="1"/>
      <c r="H1472" s="161"/>
      <c r="I1472" s="37"/>
      <c r="J1472" s="135">
        <f t="shared" si="107"/>
        <v>0.76382508261777382</v>
      </c>
      <c r="K1472" s="112"/>
      <c r="L1472" s="37">
        <v>5.3086303318299999</v>
      </c>
      <c r="M1472" s="37" t="s">
        <v>288</v>
      </c>
      <c r="N1472" s="37">
        <v>812.22926829268283</v>
      </c>
      <c r="O1472" s="130">
        <f t="shared" si="108"/>
        <v>4311.8249300586231</v>
      </c>
      <c r="P1472" s="132">
        <f t="shared" si="109"/>
        <v>183.15836464521593</v>
      </c>
      <c r="Q1472" s="261">
        <v>5.5612410819495632E-2</v>
      </c>
      <c r="R1472" s="92"/>
    </row>
    <row r="1473" spans="1:18" x14ac:dyDescent="0.25">
      <c r="A1473" s="353">
        <v>42653</v>
      </c>
      <c r="B1473" s="353" t="s">
        <v>285</v>
      </c>
      <c r="C1473" s="263" t="s">
        <v>704</v>
      </c>
      <c r="D1473" s="157" t="s">
        <v>699</v>
      </c>
      <c r="E1473" s="44">
        <f t="shared" si="110"/>
        <v>42653</v>
      </c>
      <c r="F1473" s="146" t="str">
        <f t="shared" si="111"/>
        <v>2016-17</v>
      </c>
      <c r="G1473" s="1"/>
      <c r="H1473" s="161"/>
      <c r="I1473" s="37"/>
      <c r="J1473" s="135">
        <f t="shared" si="107"/>
        <v>0.76382508261777382</v>
      </c>
      <c r="K1473" s="112"/>
      <c r="L1473" s="37">
        <v>68.630735002700007</v>
      </c>
      <c r="M1473" s="37" t="s">
        <v>288</v>
      </c>
      <c r="N1473" s="37">
        <v>3336.4019512195118</v>
      </c>
      <c r="O1473" s="130">
        <f t="shared" si="108"/>
        <v>228979.71817663754</v>
      </c>
      <c r="P1473" s="132">
        <f t="shared" si="109"/>
        <v>9726.6357977073876</v>
      </c>
      <c r="Q1473" s="261">
        <v>5.5612410819495632E-2</v>
      </c>
      <c r="R1473" s="92"/>
    </row>
    <row r="1474" spans="1:18" x14ac:dyDescent="0.25">
      <c r="A1474" s="353">
        <v>42653</v>
      </c>
      <c r="B1474" s="353" t="s">
        <v>285</v>
      </c>
      <c r="C1474" s="263" t="s">
        <v>704</v>
      </c>
      <c r="D1474" s="157" t="s">
        <v>699</v>
      </c>
      <c r="E1474" s="44">
        <f t="shared" si="110"/>
        <v>42653</v>
      </c>
      <c r="F1474" s="146" t="str">
        <f t="shared" si="111"/>
        <v>2016-17</v>
      </c>
      <c r="G1474" s="1"/>
      <c r="H1474" s="161"/>
      <c r="I1474" s="37"/>
      <c r="J1474" s="135">
        <f t="shared" si="107"/>
        <v>0.76382508261777382</v>
      </c>
      <c r="K1474" s="112"/>
      <c r="L1474" s="37">
        <v>17.3078449556</v>
      </c>
      <c r="M1474" s="37" t="s">
        <v>288</v>
      </c>
      <c r="N1474" s="37">
        <v>812.22926829268283</v>
      </c>
      <c r="O1474" s="130">
        <f t="shared" si="108"/>
        <v>14057.938244010189</v>
      </c>
      <c r="P1474" s="132">
        <f t="shared" si="109"/>
        <v>597.15526971113309</v>
      </c>
      <c r="Q1474" s="261">
        <v>5.5612410819495632E-2</v>
      </c>
      <c r="R1474" s="92"/>
    </row>
    <row r="1475" spans="1:18" x14ac:dyDescent="0.25">
      <c r="A1475" s="353">
        <v>42653</v>
      </c>
      <c r="B1475" s="353" t="s">
        <v>285</v>
      </c>
      <c r="C1475" s="263" t="s">
        <v>704</v>
      </c>
      <c r="D1475" s="157" t="s">
        <v>699</v>
      </c>
      <c r="E1475" s="44">
        <f t="shared" si="110"/>
        <v>42653</v>
      </c>
      <c r="F1475" s="146" t="str">
        <f t="shared" si="111"/>
        <v>2016-17</v>
      </c>
      <c r="G1475" s="1"/>
      <c r="H1475" s="161"/>
      <c r="I1475" s="37"/>
      <c r="J1475" s="135">
        <f t="shared" si="107"/>
        <v>0.76382508261777382</v>
      </c>
      <c r="K1475" s="112"/>
      <c r="L1475" s="37">
        <v>54.115717404900003</v>
      </c>
      <c r="M1475" s="37" t="s">
        <v>288</v>
      </c>
      <c r="N1475" s="37">
        <v>812.22926829268283</v>
      </c>
      <c r="O1475" s="130">
        <f t="shared" si="108"/>
        <v>43954.36955091553</v>
      </c>
      <c r="P1475" s="132">
        <f t="shared" si="109"/>
        <v>1867.1004914496161</v>
      </c>
      <c r="Q1475" s="261">
        <v>5.5612410819495632E-2</v>
      </c>
      <c r="R1475" s="92"/>
    </row>
    <row r="1476" spans="1:18" x14ac:dyDescent="0.25">
      <c r="A1476" s="353">
        <v>42653</v>
      </c>
      <c r="B1476" s="353" t="s">
        <v>285</v>
      </c>
      <c r="C1476" s="263" t="s">
        <v>704</v>
      </c>
      <c r="D1476" s="157" t="s">
        <v>699</v>
      </c>
      <c r="E1476" s="44">
        <f t="shared" si="110"/>
        <v>42653</v>
      </c>
      <c r="F1476" s="146" t="str">
        <f t="shared" si="111"/>
        <v>2016-17</v>
      </c>
      <c r="G1476" s="1"/>
      <c r="H1476" s="161"/>
      <c r="I1476" s="37"/>
      <c r="J1476" s="135">
        <f t="shared" si="107"/>
        <v>0.76382508261777382</v>
      </c>
      <c r="K1476" s="112"/>
      <c r="L1476" s="37">
        <v>27.630249966499999</v>
      </c>
      <c r="M1476" s="37" t="s">
        <v>288</v>
      </c>
      <c r="N1476" s="37">
        <v>3336.4019512195118</v>
      </c>
      <c r="O1476" s="130">
        <f t="shared" si="108"/>
        <v>92185.619900913443</v>
      </c>
      <c r="P1476" s="132">
        <f t="shared" si="109"/>
        <v>3915.8749853573527</v>
      </c>
      <c r="Q1476" s="261">
        <v>5.5612410819495632E-2</v>
      </c>
      <c r="R1476" s="92"/>
    </row>
    <row r="1477" spans="1:18" x14ac:dyDescent="0.25">
      <c r="A1477" s="353">
        <v>42653</v>
      </c>
      <c r="B1477" s="353" t="s">
        <v>285</v>
      </c>
      <c r="C1477" s="263" t="s">
        <v>704</v>
      </c>
      <c r="D1477" s="157" t="s">
        <v>699</v>
      </c>
      <c r="E1477" s="44">
        <f t="shared" si="110"/>
        <v>42653</v>
      </c>
      <c r="F1477" s="146" t="str">
        <f t="shared" si="111"/>
        <v>2016-17</v>
      </c>
      <c r="G1477" s="1"/>
      <c r="H1477" s="161"/>
      <c r="I1477" s="37"/>
      <c r="J1477" s="135">
        <f t="shared" si="107"/>
        <v>0.76382508261777382</v>
      </c>
      <c r="K1477" s="112"/>
      <c r="L1477" s="37">
        <v>25.969737834899998</v>
      </c>
      <c r="M1477" s="37" t="s">
        <v>288</v>
      </c>
      <c r="N1477" s="37">
        <v>3336.4019512195118</v>
      </c>
      <c r="O1477" s="130">
        <f t="shared" si="108"/>
        <v>86645.483985019542</v>
      </c>
      <c r="P1477" s="132">
        <f t="shared" si="109"/>
        <v>3680.5402371412288</v>
      </c>
      <c r="Q1477" s="261">
        <v>5.5612410819495632E-2</v>
      </c>
      <c r="R1477" s="92"/>
    </row>
    <row r="1478" spans="1:18" x14ac:dyDescent="0.25">
      <c r="A1478" s="353">
        <v>42653</v>
      </c>
      <c r="B1478" s="353" t="s">
        <v>285</v>
      </c>
      <c r="C1478" s="263" t="s">
        <v>704</v>
      </c>
      <c r="D1478" s="157" t="s">
        <v>699</v>
      </c>
      <c r="E1478" s="44">
        <f t="shared" si="110"/>
        <v>42653</v>
      </c>
      <c r="F1478" s="146" t="str">
        <f t="shared" si="111"/>
        <v>2016-17</v>
      </c>
      <c r="G1478" s="1"/>
      <c r="H1478" s="161"/>
      <c r="I1478" s="37"/>
      <c r="J1478" s="135">
        <f t="shared" si="107"/>
        <v>0.76382508261777382</v>
      </c>
      <c r="K1478" s="112"/>
      <c r="L1478" s="37">
        <v>5.3784311839000001</v>
      </c>
      <c r="M1478" s="37" t="s">
        <v>288</v>
      </c>
      <c r="N1478" s="37">
        <v>812.22926829268283</v>
      </c>
      <c r="O1478" s="130">
        <f t="shared" si="108"/>
        <v>4368.5192250616446</v>
      </c>
      <c r="P1478" s="132">
        <f t="shared" si="109"/>
        <v>185.56663365564759</v>
      </c>
      <c r="Q1478" s="261">
        <v>5.5612410819495632E-2</v>
      </c>
      <c r="R1478" s="92"/>
    </row>
    <row r="1479" spans="1:18" x14ac:dyDescent="0.25">
      <c r="A1479" s="353">
        <v>42653</v>
      </c>
      <c r="B1479" s="353" t="s">
        <v>285</v>
      </c>
      <c r="C1479" s="263" t="s">
        <v>704</v>
      </c>
      <c r="D1479" s="157" t="s">
        <v>699</v>
      </c>
      <c r="E1479" s="44">
        <f t="shared" si="110"/>
        <v>42653</v>
      </c>
      <c r="F1479" s="146" t="str">
        <f t="shared" si="111"/>
        <v>2016-17</v>
      </c>
      <c r="G1479" s="1"/>
      <c r="H1479" s="161"/>
      <c r="I1479" s="37"/>
      <c r="J1479" s="135">
        <f t="shared" si="107"/>
        <v>0.76382508261777382</v>
      </c>
      <c r="K1479" s="112"/>
      <c r="L1479" s="37">
        <v>19.433670395499998</v>
      </c>
      <c r="M1479" s="37" t="s">
        <v>288</v>
      </c>
      <c r="N1479" s="37">
        <v>3336.4019512195118</v>
      </c>
      <c r="O1479" s="130">
        <f t="shared" si="108"/>
        <v>64838.535826903055</v>
      </c>
      <c r="P1479" s="132">
        <f t="shared" si="109"/>
        <v>2754.2213287134423</v>
      </c>
      <c r="Q1479" s="261">
        <v>5.5612410819495632E-2</v>
      </c>
      <c r="R1479" s="92"/>
    </row>
    <row r="1480" spans="1:18" x14ac:dyDescent="0.25">
      <c r="A1480" s="353">
        <v>42653</v>
      </c>
      <c r="B1480" s="353" t="s">
        <v>285</v>
      </c>
      <c r="C1480" s="263" t="s">
        <v>704</v>
      </c>
      <c r="D1480" s="157" t="s">
        <v>699</v>
      </c>
      <c r="E1480" s="44">
        <f t="shared" si="110"/>
        <v>42653</v>
      </c>
      <c r="F1480" s="146" t="str">
        <f t="shared" si="111"/>
        <v>2016-17</v>
      </c>
      <c r="G1480" s="1"/>
      <c r="H1480" s="161"/>
      <c r="I1480" s="37"/>
      <c r="J1480" s="135">
        <f t="shared" si="107"/>
        <v>0.76382508261777382</v>
      </c>
      <c r="K1480" s="112"/>
      <c r="L1480" s="37">
        <v>31.6621031701</v>
      </c>
      <c r="M1480" s="37" t="s">
        <v>288</v>
      </c>
      <c r="N1480" s="37">
        <v>812.22926829268283</v>
      </c>
      <c r="O1480" s="130">
        <f t="shared" si="108"/>
        <v>25716.886890457758</v>
      </c>
      <c r="P1480" s="132">
        <f t="shared" si="109"/>
        <v>1092.4058891598354</v>
      </c>
      <c r="Q1480" s="261">
        <v>5.5612410819495632E-2</v>
      </c>
      <c r="R1480" s="92"/>
    </row>
    <row r="1481" spans="1:18" x14ac:dyDescent="0.25">
      <c r="A1481" s="353">
        <v>42653</v>
      </c>
      <c r="B1481" s="353" t="s">
        <v>285</v>
      </c>
      <c r="C1481" s="263" t="s">
        <v>704</v>
      </c>
      <c r="D1481" s="157" t="s">
        <v>699</v>
      </c>
      <c r="E1481" s="44">
        <f t="shared" si="110"/>
        <v>42653</v>
      </c>
      <c r="F1481" s="146" t="str">
        <f t="shared" si="111"/>
        <v>2016-17</v>
      </c>
      <c r="G1481" s="1"/>
      <c r="H1481" s="161"/>
      <c r="I1481" s="37"/>
      <c r="J1481" s="135">
        <f t="shared" si="107"/>
        <v>0.76382508261777382</v>
      </c>
      <c r="K1481" s="112"/>
      <c r="L1481" s="37">
        <v>62.827869973399999</v>
      </c>
      <c r="M1481" s="37" t="s">
        <v>288</v>
      </c>
      <c r="N1481" s="37">
        <v>812.22926829268283</v>
      </c>
      <c r="O1481" s="130">
        <f t="shared" si="108"/>
        <v>51030.634856882498</v>
      </c>
      <c r="P1481" s="132">
        <f t="shared" si="109"/>
        <v>2167.6871809047857</v>
      </c>
      <c r="Q1481" s="261">
        <v>5.5612410819495632E-2</v>
      </c>
      <c r="R1481" s="92"/>
    </row>
    <row r="1482" spans="1:18" x14ac:dyDescent="0.25">
      <c r="A1482" s="353">
        <v>42653</v>
      </c>
      <c r="B1482" s="353" t="s">
        <v>285</v>
      </c>
      <c r="C1482" s="263" t="s">
        <v>704</v>
      </c>
      <c r="D1482" s="157" t="s">
        <v>699</v>
      </c>
      <c r="E1482" s="44">
        <f t="shared" si="110"/>
        <v>42653</v>
      </c>
      <c r="F1482" s="146" t="str">
        <f t="shared" si="111"/>
        <v>2016-17</v>
      </c>
      <c r="G1482" s="1"/>
      <c r="H1482" s="161"/>
      <c r="I1482" s="37"/>
      <c r="J1482" s="135">
        <f t="shared" si="107"/>
        <v>0.76382508261777382</v>
      </c>
      <c r="K1482" s="112"/>
      <c r="L1482" s="37">
        <v>100.019352466</v>
      </c>
      <c r="M1482" s="37" t="s">
        <v>288</v>
      </c>
      <c r="N1482" s="37">
        <v>3336.4019512195118</v>
      </c>
      <c r="O1482" s="130">
        <f t="shared" si="108"/>
        <v>333704.7627272745</v>
      </c>
      <c r="P1482" s="132">
        <f t="shared" si="109"/>
        <v>14175.162398028162</v>
      </c>
      <c r="Q1482" s="261">
        <v>5.5612410819495632E-2</v>
      </c>
      <c r="R1482" s="92"/>
    </row>
    <row r="1483" spans="1:18" x14ac:dyDescent="0.25">
      <c r="A1483" s="353">
        <v>42653</v>
      </c>
      <c r="B1483" s="353" t="s">
        <v>285</v>
      </c>
      <c r="C1483" s="263" t="s">
        <v>704</v>
      </c>
      <c r="D1483" s="157" t="s">
        <v>699</v>
      </c>
      <c r="E1483" s="44">
        <f t="shared" si="110"/>
        <v>42653</v>
      </c>
      <c r="F1483" s="146" t="str">
        <f t="shared" si="111"/>
        <v>2016-17</v>
      </c>
      <c r="G1483" s="1"/>
      <c r="H1483" s="161"/>
      <c r="I1483" s="37"/>
      <c r="J1483" s="135">
        <f t="shared" si="107"/>
        <v>0.76382508261777382</v>
      </c>
      <c r="K1483" s="112"/>
      <c r="L1483" s="37">
        <v>23.4199255019</v>
      </c>
      <c r="M1483" s="37" t="s">
        <v>288</v>
      </c>
      <c r="N1483" s="37">
        <v>3336.4019512195118</v>
      </c>
      <c r="O1483" s="130">
        <f t="shared" si="108"/>
        <v>78138.285141954766</v>
      </c>
      <c r="P1483" s="132">
        <f t="shared" si="109"/>
        <v>3319.1701321202363</v>
      </c>
      <c r="Q1483" s="261">
        <v>5.5612410819495632E-2</v>
      </c>
      <c r="R1483" s="92"/>
    </row>
    <row r="1484" spans="1:18" x14ac:dyDescent="0.25">
      <c r="A1484" s="353">
        <v>42653</v>
      </c>
      <c r="B1484" s="353" t="s">
        <v>285</v>
      </c>
      <c r="C1484" s="263" t="s">
        <v>704</v>
      </c>
      <c r="D1484" s="157" t="s">
        <v>699</v>
      </c>
      <c r="E1484" s="44">
        <f t="shared" si="110"/>
        <v>42653</v>
      </c>
      <c r="F1484" s="146" t="str">
        <f t="shared" si="111"/>
        <v>2016-17</v>
      </c>
      <c r="G1484" s="1"/>
      <c r="H1484" s="161"/>
      <c r="I1484" s="37"/>
      <c r="J1484" s="135">
        <f t="shared" si="107"/>
        <v>0.76382508261777382</v>
      </c>
      <c r="K1484" s="112"/>
      <c r="L1484" s="37">
        <v>28.283477668100002</v>
      </c>
      <c r="M1484" s="37" t="s">
        <v>288</v>
      </c>
      <c r="N1484" s="37">
        <v>3336.4019512195118</v>
      </c>
      <c r="O1484" s="130">
        <f t="shared" si="108"/>
        <v>94365.050079122331</v>
      </c>
      <c r="P1484" s="132">
        <f t="shared" si="109"/>
        <v>4008.4531567289218</v>
      </c>
      <c r="Q1484" s="261">
        <v>5.5612410819495632E-2</v>
      </c>
      <c r="R1484" s="92"/>
    </row>
    <row r="1485" spans="1:18" x14ac:dyDescent="0.25">
      <c r="A1485" s="353">
        <v>42653</v>
      </c>
      <c r="B1485" s="353" t="s">
        <v>285</v>
      </c>
      <c r="C1485" s="263" t="s">
        <v>704</v>
      </c>
      <c r="D1485" s="157" t="s">
        <v>699</v>
      </c>
      <c r="E1485" s="44">
        <f t="shared" si="110"/>
        <v>42653</v>
      </c>
      <c r="F1485" s="146" t="str">
        <f t="shared" si="111"/>
        <v>2016-17</v>
      </c>
      <c r="G1485" s="1"/>
      <c r="H1485" s="161"/>
      <c r="I1485" s="37"/>
      <c r="J1485" s="135">
        <f t="shared" si="107"/>
        <v>0.76382508261777382</v>
      </c>
      <c r="K1485" s="112"/>
      <c r="L1485" s="37">
        <v>19.386494387700001</v>
      </c>
      <c r="M1485" s="37" t="s">
        <v>288</v>
      </c>
      <c r="N1485" s="37">
        <v>3336.4019512195118</v>
      </c>
      <c r="O1485" s="130">
        <f t="shared" si="108"/>
        <v>64681.137702428401</v>
      </c>
      <c r="P1485" s="132">
        <f t="shared" si="109"/>
        <v>2747.5353468972444</v>
      </c>
      <c r="Q1485" s="261">
        <v>5.5612410819495632E-2</v>
      </c>
      <c r="R1485" s="92"/>
    </row>
    <row r="1486" spans="1:18" x14ac:dyDescent="0.25">
      <c r="A1486" s="353">
        <v>42207</v>
      </c>
      <c r="B1486" s="353" t="s">
        <v>285</v>
      </c>
      <c r="C1486" s="263" t="s">
        <v>705</v>
      </c>
      <c r="D1486" s="157" t="s">
        <v>706</v>
      </c>
      <c r="E1486" s="44">
        <f t="shared" si="110"/>
        <v>42207</v>
      </c>
      <c r="F1486" s="146" t="str">
        <f t="shared" si="111"/>
        <v>2015-16</v>
      </c>
      <c r="G1486" s="1"/>
      <c r="H1486" s="161"/>
      <c r="I1486" s="37"/>
      <c r="J1486" s="135">
        <f t="shared" si="107"/>
        <v>0.76382508261777382</v>
      </c>
      <c r="K1486" s="112"/>
      <c r="L1486" s="37">
        <v>111.113771442</v>
      </c>
      <c r="M1486" s="37" t="s">
        <v>288</v>
      </c>
      <c r="N1486" s="37">
        <v>812.22926829268283</v>
      </c>
      <c r="O1486" s="130">
        <f t="shared" si="108"/>
        <v>90249.857275576054</v>
      </c>
      <c r="P1486" s="132">
        <f t="shared" si="109"/>
        <v>3865.5249468415664</v>
      </c>
      <c r="Q1486" s="261">
        <v>5.6074839724089359E-2</v>
      </c>
      <c r="R1486" s="92"/>
    </row>
    <row r="1487" spans="1:18" x14ac:dyDescent="0.25">
      <c r="A1487" s="353">
        <v>42207</v>
      </c>
      <c r="B1487" s="353" t="s">
        <v>285</v>
      </c>
      <c r="C1487" s="263" t="s">
        <v>705</v>
      </c>
      <c r="D1487" s="157" t="s">
        <v>706</v>
      </c>
      <c r="E1487" s="44">
        <f t="shared" si="110"/>
        <v>42207</v>
      </c>
      <c r="F1487" s="146" t="str">
        <f t="shared" si="111"/>
        <v>2015-16</v>
      </c>
      <c r="G1487" s="1"/>
      <c r="H1487" s="161"/>
      <c r="I1487" s="37"/>
      <c r="J1487" s="135">
        <f t="shared" si="107"/>
        <v>0.76382508261777382</v>
      </c>
      <c r="K1487" s="112"/>
      <c r="L1487" s="37">
        <v>52.058539432499998</v>
      </c>
      <c r="M1487" s="37" t="s">
        <v>288</v>
      </c>
      <c r="N1487" s="37">
        <v>812.22926829268283</v>
      </c>
      <c r="O1487" s="130">
        <f t="shared" si="108"/>
        <v>42283.469391645252</v>
      </c>
      <c r="P1487" s="132">
        <f t="shared" si="109"/>
        <v>1811.0588837091682</v>
      </c>
      <c r="Q1487" s="261">
        <v>5.6074839724089359E-2</v>
      </c>
      <c r="R1487" s="92"/>
    </row>
    <row r="1488" spans="1:18" x14ac:dyDescent="0.25">
      <c r="A1488" s="353">
        <v>42207</v>
      </c>
      <c r="B1488" s="353" t="s">
        <v>285</v>
      </c>
      <c r="C1488" s="263" t="s">
        <v>705</v>
      </c>
      <c r="D1488" s="157" t="s">
        <v>706</v>
      </c>
      <c r="E1488" s="44">
        <f t="shared" si="110"/>
        <v>42207</v>
      </c>
      <c r="F1488" s="146" t="str">
        <f t="shared" si="111"/>
        <v>2015-16</v>
      </c>
      <c r="G1488" s="1"/>
      <c r="H1488" s="161"/>
      <c r="I1488" s="37"/>
      <c r="J1488" s="135">
        <f t="shared" si="107"/>
        <v>0.76382508261777382</v>
      </c>
      <c r="K1488" s="112"/>
      <c r="L1488" s="37">
        <v>5.8028252601599997</v>
      </c>
      <c r="M1488" s="37" t="s">
        <v>288</v>
      </c>
      <c r="N1488" s="37">
        <v>3336.4019512195118</v>
      </c>
      <c r="O1488" s="130">
        <f t="shared" si="108"/>
        <v>19360.557520583694</v>
      </c>
      <c r="P1488" s="132">
        <f t="shared" si="109"/>
        <v>829.23918485609249</v>
      </c>
      <c r="Q1488" s="261">
        <v>5.6074839724089359E-2</v>
      </c>
      <c r="R1488" s="92"/>
    </row>
    <row r="1489" spans="1:18" x14ac:dyDescent="0.25">
      <c r="A1489" s="353">
        <v>42207</v>
      </c>
      <c r="B1489" s="353" t="s">
        <v>285</v>
      </c>
      <c r="C1489" s="263" t="s">
        <v>705</v>
      </c>
      <c r="D1489" s="157" t="s">
        <v>706</v>
      </c>
      <c r="E1489" s="44">
        <f t="shared" si="110"/>
        <v>42207</v>
      </c>
      <c r="F1489" s="146" t="str">
        <f t="shared" si="111"/>
        <v>2015-16</v>
      </c>
      <c r="G1489" s="1"/>
      <c r="H1489" s="161"/>
      <c r="I1489" s="37"/>
      <c r="J1489" s="135">
        <f t="shared" si="107"/>
        <v>0.76382508261777382</v>
      </c>
      <c r="K1489" s="112"/>
      <c r="L1489" s="37">
        <v>16.950146499700001</v>
      </c>
      <c r="M1489" s="37" t="s">
        <v>288</v>
      </c>
      <c r="N1489" s="37">
        <v>3336.4019512195118</v>
      </c>
      <c r="O1489" s="130">
        <f t="shared" si="108"/>
        <v>56552.501855055663</v>
      </c>
      <c r="P1489" s="132">
        <f t="shared" si="109"/>
        <v>2422.2210796357886</v>
      </c>
      <c r="Q1489" s="261">
        <v>5.6074839724089359E-2</v>
      </c>
      <c r="R1489" s="92"/>
    </row>
    <row r="1490" spans="1:18" x14ac:dyDescent="0.25">
      <c r="A1490" s="353">
        <v>42207</v>
      </c>
      <c r="B1490" s="353" t="s">
        <v>285</v>
      </c>
      <c r="C1490" s="263" t="s">
        <v>705</v>
      </c>
      <c r="D1490" s="157" t="s">
        <v>706</v>
      </c>
      <c r="E1490" s="44">
        <f t="shared" si="110"/>
        <v>42207</v>
      </c>
      <c r="F1490" s="146" t="str">
        <f t="shared" si="111"/>
        <v>2015-16</v>
      </c>
      <c r="G1490" s="1"/>
      <c r="H1490" s="161"/>
      <c r="I1490" s="37"/>
      <c r="J1490" s="135">
        <f t="shared" si="107"/>
        <v>0.76382508261777382</v>
      </c>
      <c r="K1490" s="112"/>
      <c r="L1490" s="37">
        <v>18.713346603000002</v>
      </c>
      <c r="M1490" s="37" t="s">
        <v>288</v>
      </c>
      <c r="N1490" s="37">
        <v>3592.3639024390236</v>
      </c>
      <c r="O1490" s="130">
        <f t="shared" si="108"/>
        <v>67225.150830447135</v>
      </c>
      <c r="P1490" s="132">
        <f t="shared" si="109"/>
        <v>2879.3452470157581</v>
      </c>
      <c r="Q1490" s="261">
        <v>5.6074839724089359E-2</v>
      </c>
      <c r="R1490" s="92"/>
    </row>
    <row r="1491" spans="1:18" x14ac:dyDescent="0.25">
      <c r="A1491" s="353">
        <v>42207</v>
      </c>
      <c r="B1491" s="353" t="s">
        <v>285</v>
      </c>
      <c r="C1491" s="263" t="s">
        <v>705</v>
      </c>
      <c r="D1491" s="157" t="s">
        <v>706</v>
      </c>
      <c r="E1491" s="44">
        <f t="shared" si="110"/>
        <v>42207</v>
      </c>
      <c r="F1491" s="146" t="str">
        <f t="shared" si="111"/>
        <v>2015-16</v>
      </c>
      <c r="G1491" s="1"/>
      <c r="H1491" s="161"/>
      <c r="I1491" s="37"/>
      <c r="J1491" s="135">
        <f t="shared" si="107"/>
        <v>0.76382508261777382</v>
      </c>
      <c r="K1491" s="112"/>
      <c r="L1491" s="37">
        <v>22.7627604037</v>
      </c>
      <c r="M1491" s="37" t="s">
        <v>288</v>
      </c>
      <c r="N1491" s="37">
        <v>3336.4019512195118</v>
      </c>
      <c r="O1491" s="130">
        <f t="shared" si="108"/>
        <v>75945.718226046927</v>
      </c>
      <c r="P1491" s="132">
        <f t="shared" si="109"/>
        <v>3252.8590877675801</v>
      </c>
      <c r="Q1491" s="261">
        <v>5.6074839724089359E-2</v>
      </c>
      <c r="R1491" s="92"/>
    </row>
    <row r="1492" spans="1:18" x14ac:dyDescent="0.25">
      <c r="A1492" s="353">
        <v>42207</v>
      </c>
      <c r="B1492" s="353" t="s">
        <v>285</v>
      </c>
      <c r="C1492" s="263" t="s">
        <v>705</v>
      </c>
      <c r="D1492" s="157" t="s">
        <v>706</v>
      </c>
      <c r="E1492" s="44">
        <f t="shared" si="110"/>
        <v>42207</v>
      </c>
      <c r="F1492" s="146" t="str">
        <f t="shared" si="111"/>
        <v>2015-16</v>
      </c>
      <c r="G1492" s="1"/>
      <c r="H1492" s="161"/>
      <c r="I1492" s="37"/>
      <c r="J1492" s="135">
        <f t="shared" si="107"/>
        <v>0.76382508261777382</v>
      </c>
      <c r="K1492" s="112"/>
      <c r="L1492" s="37">
        <v>5.2620537815599997</v>
      </c>
      <c r="M1492" s="37" t="s">
        <v>288</v>
      </c>
      <c r="N1492" s="37">
        <v>3336.4019512195118</v>
      </c>
      <c r="O1492" s="130">
        <f t="shared" si="108"/>
        <v>17556.326504218792</v>
      </c>
      <c r="P1492" s="132">
        <f t="shared" si="109"/>
        <v>751.96150027950671</v>
      </c>
      <c r="Q1492" s="261">
        <v>5.6074839724089359E-2</v>
      </c>
      <c r="R1492" s="92"/>
    </row>
    <row r="1493" spans="1:18" x14ac:dyDescent="0.25">
      <c r="A1493" s="353">
        <v>42207</v>
      </c>
      <c r="B1493" s="353" t="s">
        <v>285</v>
      </c>
      <c r="C1493" s="263" t="s">
        <v>705</v>
      </c>
      <c r="D1493" s="157" t="s">
        <v>706</v>
      </c>
      <c r="E1493" s="44">
        <f t="shared" si="110"/>
        <v>42207</v>
      </c>
      <c r="F1493" s="146" t="str">
        <f t="shared" si="111"/>
        <v>2015-16</v>
      </c>
      <c r="G1493" s="1"/>
      <c r="H1493" s="161"/>
      <c r="I1493" s="37"/>
      <c r="J1493" s="135">
        <f t="shared" si="107"/>
        <v>0.76382508261777382</v>
      </c>
      <c r="K1493" s="112"/>
      <c r="L1493" s="37">
        <v>6.6835351441300004</v>
      </c>
      <c r="M1493" s="37" t="s">
        <v>288</v>
      </c>
      <c r="N1493" s="37">
        <v>950.87219512195099</v>
      </c>
      <c r="O1493" s="130">
        <f t="shared" si="108"/>
        <v>6355.1877336735988</v>
      </c>
      <c r="P1493" s="132">
        <f t="shared" si="109"/>
        <v>272.20139142563545</v>
      </c>
      <c r="Q1493" s="261">
        <v>5.6074839724089359E-2</v>
      </c>
      <c r="R1493" s="92"/>
    </row>
    <row r="1494" spans="1:18" x14ac:dyDescent="0.25">
      <c r="A1494" s="353">
        <v>42207</v>
      </c>
      <c r="B1494" s="353" t="s">
        <v>285</v>
      </c>
      <c r="C1494" s="263" t="s">
        <v>705</v>
      </c>
      <c r="D1494" s="157" t="s">
        <v>706</v>
      </c>
      <c r="E1494" s="44">
        <f t="shared" si="110"/>
        <v>42207</v>
      </c>
      <c r="F1494" s="146" t="str">
        <f t="shared" si="111"/>
        <v>2015-16</v>
      </c>
      <c r="G1494" s="1"/>
      <c r="H1494" s="161"/>
      <c r="I1494" s="37"/>
      <c r="J1494" s="135">
        <f t="shared" si="107"/>
        <v>0.76382508261777382</v>
      </c>
      <c r="K1494" s="112"/>
      <c r="L1494" s="37">
        <v>92.703616779699999</v>
      </c>
      <c r="M1494" s="37" t="s">
        <v>288</v>
      </c>
      <c r="N1494" s="37">
        <v>812.22926829268283</v>
      </c>
      <c r="O1494" s="130">
        <f t="shared" si="108"/>
        <v>75296.590825061008</v>
      </c>
      <c r="P1494" s="132">
        <f t="shared" si="109"/>
        <v>3225.0560724727457</v>
      </c>
      <c r="Q1494" s="261">
        <v>5.6074839724089359E-2</v>
      </c>
      <c r="R1494" s="92"/>
    </row>
    <row r="1495" spans="1:18" x14ac:dyDescent="0.25">
      <c r="A1495" s="353">
        <v>42207</v>
      </c>
      <c r="B1495" s="353" t="s">
        <v>285</v>
      </c>
      <c r="C1495" s="263" t="s">
        <v>705</v>
      </c>
      <c r="D1495" s="157" t="s">
        <v>706</v>
      </c>
      <c r="E1495" s="44">
        <f t="shared" si="110"/>
        <v>42207</v>
      </c>
      <c r="F1495" s="146" t="str">
        <f t="shared" si="111"/>
        <v>2015-16</v>
      </c>
      <c r="G1495" s="1"/>
      <c r="H1495" s="161"/>
      <c r="I1495" s="37"/>
      <c r="J1495" s="135">
        <f t="shared" si="107"/>
        <v>0.76382508261777382</v>
      </c>
      <c r="K1495" s="112"/>
      <c r="L1495" s="37">
        <v>103.70548713399999</v>
      </c>
      <c r="M1495" s="37" t="s">
        <v>288</v>
      </c>
      <c r="N1495" s="37">
        <v>812.22926829268283</v>
      </c>
      <c r="O1495" s="130">
        <f t="shared" si="108"/>
        <v>84232.631932785051</v>
      </c>
      <c r="P1495" s="132">
        <f t="shared" si="109"/>
        <v>3607.7989473166826</v>
      </c>
      <c r="Q1495" s="261">
        <v>5.6074839724089359E-2</v>
      </c>
      <c r="R1495" s="92"/>
    </row>
    <row r="1496" spans="1:18" x14ac:dyDescent="0.25">
      <c r="A1496" s="353">
        <v>42207</v>
      </c>
      <c r="B1496" s="353" t="s">
        <v>285</v>
      </c>
      <c r="C1496" s="263" t="s">
        <v>705</v>
      </c>
      <c r="D1496" s="157" t="s">
        <v>706</v>
      </c>
      <c r="E1496" s="44">
        <f t="shared" si="110"/>
        <v>42207</v>
      </c>
      <c r="F1496" s="146" t="str">
        <f t="shared" si="111"/>
        <v>2015-16</v>
      </c>
      <c r="G1496" s="1"/>
      <c r="H1496" s="161"/>
      <c r="I1496" s="37"/>
      <c r="J1496" s="135">
        <f t="shared" si="107"/>
        <v>0.76382508261777382</v>
      </c>
      <c r="K1496" s="112"/>
      <c r="L1496" s="37">
        <v>61.692805157599999</v>
      </c>
      <c r="M1496" s="37" t="s">
        <v>288</v>
      </c>
      <c r="N1496" s="37">
        <v>950.87219512195099</v>
      </c>
      <c r="O1496" s="130">
        <f t="shared" si="108"/>
        <v>58661.97306343793</v>
      </c>
      <c r="P1496" s="132">
        <f t="shared" si="109"/>
        <v>2512.5726195362558</v>
      </c>
      <c r="Q1496" s="261">
        <v>5.6074839724089359E-2</v>
      </c>
      <c r="R1496" s="92"/>
    </row>
    <row r="1497" spans="1:18" x14ac:dyDescent="0.25">
      <c r="A1497" s="353">
        <v>42207</v>
      </c>
      <c r="B1497" s="353" t="s">
        <v>285</v>
      </c>
      <c r="C1497" s="263" t="s">
        <v>705</v>
      </c>
      <c r="D1497" s="157" t="s">
        <v>706</v>
      </c>
      <c r="E1497" s="44">
        <f t="shared" si="110"/>
        <v>42207</v>
      </c>
      <c r="F1497" s="146" t="str">
        <f t="shared" si="111"/>
        <v>2015-16</v>
      </c>
      <c r="G1497" s="1"/>
      <c r="H1497" s="161"/>
      <c r="I1497" s="37"/>
      <c r="J1497" s="135">
        <f t="shared" si="107"/>
        <v>0.76382508261777382</v>
      </c>
      <c r="K1497" s="112"/>
      <c r="L1497" s="37">
        <v>19.111572672099999</v>
      </c>
      <c r="M1497" s="37" t="s">
        <v>288</v>
      </c>
      <c r="N1497" s="37">
        <v>950.87219512195099</v>
      </c>
      <c r="O1497" s="130">
        <f t="shared" si="108"/>
        <v>18172.663058952417</v>
      </c>
      <c r="P1497" s="132">
        <f t="shared" si="109"/>
        <v>778.36003873589902</v>
      </c>
      <c r="Q1497" s="261">
        <v>5.6074839724089359E-2</v>
      </c>
      <c r="R1497" s="92"/>
    </row>
    <row r="1498" spans="1:18" x14ac:dyDescent="0.25">
      <c r="A1498" s="353">
        <v>42207</v>
      </c>
      <c r="B1498" s="353" t="s">
        <v>285</v>
      </c>
      <c r="C1498" s="263" t="s">
        <v>705</v>
      </c>
      <c r="D1498" s="157" t="s">
        <v>706</v>
      </c>
      <c r="E1498" s="44">
        <f t="shared" si="110"/>
        <v>42207</v>
      </c>
      <c r="F1498" s="146" t="str">
        <f t="shared" si="111"/>
        <v>2015-16</v>
      </c>
      <c r="G1498" s="1"/>
      <c r="H1498" s="161"/>
      <c r="I1498" s="37"/>
      <c r="J1498" s="135">
        <f t="shared" ref="J1498:J1561" si="112">J1497</f>
        <v>0.76382508261777382</v>
      </c>
      <c r="K1498" s="112"/>
      <c r="L1498" s="37">
        <v>40.814075761600002</v>
      </c>
      <c r="M1498" s="37" t="s">
        <v>288</v>
      </c>
      <c r="N1498" s="37">
        <v>3336.4019512195118</v>
      </c>
      <c r="O1498" s="130">
        <f t="shared" ref="O1498:O1561" si="113">IF(N1498="","-",L1498*N1498)</f>
        <v>136172.16200822324</v>
      </c>
      <c r="P1498" s="132">
        <f t="shared" ref="P1498:P1561" si="114">IF(O1498="-","-",IF(OR(E1498&lt;$E$15,E1498&gt;$E$16),0,O1498*J1498))*Q1498</f>
        <v>5832.4401300808431</v>
      </c>
      <c r="Q1498" s="261">
        <v>5.6074839724089359E-2</v>
      </c>
      <c r="R1498" s="92"/>
    </row>
    <row r="1499" spans="1:18" x14ac:dyDescent="0.25">
      <c r="A1499" s="353">
        <v>42207</v>
      </c>
      <c r="B1499" s="353" t="s">
        <v>285</v>
      </c>
      <c r="C1499" s="263" t="s">
        <v>705</v>
      </c>
      <c r="D1499" s="157" t="s">
        <v>706</v>
      </c>
      <c r="E1499" s="44">
        <f t="shared" ref="E1499:E1562" si="115">IF(VALUE(A1499)&lt;2022,DATEVALUE("30 Jun "&amp;A1499),A1499)</f>
        <v>42207</v>
      </c>
      <c r="F1499" s="146" t="str">
        <f t="shared" si="111"/>
        <v>2015-16</v>
      </c>
      <c r="G1499" s="1"/>
      <c r="H1499" s="161"/>
      <c r="I1499" s="37"/>
      <c r="J1499" s="135">
        <f t="shared" si="112"/>
        <v>0.76382508261777382</v>
      </c>
      <c r="K1499" s="112"/>
      <c r="L1499" s="37">
        <v>119.550154265</v>
      </c>
      <c r="M1499" s="37" t="s">
        <v>288</v>
      </c>
      <c r="N1499" s="37">
        <v>812.22926829268283</v>
      </c>
      <c r="O1499" s="130">
        <f t="shared" si="113"/>
        <v>97102.134322938306</v>
      </c>
      <c r="P1499" s="132">
        <f t="shared" si="114"/>
        <v>4159.0173541300255</v>
      </c>
      <c r="Q1499" s="261">
        <v>5.6074839724089359E-2</v>
      </c>
      <c r="R1499" s="92"/>
    </row>
    <row r="1500" spans="1:18" x14ac:dyDescent="0.25">
      <c r="A1500" s="353">
        <v>42207</v>
      </c>
      <c r="B1500" s="353" t="s">
        <v>285</v>
      </c>
      <c r="C1500" s="263" t="s">
        <v>705</v>
      </c>
      <c r="D1500" s="157" t="s">
        <v>706</v>
      </c>
      <c r="E1500" s="44">
        <f t="shared" si="115"/>
        <v>42207</v>
      </c>
      <c r="F1500" s="146" t="str">
        <f t="shared" si="111"/>
        <v>2015-16</v>
      </c>
      <c r="G1500" s="1"/>
      <c r="H1500" s="161"/>
      <c r="I1500" s="37"/>
      <c r="J1500" s="135">
        <f t="shared" si="112"/>
        <v>0.76382508261777382</v>
      </c>
      <c r="K1500" s="112"/>
      <c r="L1500" s="37">
        <v>52.093727119500002</v>
      </c>
      <c r="M1500" s="37" t="s">
        <v>288</v>
      </c>
      <c r="N1500" s="37">
        <v>812.22926829268283</v>
      </c>
      <c r="O1500" s="130">
        <f t="shared" si="113"/>
        <v>42312.049860910178</v>
      </c>
      <c r="P1500" s="132">
        <f t="shared" si="114"/>
        <v>1812.2830243368776</v>
      </c>
      <c r="Q1500" s="261">
        <v>5.6074839724089359E-2</v>
      </c>
      <c r="R1500" s="92"/>
    </row>
    <row r="1501" spans="1:18" x14ac:dyDescent="0.25">
      <c r="A1501" s="353">
        <v>42207</v>
      </c>
      <c r="B1501" s="353" t="s">
        <v>285</v>
      </c>
      <c r="C1501" s="263" t="s">
        <v>705</v>
      </c>
      <c r="D1501" s="157" t="s">
        <v>706</v>
      </c>
      <c r="E1501" s="44">
        <f t="shared" si="115"/>
        <v>42207</v>
      </c>
      <c r="F1501" s="146" t="str">
        <f t="shared" si="111"/>
        <v>2015-16</v>
      </c>
      <c r="G1501" s="1"/>
      <c r="H1501" s="161"/>
      <c r="I1501" s="37"/>
      <c r="J1501" s="135">
        <f t="shared" si="112"/>
        <v>0.76382508261777382</v>
      </c>
      <c r="K1501" s="112"/>
      <c r="L1501" s="37">
        <v>16.983472590400002</v>
      </c>
      <c r="M1501" s="37" t="s">
        <v>288</v>
      </c>
      <c r="N1501" s="37">
        <v>3336.4019512195118</v>
      </c>
      <c r="O1501" s="130">
        <f t="shared" si="113"/>
        <v>56663.691089093663</v>
      </c>
      <c r="P1501" s="132">
        <f t="shared" si="114"/>
        <v>2426.9834667571517</v>
      </c>
      <c r="Q1501" s="261">
        <v>5.6074839724089359E-2</v>
      </c>
      <c r="R1501" s="92"/>
    </row>
    <row r="1502" spans="1:18" x14ac:dyDescent="0.25">
      <c r="A1502" s="353">
        <v>42207</v>
      </c>
      <c r="B1502" s="353" t="s">
        <v>285</v>
      </c>
      <c r="C1502" s="263" t="s">
        <v>705</v>
      </c>
      <c r="D1502" s="157" t="s">
        <v>706</v>
      </c>
      <c r="E1502" s="44">
        <f t="shared" si="115"/>
        <v>42207</v>
      </c>
      <c r="F1502" s="146" t="str">
        <f t="shared" si="111"/>
        <v>2015-16</v>
      </c>
      <c r="G1502" s="1"/>
      <c r="H1502" s="161"/>
      <c r="I1502" s="37"/>
      <c r="J1502" s="135">
        <f t="shared" si="112"/>
        <v>0.76382508261777382</v>
      </c>
      <c r="K1502" s="112"/>
      <c r="L1502" s="37">
        <v>5.8008582123699997</v>
      </c>
      <c r="M1502" s="37" t="s">
        <v>288</v>
      </c>
      <c r="N1502" s="37">
        <v>3336.4019512195118</v>
      </c>
      <c r="O1502" s="130">
        <f t="shared" si="113"/>
        <v>19353.994658498996</v>
      </c>
      <c r="P1502" s="132">
        <f t="shared" si="114"/>
        <v>828.95808848788863</v>
      </c>
      <c r="Q1502" s="261">
        <v>5.6074839724089359E-2</v>
      </c>
      <c r="R1502" s="92"/>
    </row>
    <row r="1503" spans="1:18" x14ac:dyDescent="0.25">
      <c r="A1503" s="353">
        <v>42207</v>
      </c>
      <c r="B1503" s="353" t="s">
        <v>285</v>
      </c>
      <c r="C1503" s="263" t="s">
        <v>705</v>
      </c>
      <c r="D1503" s="157" t="s">
        <v>706</v>
      </c>
      <c r="E1503" s="44">
        <f t="shared" si="115"/>
        <v>42207</v>
      </c>
      <c r="F1503" s="146" t="str">
        <f t="shared" si="111"/>
        <v>2015-16</v>
      </c>
      <c r="G1503" s="1"/>
      <c r="H1503" s="161"/>
      <c r="I1503" s="37"/>
      <c r="J1503" s="135">
        <f t="shared" si="112"/>
        <v>0.76382508261777382</v>
      </c>
      <c r="K1503" s="112"/>
      <c r="L1503" s="37">
        <v>5.1490402989300001</v>
      </c>
      <c r="M1503" s="37" t="s">
        <v>288</v>
      </c>
      <c r="N1503" s="37">
        <v>3336.4019512195118</v>
      </c>
      <c r="O1503" s="130">
        <f t="shared" si="113"/>
        <v>17179.268100257952</v>
      </c>
      <c r="P1503" s="132">
        <f t="shared" si="114"/>
        <v>735.81157261284739</v>
      </c>
      <c r="Q1503" s="261">
        <v>5.6074839724089359E-2</v>
      </c>
      <c r="R1503" s="92"/>
    </row>
    <row r="1504" spans="1:18" x14ac:dyDescent="0.25">
      <c r="A1504" s="353">
        <v>42924</v>
      </c>
      <c r="B1504" s="353" t="s">
        <v>285</v>
      </c>
      <c r="C1504" s="263" t="s">
        <v>707</v>
      </c>
      <c r="D1504" s="157" t="s">
        <v>699</v>
      </c>
      <c r="E1504" s="44">
        <f t="shared" si="115"/>
        <v>42924</v>
      </c>
      <c r="F1504" s="146" t="str">
        <f t="shared" si="111"/>
        <v>2017-18</v>
      </c>
      <c r="G1504" s="1"/>
      <c r="H1504" s="161"/>
      <c r="I1504" s="37"/>
      <c r="J1504" s="135">
        <f t="shared" si="112"/>
        <v>0.76382508261777382</v>
      </c>
      <c r="K1504" s="112"/>
      <c r="L1504" s="37">
        <v>9.9136963206500006</v>
      </c>
      <c r="M1504" s="37" t="s">
        <v>288</v>
      </c>
      <c r="N1504" s="37">
        <v>3336.4019512195118</v>
      </c>
      <c r="O1504" s="130">
        <f t="shared" si="113"/>
        <v>33076.075748014358</v>
      </c>
      <c r="P1504" s="132">
        <f t="shared" si="114"/>
        <v>1515.7866618008316</v>
      </c>
      <c r="Q1504" s="261">
        <v>5.9997090141128161E-2</v>
      </c>
      <c r="R1504" s="92"/>
    </row>
    <row r="1505" spans="1:18" x14ac:dyDescent="0.25">
      <c r="A1505" s="353">
        <v>42924</v>
      </c>
      <c r="B1505" s="353" t="s">
        <v>285</v>
      </c>
      <c r="C1505" s="263" t="s">
        <v>707</v>
      </c>
      <c r="D1505" s="157" t="s">
        <v>699</v>
      </c>
      <c r="E1505" s="44">
        <f t="shared" si="115"/>
        <v>42924</v>
      </c>
      <c r="F1505" s="146" t="str">
        <f t="shared" si="111"/>
        <v>2017-18</v>
      </c>
      <c r="G1505" s="1"/>
      <c r="H1505" s="161"/>
      <c r="I1505" s="37"/>
      <c r="J1505" s="135">
        <f t="shared" si="112"/>
        <v>0.76382508261777382</v>
      </c>
      <c r="K1505" s="112"/>
      <c r="L1505" s="37">
        <v>4.6777195298600001</v>
      </c>
      <c r="M1505" s="37" t="s">
        <v>288</v>
      </c>
      <c r="N1505" s="37">
        <v>812.22926829268283</v>
      </c>
      <c r="O1505" s="130">
        <f t="shared" si="113"/>
        <v>3799.3807110165803</v>
      </c>
      <c r="P1505" s="132">
        <f t="shared" si="114"/>
        <v>174.11529253762887</v>
      </c>
      <c r="Q1505" s="261">
        <v>5.9997090141128161E-2</v>
      </c>
      <c r="R1505" s="92"/>
    </row>
    <row r="1506" spans="1:18" x14ac:dyDescent="0.25">
      <c r="A1506" s="353">
        <v>42924</v>
      </c>
      <c r="B1506" s="353" t="s">
        <v>285</v>
      </c>
      <c r="C1506" s="263" t="s">
        <v>707</v>
      </c>
      <c r="D1506" s="157" t="s">
        <v>699</v>
      </c>
      <c r="E1506" s="44">
        <f t="shared" si="115"/>
        <v>42924</v>
      </c>
      <c r="F1506" s="146" t="str">
        <f t="shared" si="111"/>
        <v>2017-18</v>
      </c>
      <c r="G1506" s="1"/>
      <c r="H1506" s="161"/>
      <c r="I1506" s="37"/>
      <c r="J1506" s="135">
        <f t="shared" si="112"/>
        <v>0.76382508261777382</v>
      </c>
      <c r="K1506" s="112"/>
      <c r="L1506" s="37">
        <v>12.638868988</v>
      </c>
      <c r="M1506" s="37" t="s">
        <v>288</v>
      </c>
      <c r="N1506" s="37">
        <v>812.22926829268283</v>
      </c>
      <c r="O1506" s="130">
        <f t="shared" si="113"/>
        <v>10265.659310170322</v>
      </c>
      <c r="P1506" s="132">
        <f t="shared" si="114"/>
        <v>470.44726755052977</v>
      </c>
      <c r="Q1506" s="261">
        <v>5.9997090141128161E-2</v>
      </c>
      <c r="R1506" s="92"/>
    </row>
    <row r="1507" spans="1:18" x14ac:dyDescent="0.25">
      <c r="A1507" s="353">
        <v>42924</v>
      </c>
      <c r="B1507" s="353" t="s">
        <v>285</v>
      </c>
      <c r="C1507" s="263" t="s">
        <v>707</v>
      </c>
      <c r="D1507" s="157" t="s">
        <v>699</v>
      </c>
      <c r="E1507" s="44">
        <f t="shared" si="115"/>
        <v>42924</v>
      </c>
      <c r="F1507" s="146" t="str">
        <f t="shared" si="111"/>
        <v>2017-18</v>
      </c>
      <c r="G1507" s="1"/>
      <c r="H1507" s="161"/>
      <c r="I1507" s="37"/>
      <c r="J1507" s="135">
        <f t="shared" si="112"/>
        <v>0.76382508261777382</v>
      </c>
      <c r="K1507" s="112"/>
      <c r="L1507" s="37">
        <v>39.605587691700002</v>
      </c>
      <c r="M1507" s="37" t="s">
        <v>288</v>
      </c>
      <c r="N1507" s="37">
        <v>812.22926829268283</v>
      </c>
      <c r="O1507" s="130">
        <f t="shared" si="113"/>
        <v>32168.817511131179</v>
      </c>
      <c r="P1507" s="132">
        <f t="shared" si="114"/>
        <v>1474.2094824294541</v>
      </c>
      <c r="Q1507" s="261">
        <v>5.9997090141128161E-2</v>
      </c>
      <c r="R1507" s="92"/>
    </row>
    <row r="1508" spans="1:18" x14ac:dyDescent="0.25">
      <c r="A1508" s="353">
        <v>42924</v>
      </c>
      <c r="B1508" s="353" t="s">
        <v>285</v>
      </c>
      <c r="C1508" s="263" t="s">
        <v>707</v>
      </c>
      <c r="D1508" s="157" t="s">
        <v>699</v>
      </c>
      <c r="E1508" s="44">
        <f t="shared" si="115"/>
        <v>42924</v>
      </c>
      <c r="F1508" s="146" t="str">
        <f t="shared" si="111"/>
        <v>2017-18</v>
      </c>
      <c r="G1508" s="1"/>
      <c r="H1508" s="161"/>
      <c r="I1508" s="37"/>
      <c r="J1508" s="135">
        <f t="shared" si="112"/>
        <v>0.76382508261777382</v>
      </c>
      <c r="K1508" s="112"/>
      <c r="L1508" s="37">
        <v>15.283198824299999</v>
      </c>
      <c r="M1508" s="37" t="s">
        <v>288</v>
      </c>
      <c r="N1508" s="37">
        <v>3336.4019512195118</v>
      </c>
      <c r="O1508" s="130">
        <f t="shared" si="113"/>
        <v>50990.89437827027</v>
      </c>
      <c r="P1508" s="132">
        <f t="shared" si="114"/>
        <v>2336.7741131297012</v>
      </c>
      <c r="Q1508" s="261">
        <v>5.9997090141128161E-2</v>
      </c>
      <c r="R1508" s="92"/>
    </row>
    <row r="1509" spans="1:18" x14ac:dyDescent="0.25">
      <c r="A1509" s="353">
        <v>42924</v>
      </c>
      <c r="B1509" s="353" t="s">
        <v>285</v>
      </c>
      <c r="C1509" s="263" t="s">
        <v>707</v>
      </c>
      <c r="D1509" s="157" t="s">
        <v>699</v>
      </c>
      <c r="E1509" s="44">
        <f t="shared" si="115"/>
        <v>42924</v>
      </c>
      <c r="F1509" s="146" t="str">
        <f t="shared" si="111"/>
        <v>2017-18</v>
      </c>
      <c r="G1509" s="1"/>
      <c r="H1509" s="161"/>
      <c r="I1509" s="37"/>
      <c r="J1509" s="135">
        <f t="shared" si="112"/>
        <v>0.76382508261777382</v>
      </c>
      <c r="K1509" s="112"/>
      <c r="L1509" s="37">
        <v>36.218186295300001</v>
      </c>
      <c r="M1509" s="37" t="s">
        <v>288</v>
      </c>
      <c r="N1509" s="37">
        <v>812.22926829268283</v>
      </c>
      <c r="O1509" s="130">
        <f t="shared" si="113"/>
        <v>29417.470953519594</v>
      </c>
      <c r="P1509" s="132">
        <f t="shared" si="114"/>
        <v>1348.1227469354576</v>
      </c>
      <c r="Q1509" s="261">
        <v>5.9997090141128161E-2</v>
      </c>
      <c r="R1509" s="92"/>
    </row>
    <row r="1510" spans="1:18" x14ac:dyDescent="0.25">
      <c r="A1510" s="353">
        <v>42924</v>
      </c>
      <c r="B1510" s="353" t="s">
        <v>285</v>
      </c>
      <c r="C1510" s="263" t="s">
        <v>707</v>
      </c>
      <c r="D1510" s="157" t="s">
        <v>699</v>
      </c>
      <c r="E1510" s="44">
        <f t="shared" si="115"/>
        <v>42924</v>
      </c>
      <c r="F1510" s="146" t="str">
        <f t="shared" si="111"/>
        <v>2017-18</v>
      </c>
      <c r="G1510" s="1"/>
      <c r="H1510" s="161"/>
      <c r="I1510" s="37"/>
      <c r="J1510" s="135">
        <f t="shared" si="112"/>
        <v>0.76382508261777382</v>
      </c>
      <c r="K1510" s="112"/>
      <c r="L1510" s="37">
        <v>30.678596368499999</v>
      </c>
      <c r="M1510" s="37" t="s">
        <v>288</v>
      </c>
      <c r="N1510" s="37">
        <v>3336.4019512195118</v>
      </c>
      <c r="O1510" s="130">
        <f t="shared" si="113"/>
        <v>102356.12878453922</v>
      </c>
      <c r="P1510" s="132">
        <f t="shared" si="114"/>
        <v>4690.7032124113684</v>
      </c>
      <c r="Q1510" s="261">
        <v>5.9997090141128161E-2</v>
      </c>
      <c r="R1510" s="92"/>
    </row>
    <row r="1511" spans="1:18" x14ac:dyDescent="0.25">
      <c r="A1511" s="353">
        <v>42924</v>
      </c>
      <c r="B1511" s="353" t="s">
        <v>285</v>
      </c>
      <c r="C1511" s="263" t="s">
        <v>707</v>
      </c>
      <c r="D1511" s="157" t="s">
        <v>699</v>
      </c>
      <c r="E1511" s="44">
        <f t="shared" si="115"/>
        <v>42924</v>
      </c>
      <c r="F1511" s="146" t="str">
        <f t="shared" si="111"/>
        <v>2017-18</v>
      </c>
      <c r="G1511" s="1"/>
      <c r="H1511" s="161"/>
      <c r="I1511" s="37"/>
      <c r="J1511" s="135">
        <f t="shared" si="112"/>
        <v>0.76382508261777382</v>
      </c>
      <c r="K1511" s="112"/>
      <c r="L1511" s="37">
        <v>53.499784585299999</v>
      </c>
      <c r="M1511" s="37" t="s">
        <v>288</v>
      </c>
      <c r="N1511" s="37">
        <v>812.22926829268283</v>
      </c>
      <c r="O1511" s="130">
        <f t="shared" si="113"/>
        <v>43454.090887534367</v>
      </c>
      <c r="P1511" s="132">
        <f t="shared" si="114"/>
        <v>1991.3828916648258</v>
      </c>
      <c r="Q1511" s="261">
        <v>5.9997090141128161E-2</v>
      </c>
      <c r="R1511" s="92"/>
    </row>
    <row r="1512" spans="1:18" x14ac:dyDescent="0.25">
      <c r="A1512" s="353">
        <v>42924</v>
      </c>
      <c r="B1512" s="353" t="s">
        <v>285</v>
      </c>
      <c r="C1512" s="263" t="s">
        <v>707</v>
      </c>
      <c r="D1512" s="157" t="s">
        <v>699</v>
      </c>
      <c r="E1512" s="44">
        <f t="shared" si="115"/>
        <v>42924</v>
      </c>
      <c r="F1512" s="146" t="str">
        <f t="shared" si="111"/>
        <v>2017-18</v>
      </c>
      <c r="G1512" s="1"/>
      <c r="H1512" s="161"/>
      <c r="I1512" s="37"/>
      <c r="J1512" s="135">
        <f t="shared" si="112"/>
        <v>0.76382508261777382</v>
      </c>
      <c r="K1512" s="112"/>
      <c r="L1512" s="37">
        <v>49.301839639699999</v>
      </c>
      <c r="M1512" s="37" t="s">
        <v>288</v>
      </c>
      <c r="N1512" s="37">
        <v>812.22926829268283</v>
      </c>
      <c r="O1512" s="130">
        <f t="shared" si="113"/>
        <v>40044.397136036714</v>
      </c>
      <c r="P1512" s="132">
        <f t="shared" si="114"/>
        <v>1835.1258934428995</v>
      </c>
      <c r="Q1512" s="261">
        <v>5.9997090141128161E-2</v>
      </c>
      <c r="R1512" s="92"/>
    </row>
    <row r="1513" spans="1:18" x14ac:dyDescent="0.25">
      <c r="A1513" s="353">
        <v>42924</v>
      </c>
      <c r="B1513" s="353" t="s">
        <v>285</v>
      </c>
      <c r="C1513" s="263" t="s">
        <v>707</v>
      </c>
      <c r="D1513" s="157" t="s">
        <v>699</v>
      </c>
      <c r="E1513" s="44">
        <f t="shared" si="115"/>
        <v>42924</v>
      </c>
      <c r="F1513" s="146" t="str">
        <f t="shared" si="111"/>
        <v>2017-18</v>
      </c>
      <c r="G1513" s="1"/>
      <c r="H1513" s="161"/>
      <c r="I1513" s="37"/>
      <c r="J1513" s="135">
        <f t="shared" si="112"/>
        <v>0.76382508261777382</v>
      </c>
      <c r="K1513" s="112"/>
      <c r="L1513" s="37">
        <v>49.004941794899999</v>
      </c>
      <c r="M1513" s="37" t="s">
        <v>288</v>
      </c>
      <c r="N1513" s="37">
        <v>812.22926829268283</v>
      </c>
      <c r="O1513" s="130">
        <f t="shared" si="113"/>
        <v>39803.248016797137</v>
      </c>
      <c r="P1513" s="132">
        <f t="shared" si="114"/>
        <v>1824.0746846709426</v>
      </c>
      <c r="Q1513" s="261">
        <v>5.9997090141128161E-2</v>
      </c>
      <c r="R1513" s="92"/>
    </row>
    <row r="1514" spans="1:18" x14ac:dyDescent="0.25">
      <c r="A1514" s="353">
        <v>42924</v>
      </c>
      <c r="B1514" s="353" t="s">
        <v>285</v>
      </c>
      <c r="C1514" s="263" t="s">
        <v>707</v>
      </c>
      <c r="D1514" s="157" t="s">
        <v>699</v>
      </c>
      <c r="E1514" s="44">
        <f t="shared" si="115"/>
        <v>42924</v>
      </c>
      <c r="F1514" s="146" t="str">
        <f t="shared" si="111"/>
        <v>2017-18</v>
      </c>
      <c r="G1514" s="1"/>
      <c r="H1514" s="161"/>
      <c r="I1514" s="37"/>
      <c r="J1514" s="135">
        <f t="shared" si="112"/>
        <v>0.76382508261777382</v>
      </c>
      <c r="K1514" s="112"/>
      <c r="L1514" s="37">
        <v>45.916255077800002</v>
      </c>
      <c r="M1514" s="37" t="s">
        <v>288</v>
      </c>
      <c r="N1514" s="37">
        <v>3336.4019512195118</v>
      </c>
      <c r="O1514" s="130">
        <f t="shared" si="113"/>
        <v>153195.08303426474</v>
      </c>
      <c r="P1514" s="132">
        <f t="shared" si="114"/>
        <v>7020.5143223724053</v>
      </c>
      <c r="Q1514" s="261">
        <v>5.9997090141128161E-2</v>
      </c>
      <c r="R1514" s="92"/>
    </row>
    <row r="1515" spans="1:18" x14ac:dyDescent="0.25">
      <c r="A1515" s="353">
        <v>42924</v>
      </c>
      <c r="B1515" s="353" t="s">
        <v>285</v>
      </c>
      <c r="C1515" s="263" t="s">
        <v>707</v>
      </c>
      <c r="D1515" s="157" t="s">
        <v>699</v>
      </c>
      <c r="E1515" s="44">
        <f t="shared" si="115"/>
        <v>42924</v>
      </c>
      <c r="F1515" s="146" t="str">
        <f t="shared" si="111"/>
        <v>2017-18</v>
      </c>
      <c r="G1515" s="1"/>
      <c r="H1515" s="161"/>
      <c r="I1515" s="37"/>
      <c r="J1515" s="135">
        <f t="shared" si="112"/>
        <v>0.76382508261777382</v>
      </c>
      <c r="K1515" s="112"/>
      <c r="L1515" s="37">
        <v>61.2629537949</v>
      </c>
      <c r="M1515" s="37" t="s">
        <v>288</v>
      </c>
      <c r="N1515" s="37">
        <v>812.22926829268283</v>
      </c>
      <c r="O1515" s="130">
        <f t="shared" si="113"/>
        <v>49759.564134280066</v>
      </c>
      <c r="P1515" s="132">
        <f t="shared" si="114"/>
        <v>2280.3455943921258</v>
      </c>
      <c r="Q1515" s="261">
        <v>5.9997090141128161E-2</v>
      </c>
      <c r="R1515" s="92"/>
    </row>
    <row r="1516" spans="1:18" x14ac:dyDescent="0.25">
      <c r="A1516" s="353">
        <v>42924</v>
      </c>
      <c r="B1516" s="353" t="s">
        <v>285</v>
      </c>
      <c r="C1516" s="263" t="s">
        <v>707</v>
      </c>
      <c r="D1516" s="157" t="s">
        <v>699</v>
      </c>
      <c r="E1516" s="44">
        <f t="shared" si="115"/>
        <v>42924</v>
      </c>
      <c r="F1516" s="146" t="str">
        <f t="shared" si="111"/>
        <v>2017-18</v>
      </c>
      <c r="G1516" s="1"/>
      <c r="H1516" s="161"/>
      <c r="I1516" s="37"/>
      <c r="J1516" s="135">
        <f t="shared" si="112"/>
        <v>0.76382508261777382</v>
      </c>
      <c r="K1516" s="112"/>
      <c r="L1516" s="37">
        <v>33.253983956799999</v>
      </c>
      <c r="M1516" s="37" t="s">
        <v>288</v>
      </c>
      <c r="N1516" s="37">
        <v>3336.4019512195118</v>
      </c>
      <c r="O1516" s="130">
        <f t="shared" si="113"/>
        <v>110948.65695928986</v>
      </c>
      <c r="P1516" s="132">
        <f t="shared" si="114"/>
        <v>5084.475427037426</v>
      </c>
      <c r="Q1516" s="261">
        <v>5.9997090141128161E-2</v>
      </c>
      <c r="R1516" s="92"/>
    </row>
    <row r="1517" spans="1:18" x14ac:dyDescent="0.25">
      <c r="A1517" s="353">
        <v>42924</v>
      </c>
      <c r="B1517" s="353" t="s">
        <v>285</v>
      </c>
      <c r="C1517" s="263" t="s">
        <v>707</v>
      </c>
      <c r="D1517" s="157" t="s">
        <v>699</v>
      </c>
      <c r="E1517" s="44">
        <f t="shared" si="115"/>
        <v>42924</v>
      </c>
      <c r="F1517" s="146" t="str">
        <f t="shared" si="111"/>
        <v>2017-18</v>
      </c>
      <c r="G1517" s="1"/>
      <c r="H1517" s="161"/>
      <c r="I1517" s="37"/>
      <c r="J1517" s="135">
        <f t="shared" si="112"/>
        <v>0.76382508261777382</v>
      </c>
      <c r="K1517" s="112"/>
      <c r="L1517" s="37">
        <v>38.982648823799998</v>
      </c>
      <c r="M1517" s="37" t="s">
        <v>288</v>
      </c>
      <c r="N1517" s="37">
        <v>812.22926829268283</v>
      </c>
      <c r="O1517" s="130">
        <f t="shared" si="113"/>
        <v>31662.848330265686</v>
      </c>
      <c r="P1517" s="132">
        <f t="shared" si="114"/>
        <v>1451.0222899256926</v>
      </c>
      <c r="Q1517" s="261">
        <v>5.9997090141128161E-2</v>
      </c>
      <c r="R1517" s="92"/>
    </row>
    <row r="1518" spans="1:18" x14ac:dyDescent="0.25">
      <c r="A1518" s="353">
        <v>42924</v>
      </c>
      <c r="B1518" s="353" t="s">
        <v>285</v>
      </c>
      <c r="C1518" s="263" t="s">
        <v>707</v>
      </c>
      <c r="D1518" s="157" t="s">
        <v>699</v>
      </c>
      <c r="E1518" s="44">
        <f t="shared" si="115"/>
        <v>42924</v>
      </c>
      <c r="F1518" s="146" t="str">
        <f t="shared" si="111"/>
        <v>2017-18</v>
      </c>
      <c r="G1518" s="1"/>
      <c r="H1518" s="161"/>
      <c r="I1518" s="37"/>
      <c r="J1518" s="135">
        <f t="shared" si="112"/>
        <v>0.76382508261777382</v>
      </c>
      <c r="K1518" s="112"/>
      <c r="L1518" s="37">
        <v>39.043395980200003</v>
      </c>
      <c r="M1518" s="37" t="s">
        <v>288</v>
      </c>
      <c r="N1518" s="37">
        <v>812.22926829268283</v>
      </c>
      <c r="O1518" s="130">
        <f t="shared" si="113"/>
        <v>31712.188948659325</v>
      </c>
      <c r="P1518" s="132">
        <f t="shared" si="114"/>
        <v>1453.2834363753457</v>
      </c>
      <c r="Q1518" s="261">
        <v>5.9997090141128161E-2</v>
      </c>
      <c r="R1518" s="92"/>
    </row>
    <row r="1519" spans="1:18" x14ac:dyDescent="0.25">
      <c r="A1519" s="353">
        <v>42924</v>
      </c>
      <c r="B1519" s="353" t="s">
        <v>285</v>
      </c>
      <c r="C1519" s="263" t="s">
        <v>707</v>
      </c>
      <c r="D1519" s="157" t="s">
        <v>699</v>
      </c>
      <c r="E1519" s="44">
        <f t="shared" si="115"/>
        <v>42924</v>
      </c>
      <c r="F1519" s="146" t="str">
        <f t="shared" si="111"/>
        <v>2017-18</v>
      </c>
      <c r="G1519" s="1"/>
      <c r="H1519" s="161"/>
      <c r="I1519" s="37"/>
      <c r="J1519" s="135">
        <f t="shared" si="112"/>
        <v>0.76382508261777382</v>
      </c>
      <c r="K1519" s="112"/>
      <c r="L1519" s="37">
        <v>39.556237773299998</v>
      </c>
      <c r="M1519" s="37" t="s">
        <v>288</v>
      </c>
      <c r="N1519" s="37">
        <v>812.22926829268283</v>
      </c>
      <c r="O1519" s="130">
        <f t="shared" si="113"/>
        <v>32128.734063018837</v>
      </c>
      <c r="P1519" s="132">
        <f t="shared" si="114"/>
        <v>1472.3725669358946</v>
      </c>
      <c r="Q1519" s="261">
        <v>5.9997090141128161E-2</v>
      </c>
      <c r="R1519" s="92"/>
    </row>
    <row r="1520" spans="1:18" x14ac:dyDescent="0.25">
      <c r="A1520" s="353">
        <v>42924</v>
      </c>
      <c r="B1520" s="353" t="s">
        <v>285</v>
      </c>
      <c r="C1520" s="263" t="s">
        <v>707</v>
      </c>
      <c r="D1520" s="157" t="s">
        <v>699</v>
      </c>
      <c r="E1520" s="44">
        <f t="shared" si="115"/>
        <v>42924</v>
      </c>
      <c r="F1520" s="146" t="str">
        <f t="shared" si="111"/>
        <v>2017-18</v>
      </c>
      <c r="G1520" s="1"/>
      <c r="H1520" s="161"/>
      <c r="I1520" s="37"/>
      <c r="J1520" s="135">
        <f t="shared" si="112"/>
        <v>0.76382508261777382</v>
      </c>
      <c r="K1520" s="112"/>
      <c r="L1520" s="37">
        <v>36.714032281599998</v>
      </c>
      <c r="M1520" s="37" t="s">
        <v>288</v>
      </c>
      <c r="N1520" s="37">
        <v>3336.4019512195118</v>
      </c>
      <c r="O1520" s="130">
        <f t="shared" si="113"/>
        <v>122492.76894146638</v>
      </c>
      <c r="P1520" s="132">
        <f t="shared" si="114"/>
        <v>5613.5107061384788</v>
      </c>
      <c r="Q1520" s="261">
        <v>5.9997090141128161E-2</v>
      </c>
      <c r="R1520" s="92"/>
    </row>
    <row r="1521" spans="1:18" x14ac:dyDescent="0.25">
      <c r="A1521" s="353">
        <v>42924</v>
      </c>
      <c r="B1521" s="353" t="s">
        <v>285</v>
      </c>
      <c r="C1521" s="263" t="s">
        <v>707</v>
      </c>
      <c r="D1521" s="157" t="s">
        <v>699</v>
      </c>
      <c r="E1521" s="44">
        <f t="shared" si="115"/>
        <v>42924</v>
      </c>
      <c r="F1521" s="146" t="str">
        <f t="shared" si="111"/>
        <v>2017-18</v>
      </c>
      <c r="G1521" s="1"/>
      <c r="H1521" s="161"/>
      <c r="I1521" s="37"/>
      <c r="J1521" s="135">
        <f t="shared" si="112"/>
        <v>0.76382508261777382</v>
      </c>
      <c r="K1521" s="112"/>
      <c r="L1521" s="37">
        <v>52.052571249899998</v>
      </c>
      <c r="M1521" s="37" t="s">
        <v>288</v>
      </c>
      <c r="N1521" s="37">
        <v>3336.4019512195118</v>
      </c>
      <c r="O1521" s="130">
        <f t="shared" si="113"/>
        <v>173668.30028415902</v>
      </c>
      <c r="P1521" s="132">
        <f t="shared" si="114"/>
        <v>7958.7462295660334</v>
      </c>
      <c r="Q1521" s="261">
        <v>5.9997090141128161E-2</v>
      </c>
      <c r="R1521" s="92"/>
    </row>
    <row r="1522" spans="1:18" x14ac:dyDescent="0.25">
      <c r="A1522" s="353">
        <v>42924</v>
      </c>
      <c r="B1522" s="353" t="s">
        <v>285</v>
      </c>
      <c r="C1522" s="263" t="s">
        <v>707</v>
      </c>
      <c r="D1522" s="157" t="s">
        <v>699</v>
      </c>
      <c r="E1522" s="44">
        <f t="shared" si="115"/>
        <v>42924</v>
      </c>
      <c r="F1522" s="146" t="str">
        <f t="shared" si="111"/>
        <v>2017-18</v>
      </c>
      <c r="G1522" s="1"/>
      <c r="H1522" s="161"/>
      <c r="I1522" s="37"/>
      <c r="J1522" s="135">
        <f t="shared" si="112"/>
        <v>0.76382508261777382</v>
      </c>
      <c r="K1522" s="112"/>
      <c r="L1522" s="37">
        <v>21.356097138799999</v>
      </c>
      <c r="M1522" s="37" t="s">
        <v>288</v>
      </c>
      <c r="N1522" s="37">
        <v>950.87219512195099</v>
      </c>
      <c r="O1522" s="130">
        <f t="shared" si="113"/>
        <v>20306.918965608373</v>
      </c>
      <c r="P1522" s="132">
        <f t="shared" si="114"/>
        <v>930.61090876801995</v>
      </c>
      <c r="Q1522" s="261">
        <v>5.9997090141128161E-2</v>
      </c>
      <c r="R1522" s="92"/>
    </row>
    <row r="1523" spans="1:18" x14ac:dyDescent="0.25">
      <c r="A1523" s="353">
        <v>42924</v>
      </c>
      <c r="B1523" s="353" t="s">
        <v>285</v>
      </c>
      <c r="C1523" s="263" t="s">
        <v>707</v>
      </c>
      <c r="D1523" s="157" t="s">
        <v>699</v>
      </c>
      <c r="E1523" s="44">
        <f t="shared" si="115"/>
        <v>42924</v>
      </c>
      <c r="F1523" s="146" t="str">
        <f t="shared" si="111"/>
        <v>2017-18</v>
      </c>
      <c r="G1523" s="1"/>
      <c r="H1523" s="161"/>
      <c r="I1523" s="37"/>
      <c r="J1523" s="135">
        <f t="shared" si="112"/>
        <v>0.76382508261777382</v>
      </c>
      <c r="K1523" s="112"/>
      <c r="L1523" s="37">
        <v>11.3944182827</v>
      </c>
      <c r="M1523" s="37" t="s">
        <v>288</v>
      </c>
      <c r="N1523" s="37">
        <v>950.87219512195099</v>
      </c>
      <c r="O1523" s="130">
        <f t="shared" si="113"/>
        <v>10834.63552460864</v>
      </c>
      <c r="P1523" s="132">
        <f t="shared" si="114"/>
        <v>496.52190117085291</v>
      </c>
      <c r="Q1523" s="261">
        <v>5.9997090141128161E-2</v>
      </c>
      <c r="R1523" s="92"/>
    </row>
    <row r="1524" spans="1:18" x14ac:dyDescent="0.25">
      <c r="A1524" s="353">
        <v>42924</v>
      </c>
      <c r="B1524" s="353" t="s">
        <v>285</v>
      </c>
      <c r="C1524" s="263" t="s">
        <v>707</v>
      </c>
      <c r="D1524" s="157" t="s">
        <v>699</v>
      </c>
      <c r="E1524" s="44">
        <f t="shared" si="115"/>
        <v>42924</v>
      </c>
      <c r="F1524" s="146" t="str">
        <f t="shared" si="111"/>
        <v>2017-18</v>
      </c>
      <c r="G1524" s="1"/>
      <c r="H1524" s="161"/>
      <c r="I1524" s="37"/>
      <c r="J1524" s="135">
        <f t="shared" si="112"/>
        <v>0.76382508261777382</v>
      </c>
      <c r="K1524" s="112"/>
      <c r="L1524" s="37">
        <v>6.6161840965899996</v>
      </c>
      <c r="M1524" s="37" t="s">
        <v>288</v>
      </c>
      <c r="N1524" s="37">
        <v>950.87219512195099</v>
      </c>
      <c r="O1524" s="130">
        <f t="shared" si="113"/>
        <v>6291.145495255475</v>
      </c>
      <c r="P1524" s="132">
        <f t="shared" si="114"/>
        <v>288.30610081454745</v>
      </c>
      <c r="Q1524" s="261">
        <v>5.9997090141128161E-2</v>
      </c>
      <c r="R1524" s="92"/>
    </row>
    <row r="1525" spans="1:18" x14ac:dyDescent="0.25">
      <c r="A1525" s="353">
        <v>42924</v>
      </c>
      <c r="B1525" s="353" t="s">
        <v>285</v>
      </c>
      <c r="C1525" s="263" t="s">
        <v>707</v>
      </c>
      <c r="D1525" s="157" t="s">
        <v>699</v>
      </c>
      <c r="E1525" s="44">
        <f t="shared" si="115"/>
        <v>42924</v>
      </c>
      <c r="F1525" s="146" t="str">
        <f t="shared" si="111"/>
        <v>2017-18</v>
      </c>
      <c r="G1525" s="1"/>
      <c r="H1525" s="161"/>
      <c r="I1525" s="37"/>
      <c r="J1525" s="135">
        <f t="shared" si="112"/>
        <v>0.76382508261777382</v>
      </c>
      <c r="K1525" s="112"/>
      <c r="L1525" s="37">
        <v>1.9045705552700001</v>
      </c>
      <c r="M1525" s="37" t="s">
        <v>288</v>
      </c>
      <c r="N1525" s="37">
        <v>950.87219512195099</v>
      </c>
      <c r="O1525" s="130">
        <f t="shared" si="113"/>
        <v>1811.0031846542181</v>
      </c>
      <c r="P1525" s="132">
        <f t="shared" si="114"/>
        <v>82.993354250692434</v>
      </c>
      <c r="Q1525" s="261">
        <v>5.9997090141128161E-2</v>
      </c>
      <c r="R1525" s="92"/>
    </row>
    <row r="1526" spans="1:18" x14ac:dyDescent="0.25">
      <c r="A1526" s="353">
        <v>42924</v>
      </c>
      <c r="B1526" s="353" t="s">
        <v>285</v>
      </c>
      <c r="C1526" s="263" t="s">
        <v>707</v>
      </c>
      <c r="D1526" s="157" t="s">
        <v>699</v>
      </c>
      <c r="E1526" s="44">
        <f t="shared" si="115"/>
        <v>42924</v>
      </c>
      <c r="F1526" s="146" t="str">
        <f t="shared" si="111"/>
        <v>2017-18</v>
      </c>
      <c r="G1526" s="1"/>
      <c r="H1526" s="161"/>
      <c r="I1526" s="37"/>
      <c r="J1526" s="135">
        <f t="shared" si="112"/>
        <v>0.76382508261777382</v>
      </c>
      <c r="K1526" s="112"/>
      <c r="L1526" s="37">
        <v>82.487318026099999</v>
      </c>
      <c r="M1526" s="37" t="s">
        <v>288</v>
      </c>
      <c r="N1526" s="37">
        <v>812.22926829268283</v>
      </c>
      <c r="O1526" s="130">
        <f t="shared" si="113"/>
        <v>66998.613963765034</v>
      </c>
      <c r="P1526" s="132">
        <f t="shared" si="114"/>
        <v>3070.3643980956426</v>
      </c>
      <c r="Q1526" s="261">
        <v>5.9997090141128161E-2</v>
      </c>
      <c r="R1526" s="92"/>
    </row>
    <row r="1527" spans="1:18" x14ac:dyDescent="0.25">
      <c r="A1527" s="353">
        <v>42924</v>
      </c>
      <c r="B1527" s="353" t="s">
        <v>285</v>
      </c>
      <c r="C1527" s="263" t="s">
        <v>707</v>
      </c>
      <c r="D1527" s="157" t="s">
        <v>699</v>
      </c>
      <c r="E1527" s="44">
        <f t="shared" si="115"/>
        <v>42924</v>
      </c>
      <c r="F1527" s="146" t="str">
        <f t="shared" si="111"/>
        <v>2017-18</v>
      </c>
      <c r="G1527" s="1"/>
      <c r="H1527" s="161"/>
      <c r="I1527" s="37"/>
      <c r="J1527" s="135">
        <f t="shared" si="112"/>
        <v>0.76382508261777382</v>
      </c>
      <c r="K1527" s="112"/>
      <c r="L1527" s="37">
        <v>71.976184256899998</v>
      </c>
      <c r="M1527" s="37" t="s">
        <v>288</v>
      </c>
      <c r="N1527" s="37">
        <v>812.22926829268283</v>
      </c>
      <c r="O1527" s="130">
        <f t="shared" si="113"/>
        <v>58461.163473481203</v>
      </c>
      <c r="P1527" s="132">
        <f t="shared" si="114"/>
        <v>2679.1162440659409</v>
      </c>
      <c r="Q1527" s="261">
        <v>5.9997090141128161E-2</v>
      </c>
      <c r="R1527" s="92"/>
    </row>
    <row r="1528" spans="1:18" x14ac:dyDescent="0.25">
      <c r="A1528" s="353">
        <v>42924</v>
      </c>
      <c r="B1528" s="353" t="s">
        <v>285</v>
      </c>
      <c r="C1528" s="263" t="s">
        <v>707</v>
      </c>
      <c r="D1528" s="157" t="s">
        <v>699</v>
      </c>
      <c r="E1528" s="44">
        <f t="shared" si="115"/>
        <v>42924</v>
      </c>
      <c r="F1528" s="146" t="str">
        <f t="shared" si="111"/>
        <v>2017-18</v>
      </c>
      <c r="G1528" s="1"/>
      <c r="H1528" s="161"/>
      <c r="I1528" s="37"/>
      <c r="J1528" s="135">
        <f t="shared" si="112"/>
        <v>0.76382508261777382</v>
      </c>
      <c r="K1528" s="112"/>
      <c r="L1528" s="37">
        <v>52.9736126739</v>
      </c>
      <c r="M1528" s="37" t="s">
        <v>288</v>
      </c>
      <c r="N1528" s="37">
        <v>3336.4019512195118</v>
      </c>
      <c r="O1528" s="130">
        <f t="shared" si="113"/>
        <v>176741.26468834662</v>
      </c>
      <c r="P1528" s="132">
        <f t="shared" si="114"/>
        <v>8099.5718369186807</v>
      </c>
      <c r="Q1528" s="261">
        <v>5.9997090141128161E-2</v>
      </c>
      <c r="R1528" s="92"/>
    </row>
    <row r="1529" spans="1:18" x14ac:dyDescent="0.25">
      <c r="A1529" s="353">
        <v>43600</v>
      </c>
      <c r="B1529" s="353" t="s">
        <v>285</v>
      </c>
      <c r="C1529" s="263" t="s">
        <v>708</v>
      </c>
      <c r="D1529" s="157" t="s">
        <v>699</v>
      </c>
      <c r="E1529" s="44">
        <f t="shared" si="115"/>
        <v>43600</v>
      </c>
      <c r="F1529" s="146" t="str">
        <f t="shared" si="111"/>
        <v>2018-19</v>
      </c>
      <c r="G1529" s="1"/>
      <c r="H1529" s="161"/>
      <c r="I1529" s="37"/>
      <c r="J1529" s="135">
        <f t="shared" si="112"/>
        <v>0.76382508261777382</v>
      </c>
      <c r="K1529" s="112"/>
      <c r="L1529" s="37">
        <v>9.4039313060299996</v>
      </c>
      <c r="M1529" s="37" t="s">
        <v>288</v>
      </c>
      <c r="N1529" s="37">
        <v>812.22926829268283</v>
      </c>
      <c r="O1529" s="130">
        <f t="shared" si="113"/>
        <v>7638.1482437713994</v>
      </c>
      <c r="P1529" s="132">
        <f t="shared" si="114"/>
        <v>410.95024175006773</v>
      </c>
      <c r="Q1529" s="261">
        <v>7.043803653973145E-2</v>
      </c>
      <c r="R1529" s="92"/>
    </row>
    <row r="1530" spans="1:18" x14ac:dyDescent="0.25">
      <c r="A1530" s="353">
        <v>43600</v>
      </c>
      <c r="B1530" s="353" t="s">
        <v>285</v>
      </c>
      <c r="C1530" s="263" t="s">
        <v>708</v>
      </c>
      <c r="D1530" s="157" t="s">
        <v>699</v>
      </c>
      <c r="E1530" s="44">
        <f t="shared" si="115"/>
        <v>43600</v>
      </c>
      <c r="F1530" s="146" t="str">
        <f t="shared" si="111"/>
        <v>2018-19</v>
      </c>
      <c r="G1530" s="1"/>
      <c r="H1530" s="161"/>
      <c r="I1530" s="37"/>
      <c r="J1530" s="135">
        <f t="shared" si="112"/>
        <v>0.76382508261777382</v>
      </c>
      <c r="K1530" s="112"/>
      <c r="L1530" s="37">
        <v>63.105885475599997</v>
      </c>
      <c r="M1530" s="37" t="s">
        <v>288</v>
      </c>
      <c r="N1530" s="37">
        <v>812.22926829268283</v>
      </c>
      <c r="O1530" s="130">
        <f t="shared" si="113"/>
        <v>51256.447184808429</v>
      </c>
      <c r="P1530" s="132">
        <f t="shared" si="114"/>
        <v>2757.7167514421208</v>
      </c>
      <c r="Q1530" s="261">
        <v>7.043803653973145E-2</v>
      </c>
      <c r="R1530" s="92"/>
    </row>
    <row r="1531" spans="1:18" x14ac:dyDescent="0.25">
      <c r="A1531" s="353">
        <v>43600</v>
      </c>
      <c r="B1531" s="353" t="s">
        <v>285</v>
      </c>
      <c r="C1531" s="263" t="s">
        <v>708</v>
      </c>
      <c r="D1531" s="157" t="s">
        <v>699</v>
      </c>
      <c r="E1531" s="44">
        <f t="shared" si="115"/>
        <v>43600</v>
      </c>
      <c r="F1531" s="146" t="str">
        <f t="shared" ref="F1531:F1594" si="116">IF(E1531="","-",IF(OR(E1531&lt;$E$15,E1531&gt;$E$16),"ERROR - date outside of range",IF(MONTH(E1531)&gt;=7,YEAR(E1531)&amp;"-"&amp;IF(YEAR(E1531)=1999,"00",IF(AND(YEAR(E1531)&gt;=2000,YEAR(E1531)&lt;2009),"0","")&amp;RIGHT(YEAR(E1531),2)+1),RIGHT(YEAR(E1531),4)-1&amp;"-"&amp;RIGHT(YEAR(E1531),2))))</f>
        <v>2018-19</v>
      </c>
      <c r="G1531" s="1"/>
      <c r="H1531" s="161"/>
      <c r="I1531" s="37"/>
      <c r="J1531" s="135">
        <f t="shared" si="112"/>
        <v>0.76382508261777382</v>
      </c>
      <c r="K1531" s="112"/>
      <c r="L1531" s="37">
        <v>60.606345927299998</v>
      </c>
      <c r="M1531" s="37" t="s">
        <v>288</v>
      </c>
      <c r="N1531" s="37">
        <v>3336.4019512195118</v>
      </c>
      <c r="O1531" s="130">
        <f t="shared" si="113"/>
        <v>202207.13080812842</v>
      </c>
      <c r="P1531" s="132">
        <f t="shared" si="114"/>
        <v>10879.216616010332</v>
      </c>
      <c r="Q1531" s="261">
        <v>7.043803653973145E-2</v>
      </c>
      <c r="R1531" s="92"/>
    </row>
    <row r="1532" spans="1:18" x14ac:dyDescent="0.25">
      <c r="A1532" s="353">
        <v>43600</v>
      </c>
      <c r="B1532" s="353" t="s">
        <v>285</v>
      </c>
      <c r="C1532" s="263" t="s">
        <v>708</v>
      </c>
      <c r="D1532" s="157" t="s">
        <v>699</v>
      </c>
      <c r="E1532" s="44">
        <f t="shared" si="115"/>
        <v>43600</v>
      </c>
      <c r="F1532" s="146" t="str">
        <f t="shared" si="116"/>
        <v>2018-19</v>
      </c>
      <c r="G1532" s="1"/>
      <c r="H1532" s="161"/>
      <c r="I1532" s="37"/>
      <c r="J1532" s="135">
        <f t="shared" si="112"/>
        <v>0.76382508261777382</v>
      </c>
      <c r="K1532" s="112"/>
      <c r="L1532" s="37">
        <v>38.447043670299998</v>
      </c>
      <c r="M1532" s="37" t="s">
        <v>288</v>
      </c>
      <c r="N1532" s="37">
        <v>812.22926829268283</v>
      </c>
      <c r="O1532" s="130">
        <f t="shared" si="113"/>
        <v>31227.814148344591</v>
      </c>
      <c r="P1532" s="132">
        <f t="shared" si="114"/>
        <v>1680.1294455175378</v>
      </c>
      <c r="Q1532" s="261">
        <v>7.043803653973145E-2</v>
      </c>
      <c r="R1532" s="92"/>
    </row>
    <row r="1533" spans="1:18" x14ac:dyDescent="0.25">
      <c r="A1533" s="353">
        <v>43600</v>
      </c>
      <c r="B1533" s="353" t="s">
        <v>285</v>
      </c>
      <c r="C1533" s="263" t="s">
        <v>708</v>
      </c>
      <c r="D1533" s="157" t="s">
        <v>699</v>
      </c>
      <c r="E1533" s="44">
        <f t="shared" si="115"/>
        <v>43600</v>
      </c>
      <c r="F1533" s="146" t="str">
        <f t="shared" si="116"/>
        <v>2018-19</v>
      </c>
      <c r="G1533" s="1"/>
      <c r="H1533" s="161"/>
      <c r="I1533" s="37"/>
      <c r="J1533" s="135">
        <f t="shared" si="112"/>
        <v>0.76382508261777382</v>
      </c>
      <c r="K1533" s="112"/>
      <c r="L1533" s="37">
        <v>54.458707272399998</v>
      </c>
      <c r="M1533" s="37" t="s">
        <v>288</v>
      </c>
      <c r="N1533" s="37">
        <v>812.22926829268283</v>
      </c>
      <c r="O1533" s="130">
        <f t="shared" si="113"/>
        <v>44232.955960026855</v>
      </c>
      <c r="P1533" s="132">
        <f t="shared" si="114"/>
        <v>2379.8364950452728</v>
      </c>
      <c r="Q1533" s="261">
        <v>7.043803653973145E-2</v>
      </c>
      <c r="R1533" s="92"/>
    </row>
    <row r="1534" spans="1:18" x14ac:dyDescent="0.25">
      <c r="A1534" s="353">
        <v>43600</v>
      </c>
      <c r="B1534" s="353" t="s">
        <v>285</v>
      </c>
      <c r="C1534" s="263" t="s">
        <v>708</v>
      </c>
      <c r="D1534" s="157" t="s">
        <v>699</v>
      </c>
      <c r="E1534" s="44">
        <f t="shared" si="115"/>
        <v>43600</v>
      </c>
      <c r="F1534" s="146" t="str">
        <f t="shared" si="116"/>
        <v>2018-19</v>
      </c>
      <c r="G1534" s="1"/>
      <c r="H1534" s="161"/>
      <c r="I1534" s="37"/>
      <c r="J1534" s="135">
        <f t="shared" si="112"/>
        <v>0.76382508261777382</v>
      </c>
      <c r="K1534" s="112"/>
      <c r="L1534" s="37">
        <v>57.1248482811</v>
      </c>
      <c r="M1534" s="37" t="s">
        <v>288</v>
      </c>
      <c r="N1534" s="37">
        <v>812.22926829268283</v>
      </c>
      <c r="O1534" s="130">
        <f t="shared" si="113"/>
        <v>46398.473720688373</v>
      </c>
      <c r="P1534" s="132">
        <f t="shared" si="114"/>
        <v>2496.3464158868342</v>
      </c>
      <c r="Q1534" s="261">
        <v>7.043803653973145E-2</v>
      </c>
      <c r="R1534" s="92"/>
    </row>
    <row r="1535" spans="1:18" x14ac:dyDescent="0.25">
      <c r="A1535" s="353">
        <v>43600</v>
      </c>
      <c r="B1535" s="353" t="s">
        <v>285</v>
      </c>
      <c r="C1535" s="263" t="s">
        <v>708</v>
      </c>
      <c r="D1535" s="157" t="s">
        <v>699</v>
      </c>
      <c r="E1535" s="44">
        <f t="shared" si="115"/>
        <v>43600</v>
      </c>
      <c r="F1535" s="146" t="str">
        <f t="shared" si="116"/>
        <v>2018-19</v>
      </c>
      <c r="G1535" s="1"/>
      <c r="H1535" s="161"/>
      <c r="I1535" s="37"/>
      <c r="J1535" s="135">
        <f t="shared" si="112"/>
        <v>0.76382508261777382</v>
      </c>
      <c r="K1535" s="112"/>
      <c r="L1535" s="37">
        <v>32.096914402099998</v>
      </c>
      <c r="M1535" s="37" t="s">
        <v>288</v>
      </c>
      <c r="N1535" s="37">
        <v>3336.4019512195118</v>
      </c>
      <c r="O1535" s="130">
        <f t="shared" si="113"/>
        <v>107088.20783929208</v>
      </c>
      <c r="P1535" s="132">
        <f t="shared" si="114"/>
        <v>5761.5960695742269</v>
      </c>
      <c r="Q1535" s="261">
        <v>7.043803653973145E-2</v>
      </c>
      <c r="R1535" s="92"/>
    </row>
    <row r="1536" spans="1:18" x14ac:dyDescent="0.25">
      <c r="A1536" s="353">
        <v>43600</v>
      </c>
      <c r="B1536" s="353" t="s">
        <v>285</v>
      </c>
      <c r="C1536" s="263" t="s">
        <v>708</v>
      </c>
      <c r="D1536" s="157" t="s">
        <v>699</v>
      </c>
      <c r="E1536" s="44">
        <f t="shared" si="115"/>
        <v>43600</v>
      </c>
      <c r="F1536" s="146" t="str">
        <f t="shared" si="116"/>
        <v>2018-19</v>
      </c>
      <c r="G1536" s="1"/>
      <c r="H1536" s="161"/>
      <c r="I1536" s="37"/>
      <c r="J1536" s="135">
        <f t="shared" si="112"/>
        <v>0.76382508261777382</v>
      </c>
      <c r="K1536" s="112"/>
      <c r="L1536" s="37">
        <v>31.093804709800001</v>
      </c>
      <c r="M1536" s="37" t="s">
        <v>288</v>
      </c>
      <c r="N1536" s="37">
        <v>3336.4019512195118</v>
      </c>
      <c r="O1536" s="130">
        <f t="shared" si="113"/>
        <v>103741.43070461517</v>
      </c>
      <c r="P1536" s="132">
        <f t="shared" si="114"/>
        <v>5581.5316313511757</v>
      </c>
      <c r="Q1536" s="261">
        <v>7.043803653973145E-2</v>
      </c>
      <c r="R1536" s="92"/>
    </row>
    <row r="1537" spans="1:18" x14ac:dyDescent="0.25">
      <c r="A1537" s="353">
        <v>43600</v>
      </c>
      <c r="B1537" s="353" t="s">
        <v>285</v>
      </c>
      <c r="C1537" s="263" t="s">
        <v>708</v>
      </c>
      <c r="D1537" s="157" t="s">
        <v>699</v>
      </c>
      <c r="E1537" s="44">
        <f t="shared" si="115"/>
        <v>43600</v>
      </c>
      <c r="F1537" s="146" t="str">
        <f t="shared" si="116"/>
        <v>2018-19</v>
      </c>
      <c r="G1537" s="1"/>
      <c r="H1537" s="161"/>
      <c r="I1537" s="37"/>
      <c r="J1537" s="135">
        <f t="shared" si="112"/>
        <v>0.76382508261777382</v>
      </c>
      <c r="K1537" s="112"/>
      <c r="L1537" s="37">
        <v>6.7659618839600002</v>
      </c>
      <c r="M1537" s="37" t="s">
        <v>288</v>
      </c>
      <c r="N1537" s="37">
        <v>3336.4019512195118</v>
      </c>
      <c r="O1537" s="130">
        <f t="shared" si="113"/>
        <v>22573.968431520989</v>
      </c>
      <c r="P1537" s="132">
        <f t="shared" si="114"/>
        <v>1214.5323039202315</v>
      </c>
      <c r="Q1537" s="261">
        <v>7.043803653973145E-2</v>
      </c>
      <c r="R1537" s="92"/>
    </row>
    <row r="1538" spans="1:18" x14ac:dyDescent="0.25">
      <c r="A1538" s="353">
        <v>43600</v>
      </c>
      <c r="B1538" s="353" t="s">
        <v>285</v>
      </c>
      <c r="C1538" s="263" t="s">
        <v>708</v>
      </c>
      <c r="D1538" s="157" t="s">
        <v>699</v>
      </c>
      <c r="E1538" s="44">
        <f t="shared" si="115"/>
        <v>43600</v>
      </c>
      <c r="F1538" s="146" t="str">
        <f t="shared" si="116"/>
        <v>2018-19</v>
      </c>
      <c r="G1538" s="1"/>
      <c r="H1538" s="161"/>
      <c r="I1538" s="37"/>
      <c r="J1538" s="135">
        <f t="shared" si="112"/>
        <v>0.76382508261777382</v>
      </c>
      <c r="K1538" s="112"/>
      <c r="L1538" s="37">
        <v>60.302844649000001</v>
      </c>
      <c r="M1538" s="37" t="s">
        <v>288</v>
      </c>
      <c r="N1538" s="37">
        <v>3592.3639024390236</v>
      </c>
      <c r="O1538" s="130">
        <f t="shared" si="113"/>
        <v>216629.76233145583</v>
      </c>
      <c r="P1538" s="132">
        <f t="shared" si="114"/>
        <v>11655.187927645553</v>
      </c>
      <c r="Q1538" s="261">
        <v>7.043803653973145E-2</v>
      </c>
      <c r="R1538" s="92"/>
    </row>
    <row r="1539" spans="1:18" x14ac:dyDescent="0.25">
      <c r="A1539" s="353">
        <v>43600</v>
      </c>
      <c r="B1539" s="353" t="s">
        <v>285</v>
      </c>
      <c r="C1539" s="263" t="s">
        <v>708</v>
      </c>
      <c r="D1539" s="157" t="s">
        <v>699</v>
      </c>
      <c r="E1539" s="44">
        <f t="shared" si="115"/>
        <v>43600</v>
      </c>
      <c r="F1539" s="146" t="str">
        <f t="shared" si="116"/>
        <v>2018-19</v>
      </c>
      <c r="G1539" s="1"/>
      <c r="H1539" s="161"/>
      <c r="I1539" s="37"/>
      <c r="J1539" s="135">
        <f t="shared" si="112"/>
        <v>0.76382508261777382</v>
      </c>
      <c r="K1539" s="112"/>
      <c r="L1539" s="37">
        <v>61.706577265</v>
      </c>
      <c r="M1539" s="37" t="s">
        <v>288</v>
      </c>
      <c r="N1539" s="37">
        <v>812.22926829268283</v>
      </c>
      <c r="O1539" s="130">
        <f t="shared" si="113"/>
        <v>50119.888100796845</v>
      </c>
      <c r="P1539" s="132">
        <f t="shared" si="114"/>
        <v>2696.5672142203639</v>
      </c>
      <c r="Q1539" s="261">
        <v>7.043803653973145E-2</v>
      </c>
      <c r="R1539" s="92"/>
    </row>
    <row r="1540" spans="1:18" x14ac:dyDescent="0.25">
      <c r="A1540" s="353">
        <v>43600</v>
      </c>
      <c r="B1540" s="353" t="s">
        <v>285</v>
      </c>
      <c r="C1540" s="263" t="s">
        <v>708</v>
      </c>
      <c r="D1540" s="157" t="s">
        <v>699</v>
      </c>
      <c r="E1540" s="44">
        <f t="shared" si="115"/>
        <v>43600</v>
      </c>
      <c r="F1540" s="146" t="str">
        <f t="shared" si="116"/>
        <v>2018-19</v>
      </c>
      <c r="G1540" s="1"/>
      <c r="H1540" s="161"/>
      <c r="I1540" s="37"/>
      <c r="J1540" s="135">
        <f t="shared" si="112"/>
        <v>0.76382508261777382</v>
      </c>
      <c r="K1540" s="112"/>
      <c r="L1540" s="37">
        <v>40.537390911899998</v>
      </c>
      <c r="M1540" s="37" t="s">
        <v>288</v>
      </c>
      <c r="N1540" s="37">
        <v>3592.3639024390236</v>
      </c>
      <c r="O1540" s="130">
        <f t="shared" si="113"/>
        <v>145625.05981096928</v>
      </c>
      <c r="P1540" s="132">
        <f t="shared" si="114"/>
        <v>7834.9688464068222</v>
      </c>
      <c r="Q1540" s="261">
        <v>7.043803653973145E-2</v>
      </c>
      <c r="R1540" s="92"/>
    </row>
    <row r="1541" spans="1:18" x14ac:dyDescent="0.25">
      <c r="A1541" s="353">
        <v>43600</v>
      </c>
      <c r="B1541" s="353" t="s">
        <v>285</v>
      </c>
      <c r="C1541" s="263" t="s">
        <v>708</v>
      </c>
      <c r="D1541" s="157" t="s">
        <v>699</v>
      </c>
      <c r="E1541" s="44">
        <f t="shared" si="115"/>
        <v>43600</v>
      </c>
      <c r="F1541" s="146" t="str">
        <f t="shared" si="116"/>
        <v>2018-19</v>
      </c>
      <c r="G1541" s="1"/>
      <c r="H1541" s="161"/>
      <c r="I1541" s="37"/>
      <c r="J1541" s="135">
        <f t="shared" si="112"/>
        <v>0.76382508261777382</v>
      </c>
      <c r="K1541" s="112"/>
      <c r="L1541" s="37">
        <v>30.999340456300001</v>
      </c>
      <c r="M1541" s="37" t="s">
        <v>288</v>
      </c>
      <c r="N1541" s="37">
        <v>812.22926829268283</v>
      </c>
      <c r="O1541" s="130">
        <f t="shared" si="113"/>
        <v>25178.57161637631</v>
      </c>
      <c r="P1541" s="132">
        <f t="shared" si="114"/>
        <v>1354.6660476390873</v>
      </c>
      <c r="Q1541" s="261">
        <v>7.043803653973145E-2</v>
      </c>
      <c r="R1541" s="92"/>
    </row>
    <row r="1542" spans="1:18" x14ac:dyDescent="0.25">
      <c r="A1542" s="353">
        <v>43600</v>
      </c>
      <c r="B1542" s="353" t="s">
        <v>285</v>
      </c>
      <c r="C1542" s="263" t="s">
        <v>708</v>
      </c>
      <c r="D1542" s="157" t="s">
        <v>699</v>
      </c>
      <c r="E1542" s="44">
        <f t="shared" si="115"/>
        <v>43600</v>
      </c>
      <c r="F1542" s="146" t="str">
        <f t="shared" si="116"/>
        <v>2018-19</v>
      </c>
      <c r="G1542" s="1"/>
      <c r="H1542" s="161"/>
      <c r="I1542" s="37"/>
      <c r="J1542" s="135">
        <f t="shared" si="112"/>
        <v>0.76382508261777382</v>
      </c>
      <c r="K1542" s="112"/>
      <c r="L1542" s="37">
        <v>6.6062716414000002</v>
      </c>
      <c r="M1542" s="37" t="s">
        <v>288</v>
      </c>
      <c r="N1542" s="37">
        <v>3592.3639024390236</v>
      </c>
      <c r="O1542" s="130">
        <f t="shared" si="113"/>
        <v>23732.131774271958</v>
      </c>
      <c r="P1542" s="132">
        <f t="shared" si="114"/>
        <v>1276.8442007962437</v>
      </c>
      <c r="Q1542" s="261">
        <v>7.043803653973145E-2</v>
      </c>
      <c r="R1542" s="92"/>
    </row>
    <row r="1543" spans="1:18" x14ac:dyDescent="0.25">
      <c r="A1543" s="353">
        <v>43600</v>
      </c>
      <c r="B1543" s="353" t="s">
        <v>285</v>
      </c>
      <c r="C1543" s="263" t="s">
        <v>708</v>
      </c>
      <c r="D1543" s="157" t="s">
        <v>699</v>
      </c>
      <c r="E1543" s="44">
        <f t="shared" si="115"/>
        <v>43600</v>
      </c>
      <c r="F1543" s="146" t="str">
        <f t="shared" si="116"/>
        <v>2018-19</v>
      </c>
      <c r="G1543" s="1"/>
      <c r="H1543" s="161"/>
      <c r="I1543" s="37"/>
      <c r="J1543" s="135">
        <f t="shared" si="112"/>
        <v>0.76382508261777382</v>
      </c>
      <c r="K1543" s="112"/>
      <c r="L1543" s="37">
        <v>31.516524633900001</v>
      </c>
      <c r="M1543" s="37" t="s">
        <v>288</v>
      </c>
      <c r="N1543" s="37">
        <v>3336.4019512195118</v>
      </c>
      <c r="O1543" s="130">
        <f t="shared" si="113"/>
        <v>105151.79428420178</v>
      </c>
      <c r="P1543" s="132">
        <f t="shared" si="114"/>
        <v>5657.4124908853237</v>
      </c>
      <c r="Q1543" s="261">
        <v>7.043803653973145E-2</v>
      </c>
      <c r="R1543" s="92"/>
    </row>
    <row r="1544" spans="1:18" x14ac:dyDescent="0.25">
      <c r="A1544" s="353">
        <v>43600</v>
      </c>
      <c r="B1544" s="353" t="s">
        <v>285</v>
      </c>
      <c r="C1544" s="263" t="s">
        <v>708</v>
      </c>
      <c r="D1544" s="157" t="s">
        <v>699</v>
      </c>
      <c r="E1544" s="44">
        <f t="shared" si="115"/>
        <v>43600</v>
      </c>
      <c r="F1544" s="146" t="str">
        <f t="shared" si="116"/>
        <v>2018-19</v>
      </c>
      <c r="G1544" s="1"/>
      <c r="H1544" s="161"/>
      <c r="I1544" s="37"/>
      <c r="J1544" s="135">
        <f t="shared" si="112"/>
        <v>0.76382508261777382</v>
      </c>
      <c r="K1544" s="112"/>
      <c r="L1544" s="37">
        <v>20.976868871899999</v>
      </c>
      <c r="M1544" s="37" t="s">
        <v>288</v>
      </c>
      <c r="N1544" s="37">
        <v>812.22926829268283</v>
      </c>
      <c r="O1544" s="130">
        <f t="shared" si="113"/>
        <v>17038.026854894892</v>
      </c>
      <c r="P1544" s="132">
        <f t="shared" si="114"/>
        <v>916.6856980908783</v>
      </c>
      <c r="Q1544" s="261">
        <v>7.043803653973145E-2</v>
      </c>
      <c r="R1544" s="92"/>
    </row>
    <row r="1545" spans="1:18" x14ac:dyDescent="0.25">
      <c r="A1545" s="353">
        <v>43600</v>
      </c>
      <c r="B1545" s="353" t="s">
        <v>285</v>
      </c>
      <c r="C1545" s="263" t="s">
        <v>708</v>
      </c>
      <c r="D1545" s="157" t="s">
        <v>699</v>
      </c>
      <c r="E1545" s="44">
        <f t="shared" si="115"/>
        <v>43600</v>
      </c>
      <c r="F1545" s="146" t="str">
        <f t="shared" si="116"/>
        <v>2018-19</v>
      </c>
      <c r="G1545" s="1"/>
      <c r="H1545" s="161"/>
      <c r="I1545" s="37"/>
      <c r="J1545" s="135">
        <f t="shared" si="112"/>
        <v>0.76382508261777382</v>
      </c>
      <c r="K1545" s="112"/>
      <c r="L1545" s="37">
        <v>13.0150393477</v>
      </c>
      <c r="M1545" s="37" t="s">
        <v>288</v>
      </c>
      <c r="N1545" s="37">
        <v>950.87219512195099</v>
      </c>
      <c r="O1545" s="130">
        <f t="shared" si="113"/>
        <v>12375.639034146065</v>
      </c>
      <c r="P1545" s="132">
        <f t="shared" si="114"/>
        <v>665.83832763931241</v>
      </c>
      <c r="Q1545" s="261">
        <v>7.043803653973145E-2</v>
      </c>
      <c r="R1545" s="92"/>
    </row>
    <row r="1546" spans="1:18" x14ac:dyDescent="0.25">
      <c r="A1546" s="353">
        <v>43600</v>
      </c>
      <c r="B1546" s="353" t="s">
        <v>285</v>
      </c>
      <c r="C1546" s="263" t="s">
        <v>708</v>
      </c>
      <c r="D1546" s="157" t="s">
        <v>699</v>
      </c>
      <c r="E1546" s="44">
        <f t="shared" si="115"/>
        <v>43600</v>
      </c>
      <c r="F1546" s="146" t="str">
        <f t="shared" si="116"/>
        <v>2018-19</v>
      </c>
      <c r="G1546" s="1"/>
      <c r="H1546" s="161"/>
      <c r="I1546" s="37"/>
      <c r="J1546" s="135">
        <f t="shared" si="112"/>
        <v>0.76382508261777382</v>
      </c>
      <c r="K1546" s="112"/>
      <c r="L1546" s="37">
        <v>12.089431856999999</v>
      </c>
      <c r="M1546" s="37" t="s">
        <v>288</v>
      </c>
      <c r="N1546" s="37">
        <v>950.87219512195099</v>
      </c>
      <c r="O1546" s="130">
        <f t="shared" si="113"/>
        <v>11495.504607642833</v>
      </c>
      <c r="P1546" s="132">
        <f t="shared" si="114"/>
        <v>618.48503678913744</v>
      </c>
      <c r="Q1546" s="261">
        <v>7.043803653973145E-2</v>
      </c>
      <c r="R1546" s="92"/>
    </row>
    <row r="1547" spans="1:18" x14ac:dyDescent="0.25">
      <c r="A1547" s="353">
        <v>43600</v>
      </c>
      <c r="B1547" s="353" t="s">
        <v>285</v>
      </c>
      <c r="C1547" s="263" t="s">
        <v>708</v>
      </c>
      <c r="D1547" s="157" t="s">
        <v>699</v>
      </c>
      <c r="E1547" s="44">
        <f t="shared" si="115"/>
        <v>43600</v>
      </c>
      <c r="F1547" s="146" t="str">
        <f t="shared" si="116"/>
        <v>2018-19</v>
      </c>
      <c r="G1547" s="1"/>
      <c r="H1547" s="161"/>
      <c r="I1547" s="37"/>
      <c r="J1547" s="135">
        <f t="shared" si="112"/>
        <v>0.76382508261777382</v>
      </c>
      <c r="K1547" s="112"/>
      <c r="L1547" s="37">
        <v>43.530624835499999</v>
      </c>
      <c r="M1547" s="37" t="s">
        <v>288</v>
      </c>
      <c r="N1547" s="37">
        <v>3336.4019512195118</v>
      </c>
      <c r="O1547" s="130">
        <f t="shared" si="113"/>
        <v>145235.66163896673</v>
      </c>
      <c r="P1547" s="132">
        <f t="shared" si="114"/>
        <v>7814.0183139198452</v>
      </c>
      <c r="Q1547" s="261">
        <v>7.043803653973145E-2</v>
      </c>
      <c r="R1547" s="92"/>
    </row>
    <row r="1548" spans="1:18" x14ac:dyDescent="0.25">
      <c r="A1548" s="353">
        <v>43600</v>
      </c>
      <c r="B1548" s="353" t="s">
        <v>285</v>
      </c>
      <c r="C1548" s="263" t="s">
        <v>708</v>
      </c>
      <c r="D1548" s="157" t="s">
        <v>699</v>
      </c>
      <c r="E1548" s="44">
        <f t="shared" si="115"/>
        <v>43600</v>
      </c>
      <c r="F1548" s="146" t="str">
        <f t="shared" si="116"/>
        <v>2018-19</v>
      </c>
      <c r="G1548" s="1"/>
      <c r="H1548" s="161"/>
      <c r="I1548" s="37"/>
      <c r="J1548" s="135">
        <f t="shared" si="112"/>
        <v>0.76382508261777382</v>
      </c>
      <c r="K1548" s="112"/>
      <c r="L1548" s="37">
        <v>25.062052810200001</v>
      </c>
      <c r="M1548" s="37" t="s">
        <v>288</v>
      </c>
      <c r="N1548" s="37">
        <v>812.22926829268283</v>
      </c>
      <c r="O1548" s="130">
        <f t="shared" si="113"/>
        <v>20356.132815941321</v>
      </c>
      <c r="P1548" s="132">
        <f t="shared" si="114"/>
        <v>1095.2075601084573</v>
      </c>
      <c r="Q1548" s="261">
        <v>7.043803653973145E-2</v>
      </c>
      <c r="R1548" s="92"/>
    </row>
    <row r="1549" spans="1:18" x14ac:dyDescent="0.25">
      <c r="A1549" s="353">
        <v>43600</v>
      </c>
      <c r="B1549" s="353" t="s">
        <v>285</v>
      </c>
      <c r="C1549" s="263" t="s">
        <v>708</v>
      </c>
      <c r="D1549" s="157" t="s">
        <v>699</v>
      </c>
      <c r="E1549" s="44">
        <f t="shared" si="115"/>
        <v>43600</v>
      </c>
      <c r="F1549" s="146" t="str">
        <f t="shared" si="116"/>
        <v>2018-19</v>
      </c>
      <c r="G1549" s="1"/>
      <c r="H1549" s="161"/>
      <c r="I1549" s="37"/>
      <c r="J1549" s="135">
        <f t="shared" si="112"/>
        <v>0.76382508261777382</v>
      </c>
      <c r="K1549" s="112"/>
      <c r="L1549" s="37">
        <v>10.1907442319</v>
      </c>
      <c r="M1549" s="37" t="s">
        <v>288</v>
      </c>
      <c r="N1549" s="37">
        <v>812.22926829268283</v>
      </c>
      <c r="O1549" s="130">
        <f t="shared" si="113"/>
        <v>8277.2207308340148</v>
      </c>
      <c r="P1549" s="132">
        <f t="shared" si="114"/>
        <v>445.33383639532229</v>
      </c>
      <c r="Q1549" s="261">
        <v>7.043803653973145E-2</v>
      </c>
      <c r="R1549" s="92"/>
    </row>
    <row r="1550" spans="1:18" x14ac:dyDescent="0.25">
      <c r="A1550" s="353">
        <v>43171</v>
      </c>
      <c r="B1550" s="353" t="s">
        <v>285</v>
      </c>
      <c r="C1550" s="263" t="s">
        <v>709</v>
      </c>
      <c r="D1550" s="157" t="s">
        <v>699</v>
      </c>
      <c r="E1550" s="44">
        <f t="shared" si="115"/>
        <v>43171</v>
      </c>
      <c r="F1550" s="146" t="str">
        <f t="shared" si="116"/>
        <v>2017-18</v>
      </c>
      <c r="G1550" s="1"/>
      <c r="H1550" s="161"/>
      <c r="I1550" s="37"/>
      <c r="J1550" s="135">
        <f t="shared" si="112"/>
        <v>0.76382508261777382</v>
      </c>
      <c r="K1550" s="112"/>
      <c r="L1550" s="37">
        <v>23.525515712200001</v>
      </c>
      <c r="M1550" s="37" t="s">
        <v>288</v>
      </c>
      <c r="N1550" s="37">
        <v>3592.3639024390236</v>
      </c>
      <c r="O1550" s="130">
        <f t="shared" si="113"/>
        <v>84512.213430769363</v>
      </c>
      <c r="P1550" s="132">
        <f t="shared" si="114"/>
        <v>4951.3629089619008</v>
      </c>
      <c r="Q1550" s="261">
        <v>7.6702826321014952E-2</v>
      </c>
      <c r="R1550" s="92"/>
    </row>
    <row r="1551" spans="1:18" x14ac:dyDescent="0.25">
      <c r="A1551" s="353">
        <v>43171</v>
      </c>
      <c r="B1551" s="353" t="s">
        <v>285</v>
      </c>
      <c r="C1551" s="263" t="s">
        <v>709</v>
      </c>
      <c r="D1551" s="157" t="s">
        <v>699</v>
      </c>
      <c r="E1551" s="44">
        <f t="shared" si="115"/>
        <v>43171</v>
      </c>
      <c r="F1551" s="146" t="str">
        <f t="shared" si="116"/>
        <v>2017-18</v>
      </c>
      <c r="G1551" s="1"/>
      <c r="H1551" s="161"/>
      <c r="I1551" s="37"/>
      <c r="J1551" s="135">
        <f t="shared" si="112"/>
        <v>0.76382508261777382</v>
      </c>
      <c r="K1551" s="112"/>
      <c r="L1551" s="37">
        <v>43.3585819515</v>
      </c>
      <c r="M1551" s="37" t="s">
        <v>288</v>
      </c>
      <c r="N1551" s="37">
        <v>812.22926829268283</v>
      </c>
      <c r="O1551" s="130">
        <f t="shared" si="113"/>
        <v>35217.109292675166</v>
      </c>
      <c r="P1551" s="132">
        <f t="shared" si="114"/>
        <v>2063.2838927529892</v>
      </c>
      <c r="Q1551" s="261">
        <v>7.6702826321014952E-2</v>
      </c>
      <c r="R1551" s="92"/>
    </row>
    <row r="1552" spans="1:18" x14ac:dyDescent="0.25">
      <c r="A1552" s="353">
        <v>43171</v>
      </c>
      <c r="B1552" s="353" t="s">
        <v>285</v>
      </c>
      <c r="C1552" s="263" t="s">
        <v>709</v>
      </c>
      <c r="D1552" s="157" t="s">
        <v>699</v>
      </c>
      <c r="E1552" s="44">
        <f t="shared" si="115"/>
        <v>43171</v>
      </c>
      <c r="F1552" s="146" t="str">
        <f t="shared" si="116"/>
        <v>2017-18</v>
      </c>
      <c r="G1552" s="1"/>
      <c r="H1552" s="161"/>
      <c r="I1552" s="37"/>
      <c r="J1552" s="135">
        <f t="shared" si="112"/>
        <v>0.76382508261777382</v>
      </c>
      <c r="K1552" s="112"/>
      <c r="L1552" s="37">
        <v>33.8998460173</v>
      </c>
      <c r="M1552" s="37" t="s">
        <v>288</v>
      </c>
      <c r="N1552" s="37">
        <v>812.22926829268283</v>
      </c>
      <c r="O1552" s="130">
        <f t="shared" si="113"/>
        <v>27534.447125866198</v>
      </c>
      <c r="P1552" s="132">
        <f t="shared" si="114"/>
        <v>1613.1755953767283</v>
      </c>
      <c r="Q1552" s="261">
        <v>7.6702826321014952E-2</v>
      </c>
      <c r="R1552" s="92"/>
    </row>
    <row r="1553" spans="1:18" x14ac:dyDescent="0.25">
      <c r="A1553" s="353">
        <v>43171</v>
      </c>
      <c r="B1553" s="353" t="s">
        <v>285</v>
      </c>
      <c r="C1553" s="263" t="s">
        <v>709</v>
      </c>
      <c r="D1553" s="157" t="s">
        <v>699</v>
      </c>
      <c r="E1553" s="44">
        <f t="shared" si="115"/>
        <v>43171</v>
      </c>
      <c r="F1553" s="146" t="str">
        <f t="shared" si="116"/>
        <v>2017-18</v>
      </c>
      <c r="G1553" s="1"/>
      <c r="H1553" s="161"/>
      <c r="I1553" s="37"/>
      <c r="J1553" s="135">
        <f t="shared" si="112"/>
        <v>0.76382508261777382</v>
      </c>
      <c r="K1553" s="112"/>
      <c r="L1553" s="37">
        <v>57.469324099799998</v>
      </c>
      <c r="M1553" s="37" t="s">
        <v>288</v>
      </c>
      <c r="N1553" s="37">
        <v>3336.4019512195118</v>
      </c>
      <c r="O1553" s="130">
        <f t="shared" si="113"/>
        <v>191740.76506183922</v>
      </c>
      <c r="P1553" s="132">
        <f t="shared" si="114"/>
        <v>11233.620251123577</v>
      </c>
      <c r="Q1553" s="261">
        <v>7.6702826321014952E-2</v>
      </c>
      <c r="R1553" s="92"/>
    </row>
    <row r="1554" spans="1:18" x14ac:dyDescent="0.25">
      <c r="A1554" s="353">
        <v>43171</v>
      </c>
      <c r="B1554" s="353" t="s">
        <v>285</v>
      </c>
      <c r="C1554" s="263" t="s">
        <v>709</v>
      </c>
      <c r="D1554" s="157" t="s">
        <v>699</v>
      </c>
      <c r="E1554" s="44">
        <f t="shared" si="115"/>
        <v>43171</v>
      </c>
      <c r="F1554" s="146" t="str">
        <f t="shared" si="116"/>
        <v>2017-18</v>
      </c>
      <c r="G1554" s="1"/>
      <c r="H1554" s="161"/>
      <c r="I1554" s="37"/>
      <c r="J1554" s="135">
        <f t="shared" si="112"/>
        <v>0.76382508261777382</v>
      </c>
      <c r="K1554" s="112"/>
      <c r="L1554" s="37">
        <v>23.644108654499998</v>
      </c>
      <c r="M1554" s="37" t="s">
        <v>288</v>
      </c>
      <c r="N1554" s="37">
        <v>3592.3639024390236</v>
      </c>
      <c r="O1554" s="130">
        <f t="shared" si="113"/>
        <v>84938.242435771899</v>
      </c>
      <c r="P1554" s="132">
        <f t="shared" si="114"/>
        <v>4976.3229014633334</v>
      </c>
      <c r="Q1554" s="261">
        <v>7.6702826321014952E-2</v>
      </c>
      <c r="R1554" s="92"/>
    </row>
    <row r="1555" spans="1:18" x14ac:dyDescent="0.25">
      <c r="A1555" s="353">
        <v>43171</v>
      </c>
      <c r="B1555" s="353" t="s">
        <v>285</v>
      </c>
      <c r="C1555" s="263" t="s">
        <v>709</v>
      </c>
      <c r="D1555" s="157" t="s">
        <v>699</v>
      </c>
      <c r="E1555" s="44">
        <f t="shared" si="115"/>
        <v>43171</v>
      </c>
      <c r="F1555" s="146" t="str">
        <f t="shared" si="116"/>
        <v>2017-18</v>
      </c>
      <c r="G1555" s="1"/>
      <c r="H1555" s="161"/>
      <c r="I1555" s="37"/>
      <c r="J1555" s="135">
        <f t="shared" si="112"/>
        <v>0.76382508261777382</v>
      </c>
      <c r="K1555" s="112"/>
      <c r="L1555" s="37">
        <v>4.8336487420900003</v>
      </c>
      <c r="M1555" s="37" t="s">
        <v>288</v>
      </c>
      <c r="N1555" s="37">
        <v>950.87219512195099</v>
      </c>
      <c r="O1555" s="130">
        <f t="shared" si="113"/>
        <v>4596.1821898395756</v>
      </c>
      <c r="P1555" s="132">
        <f t="shared" si="114"/>
        <v>269.27902008205376</v>
      </c>
      <c r="Q1555" s="261">
        <v>7.6702826321014952E-2</v>
      </c>
      <c r="R1555" s="92"/>
    </row>
    <row r="1556" spans="1:18" x14ac:dyDescent="0.25">
      <c r="A1556" s="353">
        <v>43171</v>
      </c>
      <c r="B1556" s="353" t="s">
        <v>285</v>
      </c>
      <c r="C1556" s="263" t="s">
        <v>709</v>
      </c>
      <c r="D1556" s="157" t="s">
        <v>699</v>
      </c>
      <c r="E1556" s="44">
        <f t="shared" si="115"/>
        <v>43171</v>
      </c>
      <c r="F1556" s="146" t="str">
        <f t="shared" si="116"/>
        <v>2017-18</v>
      </c>
      <c r="G1556" s="1"/>
      <c r="H1556" s="161"/>
      <c r="I1556" s="37"/>
      <c r="J1556" s="135">
        <f t="shared" si="112"/>
        <v>0.76382508261777382</v>
      </c>
      <c r="K1556" s="112"/>
      <c r="L1556" s="37">
        <v>99.952550842999997</v>
      </c>
      <c r="M1556" s="37" t="s">
        <v>288</v>
      </c>
      <c r="N1556" s="37">
        <v>3592.3639024390236</v>
      </c>
      <c r="O1556" s="130">
        <f t="shared" si="113"/>
        <v>359065.93560509436</v>
      </c>
      <c r="P1556" s="132">
        <f t="shared" si="114"/>
        <v>21036.790817023826</v>
      </c>
      <c r="Q1556" s="261">
        <v>7.6702826321014952E-2</v>
      </c>
      <c r="R1556" s="92"/>
    </row>
    <row r="1557" spans="1:18" x14ac:dyDescent="0.25">
      <c r="A1557" s="353">
        <v>43171</v>
      </c>
      <c r="B1557" s="353" t="s">
        <v>285</v>
      </c>
      <c r="C1557" s="263" t="s">
        <v>709</v>
      </c>
      <c r="D1557" s="157" t="s">
        <v>699</v>
      </c>
      <c r="E1557" s="44">
        <f t="shared" si="115"/>
        <v>43171</v>
      </c>
      <c r="F1557" s="146" t="str">
        <f t="shared" si="116"/>
        <v>2017-18</v>
      </c>
      <c r="G1557" s="1"/>
      <c r="H1557" s="161"/>
      <c r="I1557" s="37"/>
      <c r="J1557" s="135">
        <f t="shared" si="112"/>
        <v>0.76382508261777382</v>
      </c>
      <c r="K1557" s="112"/>
      <c r="L1557" s="37">
        <v>104.450896082</v>
      </c>
      <c r="M1557" s="37" t="s">
        <v>288</v>
      </c>
      <c r="N1557" s="37">
        <v>3592.3639024390236</v>
      </c>
      <c r="O1557" s="130">
        <f t="shared" si="113"/>
        <v>375225.62866238644</v>
      </c>
      <c r="P1557" s="132">
        <f t="shared" si="114"/>
        <v>21983.547523255755</v>
      </c>
      <c r="Q1557" s="261">
        <v>7.6702826321014952E-2</v>
      </c>
      <c r="R1557" s="92"/>
    </row>
    <row r="1558" spans="1:18" x14ac:dyDescent="0.25">
      <c r="A1558" s="353">
        <v>43171</v>
      </c>
      <c r="B1558" s="353" t="s">
        <v>285</v>
      </c>
      <c r="C1558" s="263" t="s">
        <v>709</v>
      </c>
      <c r="D1558" s="157" t="s">
        <v>699</v>
      </c>
      <c r="E1558" s="44">
        <f t="shared" si="115"/>
        <v>43171</v>
      </c>
      <c r="F1558" s="146" t="str">
        <f t="shared" si="116"/>
        <v>2017-18</v>
      </c>
      <c r="G1558" s="1"/>
      <c r="H1558" s="161"/>
      <c r="I1558" s="37"/>
      <c r="J1558" s="135">
        <f t="shared" si="112"/>
        <v>0.76382508261777382</v>
      </c>
      <c r="K1558" s="112"/>
      <c r="L1558" s="37">
        <v>63.476162731800002</v>
      </c>
      <c r="M1558" s="37" t="s">
        <v>288</v>
      </c>
      <c r="N1558" s="37">
        <v>812.22926829268283</v>
      </c>
      <c r="O1558" s="130">
        <f t="shared" si="113"/>
        <v>51557.197209677179</v>
      </c>
      <c r="P1558" s="132">
        <f t="shared" si="114"/>
        <v>3020.6094905223172</v>
      </c>
      <c r="Q1558" s="261">
        <v>7.6702826321014952E-2</v>
      </c>
      <c r="R1558" s="92"/>
    </row>
    <row r="1559" spans="1:18" x14ac:dyDescent="0.25">
      <c r="A1559" s="353">
        <v>43171</v>
      </c>
      <c r="B1559" s="353" t="s">
        <v>285</v>
      </c>
      <c r="C1559" s="263" t="s">
        <v>709</v>
      </c>
      <c r="D1559" s="157" t="s">
        <v>699</v>
      </c>
      <c r="E1559" s="44">
        <f t="shared" si="115"/>
        <v>43171</v>
      </c>
      <c r="F1559" s="146" t="str">
        <f t="shared" si="116"/>
        <v>2017-18</v>
      </c>
      <c r="G1559" s="1"/>
      <c r="H1559" s="161"/>
      <c r="I1559" s="37"/>
      <c r="J1559" s="135">
        <f t="shared" si="112"/>
        <v>0.76382508261777382</v>
      </c>
      <c r="K1559" s="112"/>
      <c r="L1559" s="37">
        <v>33.384587861100002</v>
      </c>
      <c r="M1559" s="37" t="s">
        <v>288</v>
      </c>
      <c r="N1559" s="37">
        <v>3592.3639024390236</v>
      </c>
      <c r="O1559" s="130">
        <f t="shared" si="113"/>
        <v>119929.58833001966</v>
      </c>
      <c r="P1559" s="132">
        <f t="shared" si="114"/>
        <v>7026.3798714817722</v>
      </c>
      <c r="Q1559" s="261">
        <v>7.6702826321014952E-2</v>
      </c>
      <c r="R1559" s="92"/>
    </row>
    <row r="1560" spans="1:18" x14ac:dyDescent="0.25">
      <c r="A1560" s="353">
        <v>43171</v>
      </c>
      <c r="B1560" s="353" t="s">
        <v>285</v>
      </c>
      <c r="C1560" s="263" t="s">
        <v>709</v>
      </c>
      <c r="D1560" s="157" t="s">
        <v>699</v>
      </c>
      <c r="E1560" s="44">
        <f t="shared" si="115"/>
        <v>43171</v>
      </c>
      <c r="F1560" s="146" t="str">
        <f t="shared" si="116"/>
        <v>2017-18</v>
      </c>
      <c r="G1560" s="1"/>
      <c r="H1560" s="161"/>
      <c r="I1560" s="37"/>
      <c r="J1560" s="135">
        <f t="shared" si="112"/>
        <v>0.76382508261777382</v>
      </c>
      <c r="K1560" s="112"/>
      <c r="L1560" s="37">
        <v>62.471795827599998</v>
      </c>
      <c r="M1560" s="37" t="s">
        <v>288</v>
      </c>
      <c r="N1560" s="37">
        <v>812.22926829268283</v>
      </c>
      <c r="O1560" s="130">
        <f t="shared" si="113"/>
        <v>50741.421013981424</v>
      </c>
      <c r="P1560" s="132">
        <f t="shared" si="114"/>
        <v>2972.8151678627783</v>
      </c>
      <c r="Q1560" s="261">
        <v>7.6702826321014952E-2</v>
      </c>
      <c r="R1560" s="92"/>
    </row>
    <row r="1561" spans="1:18" x14ac:dyDescent="0.25">
      <c r="A1561" s="353">
        <v>43171</v>
      </c>
      <c r="B1561" s="353" t="s">
        <v>285</v>
      </c>
      <c r="C1561" s="263" t="s">
        <v>709</v>
      </c>
      <c r="D1561" s="157" t="s">
        <v>699</v>
      </c>
      <c r="E1561" s="44">
        <f t="shared" si="115"/>
        <v>43171</v>
      </c>
      <c r="F1561" s="146" t="str">
        <f t="shared" si="116"/>
        <v>2017-18</v>
      </c>
      <c r="G1561" s="1"/>
      <c r="H1561" s="161"/>
      <c r="I1561" s="37"/>
      <c r="J1561" s="135">
        <f t="shared" si="112"/>
        <v>0.76382508261777382</v>
      </c>
      <c r="K1561" s="112"/>
      <c r="L1561" s="37">
        <v>23.0757188995</v>
      </c>
      <c r="M1561" s="37" t="s">
        <v>288</v>
      </c>
      <c r="N1561" s="37">
        <v>3592.3639024390236</v>
      </c>
      <c r="O1561" s="130">
        <f t="shared" si="113"/>
        <v>82896.379597393752</v>
      </c>
      <c r="P1561" s="132">
        <f t="shared" si="114"/>
        <v>4856.6951753310022</v>
      </c>
      <c r="Q1561" s="261">
        <v>7.6702826321014952E-2</v>
      </c>
      <c r="R1561" s="92"/>
    </row>
    <row r="1562" spans="1:18" x14ac:dyDescent="0.25">
      <c r="A1562" s="353">
        <v>43171</v>
      </c>
      <c r="B1562" s="353" t="s">
        <v>285</v>
      </c>
      <c r="C1562" s="263" t="s">
        <v>709</v>
      </c>
      <c r="D1562" s="157" t="s">
        <v>699</v>
      </c>
      <c r="E1562" s="44">
        <f t="shared" si="115"/>
        <v>43171</v>
      </c>
      <c r="F1562" s="146" t="str">
        <f t="shared" si="116"/>
        <v>2017-18</v>
      </c>
      <c r="G1562" s="1"/>
      <c r="H1562" s="161"/>
      <c r="I1562" s="37"/>
      <c r="J1562" s="135">
        <f t="shared" ref="J1562:J1625" si="117">J1561</f>
        <v>0.76382508261777382</v>
      </c>
      <c r="K1562" s="112"/>
      <c r="L1562" s="37">
        <v>23.089208018800001</v>
      </c>
      <c r="M1562" s="37" t="s">
        <v>288</v>
      </c>
      <c r="N1562" s="37">
        <v>3592.3639024390236</v>
      </c>
      <c r="O1562" s="130">
        <f t="shared" ref="O1562:O1625" si="118">IF(N1562="","-",L1562*N1562)</f>
        <v>82944.83742264277</v>
      </c>
      <c r="P1562" s="132">
        <f t="shared" ref="P1562:P1625" si="119">IF(O1562="-","-",IF(OR(E1562&lt;$E$15,E1562&gt;$E$16),0,O1562*J1562))*Q1562</f>
        <v>4859.5342002345851</v>
      </c>
      <c r="Q1562" s="261">
        <v>7.6702826321014952E-2</v>
      </c>
      <c r="R1562" s="92"/>
    </row>
    <row r="1563" spans="1:18" x14ac:dyDescent="0.25">
      <c r="A1563" s="353">
        <v>43171</v>
      </c>
      <c r="B1563" s="353" t="s">
        <v>285</v>
      </c>
      <c r="C1563" s="263" t="s">
        <v>709</v>
      </c>
      <c r="D1563" s="157" t="s">
        <v>699</v>
      </c>
      <c r="E1563" s="44">
        <f t="shared" ref="E1563:E1626" si="120">IF(VALUE(A1563)&lt;2022,DATEVALUE("30 Jun "&amp;A1563),A1563)</f>
        <v>43171</v>
      </c>
      <c r="F1563" s="146" t="str">
        <f t="shared" si="116"/>
        <v>2017-18</v>
      </c>
      <c r="G1563" s="1"/>
      <c r="H1563" s="161"/>
      <c r="I1563" s="37"/>
      <c r="J1563" s="135">
        <f t="shared" si="117"/>
        <v>0.76382508261777382</v>
      </c>
      <c r="K1563" s="112"/>
      <c r="L1563" s="37">
        <v>43.854284633200002</v>
      </c>
      <c r="M1563" s="37" t="s">
        <v>288</v>
      </c>
      <c r="N1563" s="37">
        <v>812.22926829268283</v>
      </c>
      <c r="O1563" s="130">
        <f t="shared" si="118"/>
        <v>35619.733519123081</v>
      </c>
      <c r="P1563" s="132">
        <f t="shared" si="119"/>
        <v>2086.8726567926005</v>
      </c>
      <c r="Q1563" s="261">
        <v>7.6702826321014952E-2</v>
      </c>
      <c r="R1563" s="92"/>
    </row>
    <row r="1564" spans="1:18" x14ac:dyDescent="0.25">
      <c r="A1564" s="353">
        <v>43171</v>
      </c>
      <c r="B1564" s="353" t="s">
        <v>285</v>
      </c>
      <c r="C1564" s="263" t="s">
        <v>709</v>
      </c>
      <c r="D1564" s="157" t="s">
        <v>699</v>
      </c>
      <c r="E1564" s="44">
        <f t="shared" si="120"/>
        <v>43171</v>
      </c>
      <c r="F1564" s="146" t="str">
        <f t="shared" si="116"/>
        <v>2017-18</v>
      </c>
      <c r="G1564" s="1"/>
      <c r="H1564" s="161"/>
      <c r="I1564" s="37"/>
      <c r="J1564" s="135">
        <f t="shared" si="117"/>
        <v>0.76382508261777382</v>
      </c>
      <c r="K1564" s="112"/>
      <c r="L1564" s="37">
        <v>28.072080382500001</v>
      </c>
      <c r="M1564" s="37" t="s">
        <v>288</v>
      </c>
      <c r="N1564" s="37">
        <v>3592.3639024390236</v>
      </c>
      <c r="O1564" s="130">
        <f t="shared" si="118"/>
        <v>100845.12823245967</v>
      </c>
      <c r="P1564" s="132">
        <f t="shared" si="119"/>
        <v>5908.2682515319584</v>
      </c>
      <c r="Q1564" s="261">
        <v>7.6702826321014952E-2</v>
      </c>
      <c r="R1564" s="92"/>
    </row>
    <row r="1565" spans="1:18" x14ac:dyDescent="0.25">
      <c r="A1565" s="353">
        <v>43171</v>
      </c>
      <c r="B1565" s="353" t="s">
        <v>285</v>
      </c>
      <c r="C1565" s="263" t="s">
        <v>709</v>
      </c>
      <c r="D1565" s="157" t="s">
        <v>699</v>
      </c>
      <c r="E1565" s="44">
        <f t="shared" si="120"/>
        <v>43171</v>
      </c>
      <c r="F1565" s="146" t="str">
        <f t="shared" si="116"/>
        <v>2017-18</v>
      </c>
      <c r="G1565" s="1"/>
      <c r="H1565" s="161"/>
      <c r="I1565" s="37"/>
      <c r="J1565" s="135">
        <f t="shared" si="117"/>
        <v>0.76382508261777382</v>
      </c>
      <c r="K1565" s="112"/>
      <c r="L1565" s="37">
        <v>4.8261464959099998</v>
      </c>
      <c r="M1565" s="37" t="s">
        <v>288</v>
      </c>
      <c r="N1565" s="37">
        <v>950.87219512195099</v>
      </c>
      <c r="O1565" s="130">
        <f t="shared" si="118"/>
        <v>4589.0485125460536</v>
      </c>
      <c r="P1565" s="132">
        <f t="shared" si="119"/>
        <v>268.86107545935636</v>
      </c>
      <c r="Q1565" s="261">
        <v>7.6702826321014952E-2</v>
      </c>
      <c r="R1565" s="92"/>
    </row>
    <row r="1566" spans="1:18" x14ac:dyDescent="0.25">
      <c r="A1566" s="353">
        <v>43171</v>
      </c>
      <c r="B1566" s="353" t="s">
        <v>285</v>
      </c>
      <c r="C1566" s="263" t="s">
        <v>709</v>
      </c>
      <c r="D1566" s="157" t="s">
        <v>699</v>
      </c>
      <c r="E1566" s="44">
        <f t="shared" si="120"/>
        <v>43171</v>
      </c>
      <c r="F1566" s="146" t="str">
        <f t="shared" si="116"/>
        <v>2017-18</v>
      </c>
      <c r="G1566" s="1"/>
      <c r="H1566" s="161"/>
      <c r="I1566" s="37"/>
      <c r="J1566" s="135">
        <f t="shared" si="117"/>
        <v>0.76382508261777382</v>
      </c>
      <c r="K1566" s="112"/>
      <c r="L1566" s="37">
        <v>14.4571851856</v>
      </c>
      <c r="M1566" s="37" t="s">
        <v>288</v>
      </c>
      <c r="N1566" s="37">
        <v>812.22926829268283</v>
      </c>
      <c r="O1566" s="130">
        <f t="shared" si="118"/>
        <v>11742.548944871702</v>
      </c>
      <c r="P1566" s="132">
        <f t="shared" si="119"/>
        <v>687.96708714694648</v>
      </c>
      <c r="Q1566" s="261">
        <v>7.6702826321014952E-2</v>
      </c>
      <c r="R1566" s="92"/>
    </row>
    <row r="1567" spans="1:18" x14ac:dyDescent="0.25">
      <c r="A1567" s="353">
        <v>43257</v>
      </c>
      <c r="B1567" s="353" t="s">
        <v>285</v>
      </c>
      <c r="C1567" s="263" t="s">
        <v>710</v>
      </c>
      <c r="D1567" s="157" t="s">
        <v>699</v>
      </c>
      <c r="E1567" s="44">
        <f t="shared" si="120"/>
        <v>43257</v>
      </c>
      <c r="F1567" s="146" t="str">
        <f t="shared" si="116"/>
        <v>2017-18</v>
      </c>
      <c r="G1567" s="1"/>
      <c r="H1567" s="161"/>
      <c r="I1567" s="37"/>
      <c r="J1567" s="135">
        <f t="shared" si="117"/>
        <v>0.76382508261777382</v>
      </c>
      <c r="K1567" s="112"/>
      <c r="L1567" s="37">
        <v>108.33434044400001</v>
      </c>
      <c r="M1567" s="37" t="s">
        <v>288</v>
      </c>
      <c r="N1567" s="37">
        <v>812.22926829268283</v>
      </c>
      <c r="O1567" s="130">
        <f t="shared" si="118"/>
        <v>87992.322069800517</v>
      </c>
      <c r="P1567" s="132">
        <f t="shared" si="119"/>
        <v>5621.1405636513318</v>
      </c>
      <c r="Q1567" s="261">
        <v>8.3634555131432767E-2</v>
      </c>
      <c r="R1567" s="92"/>
    </row>
    <row r="1568" spans="1:18" x14ac:dyDescent="0.25">
      <c r="A1568" s="353">
        <v>43257</v>
      </c>
      <c r="B1568" s="353" t="s">
        <v>285</v>
      </c>
      <c r="C1568" s="263" t="s">
        <v>710</v>
      </c>
      <c r="D1568" s="157" t="s">
        <v>699</v>
      </c>
      <c r="E1568" s="44">
        <f t="shared" si="120"/>
        <v>43257</v>
      </c>
      <c r="F1568" s="146" t="str">
        <f t="shared" si="116"/>
        <v>2017-18</v>
      </c>
      <c r="G1568" s="1"/>
      <c r="H1568" s="161"/>
      <c r="I1568" s="37"/>
      <c r="J1568" s="135">
        <f t="shared" si="117"/>
        <v>0.76382508261777382</v>
      </c>
      <c r="K1568" s="112"/>
      <c r="L1568" s="37">
        <v>27.146512303200002</v>
      </c>
      <c r="M1568" s="37" t="s">
        <v>288</v>
      </c>
      <c r="N1568" s="37">
        <v>3592.3639024390236</v>
      </c>
      <c r="O1568" s="130">
        <f t="shared" si="118"/>
        <v>97520.150875132531</v>
      </c>
      <c r="P1568" s="132">
        <f t="shared" si="119"/>
        <v>6229.798952489994</v>
      </c>
      <c r="Q1568" s="261">
        <v>8.3634555131432767E-2</v>
      </c>
      <c r="R1568" s="92"/>
    </row>
    <row r="1569" spans="1:18" x14ac:dyDescent="0.25">
      <c r="A1569" s="353">
        <v>43257</v>
      </c>
      <c r="B1569" s="353" t="s">
        <v>285</v>
      </c>
      <c r="C1569" s="263" t="s">
        <v>710</v>
      </c>
      <c r="D1569" s="157" t="s">
        <v>699</v>
      </c>
      <c r="E1569" s="44">
        <f t="shared" si="120"/>
        <v>43257</v>
      </c>
      <c r="F1569" s="146" t="str">
        <f t="shared" si="116"/>
        <v>2017-18</v>
      </c>
      <c r="G1569" s="1"/>
      <c r="H1569" s="161"/>
      <c r="I1569" s="37"/>
      <c r="J1569" s="135">
        <f t="shared" si="117"/>
        <v>0.76382508261777382</v>
      </c>
      <c r="K1569" s="112"/>
      <c r="L1569" s="37">
        <v>14.571089644800001</v>
      </c>
      <c r="M1569" s="37" t="s">
        <v>288</v>
      </c>
      <c r="N1569" s="37">
        <v>950.87219512195099</v>
      </c>
      <c r="O1569" s="130">
        <f t="shared" si="118"/>
        <v>13855.243995869705</v>
      </c>
      <c r="P1569" s="132">
        <f t="shared" si="119"/>
        <v>885.10306595488078</v>
      </c>
      <c r="Q1569" s="261">
        <v>8.3634555131432767E-2</v>
      </c>
      <c r="R1569" s="92"/>
    </row>
    <row r="1570" spans="1:18" x14ac:dyDescent="0.25">
      <c r="A1570" s="353">
        <v>43257</v>
      </c>
      <c r="B1570" s="353" t="s">
        <v>285</v>
      </c>
      <c r="C1570" s="263" t="s">
        <v>710</v>
      </c>
      <c r="D1570" s="157" t="s">
        <v>699</v>
      </c>
      <c r="E1570" s="44">
        <f t="shared" si="120"/>
        <v>43257</v>
      </c>
      <c r="F1570" s="146" t="str">
        <f t="shared" si="116"/>
        <v>2017-18</v>
      </c>
      <c r="G1570" s="1"/>
      <c r="H1570" s="161"/>
      <c r="I1570" s="37"/>
      <c r="J1570" s="135">
        <f t="shared" si="117"/>
        <v>0.76382508261777382</v>
      </c>
      <c r="K1570" s="112"/>
      <c r="L1570" s="37">
        <v>22.5152638004</v>
      </c>
      <c r="M1570" s="37" t="s">
        <v>288</v>
      </c>
      <c r="N1570" s="37">
        <v>3336.4019512195118</v>
      </c>
      <c r="O1570" s="130">
        <f t="shared" si="118"/>
        <v>75119.970075876598</v>
      </c>
      <c r="P1570" s="132">
        <f t="shared" si="119"/>
        <v>4798.8267726225431</v>
      </c>
      <c r="Q1570" s="261">
        <v>8.3634555131432767E-2</v>
      </c>
      <c r="R1570" s="92"/>
    </row>
    <row r="1571" spans="1:18" x14ac:dyDescent="0.25">
      <c r="A1571" s="353">
        <v>43257</v>
      </c>
      <c r="B1571" s="353" t="s">
        <v>285</v>
      </c>
      <c r="C1571" s="263" t="s">
        <v>710</v>
      </c>
      <c r="D1571" s="157" t="s">
        <v>699</v>
      </c>
      <c r="E1571" s="44">
        <f t="shared" si="120"/>
        <v>43257</v>
      </c>
      <c r="F1571" s="146" t="str">
        <f t="shared" si="116"/>
        <v>2017-18</v>
      </c>
      <c r="G1571" s="1"/>
      <c r="H1571" s="161"/>
      <c r="I1571" s="37"/>
      <c r="J1571" s="135">
        <f t="shared" si="117"/>
        <v>0.76382508261777382</v>
      </c>
      <c r="K1571" s="112"/>
      <c r="L1571" s="37">
        <v>28.242854357500001</v>
      </c>
      <c r="M1571" s="37" t="s">
        <v>288</v>
      </c>
      <c r="N1571" s="37">
        <v>3336.4019512195118</v>
      </c>
      <c r="O1571" s="130">
        <f t="shared" si="118"/>
        <v>94229.514386371491</v>
      </c>
      <c r="P1571" s="132">
        <f t="shared" si="119"/>
        <v>6019.5859496721696</v>
      </c>
      <c r="Q1571" s="261">
        <v>8.3634555131432767E-2</v>
      </c>
      <c r="R1571" s="92"/>
    </row>
    <row r="1572" spans="1:18" x14ac:dyDescent="0.25">
      <c r="A1572" s="353">
        <v>43257</v>
      </c>
      <c r="B1572" s="353" t="s">
        <v>285</v>
      </c>
      <c r="C1572" s="263" t="s">
        <v>710</v>
      </c>
      <c r="D1572" s="157" t="s">
        <v>699</v>
      </c>
      <c r="E1572" s="44">
        <f t="shared" si="120"/>
        <v>43257</v>
      </c>
      <c r="F1572" s="146" t="str">
        <f t="shared" si="116"/>
        <v>2017-18</v>
      </c>
      <c r="G1572" s="1"/>
      <c r="H1572" s="161"/>
      <c r="I1572" s="37"/>
      <c r="J1572" s="135">
        <f t="shared" si="117"/>
        <v>0.76382508261777382</v>
      </c>
      <c r="K1572" s="112"/>
      <c r="L1572" s="37">
        <v>18.278762157199999</v>
      </c>
      <c r="M1572" s="37" t="s">
        <v>288</v>
      </c>
      <c r="N1572" s="37">
        <v>3336.4019512195118</v>
      </c>
      <c r="O1572" s="130">
        <f t="shared" si="118"/>
        <v>60985.29772715945</v>
      </c>
      <c r="P1572" s="132">
        <f t="shared" si="119"/>
        <v>3895.8732168535726</v>
      </c>
      <c r="Q1572" s="261">
        <v>8.3634555131432767E-2</v>
      </c>
      <c r="R1572" s="92"/>
    </row>
    <row r="1573" spans="1:18" x14ac:dyDescent="0.25">
      <c r="A1573" s="353">
        <v>43257</v>
      </c>
      <c r="B1573" s="353" t="s">
        <v>285</v>
      </c>
      <c r="C1573" s="263" t="s">
        <v>710</v>
      </c>
      <c r="D1573" s="157" t="s">
        <v>699</v>
      </c>
      <c r="E1573" s="44">
        <f t="shared" si="120"/>
        <v>43257</v>
      </c>
      <c r="F1573" s="146" t="str">
        <f t="shared" si="116"/>
        <v>2017-18</v>
      </c>
      <c r="G1573" s="1"/>
      <c r="H1573" s="161"/>
      <c r="I1573" s="37"/>
      <c r="J1573" s="135">
        <f t="shared" si="117"/>
        <v>0.76382508261777382</v>
      </c>
      <c r="K1573" s="112"/>
      <c r="L1573" s="37">
        <v>3.40830322935</v>
      </c>
      <c r="M1573" s="37" t="s">
        <v>288</v>
      </c>
      <c r="N1573" s="37">
        <v>3336.4019512195118</v>
      </c>
      <c r="O1573" s="130">
        <f t="shared" si="118"/>
        <v>11371.469544751104</v>
      </c>
      <c r="P1573" s="132">
        <f t="shared" si="119"/>
        <v>726.43416178539644</v>
      </c>
      <c r="Q1573" s="261">
        <v>8.3634555131432767E-2</v>
      </c>
      <c r="R1573" s="92"/>
    </row>
    <row r="1574" spans="1:18" x14ac:dyDescent="0.25">
      <c r="A1574" s="353">
        <v>43257</v>
      </c>
      <c r="B1574" s="353" t="s">
        <v>285</v>
      </c>
      <c r="C1574" s="263" t="s">
        <v>710</v>
      </c>
      <c r="D1574" s="157" t="s">
        <v>699</v>
      </c>
      <c r="E1574" s="44">
        <f t="shared" si="120"/>
        <v>43257</v>
      </c>
      <c r="F1574" s="146" t="str">
        <f t="shared" si="116"/>
        <v>2017-18</v>
      </c>
      <c r="G1574" s="1"/>
      <c r="H1574" s="161"/>
      <c r="I1574" s="37"/>
      <c r="J1574" s="135">
        <f t="shared" si="117"/>
        <v>0.76382508261777382</v>
      </c>
      <c r="K1574" s="112"/>
      <c r="L1574" s="37">
        <v>99.072676570499993</v>
      </c>
      <c r="M1574" s="37" t="s">
        <v>288</v>
      </c>
      <c r="N1574" s="37">
        <v>812.22926829268283</v>
      </c>
      <c r="O1574" s="130">
        <f t="shared" si="118"/>
        <v>80469.727598654834</v>
      </c>
      <c r="P1574" s="132">
        <f t="shared" si="119"/>
        <v>5140.5808974100783</v>
      </c>
      <c r="Q1574" s="261">
        <v>8.3634555131432767E-2</v>
      </c>
      <c r="R1574" s="92"/>
    </row>
    <row r="1575" spans="1:18" x14ac:dyDescent="0.25">
      <c r="A1575" s="353">
        <v>43257</v>
      </c>
      <c r="B1575" s="353" t="s">
        <v>285</v>
      </c>
      <c r="C1575" s="263" t="s">
        <v>710</v>
      </c>
      <c r="D1575" s="157" t="s">
        <v>699</v>
      </c>
      <c r="E1575" s="44">
        <f t="shared" si="120"/>
        <v>43257</v>
      </c>
      <c r="F1575" s="146" t="str">
        <f t="shared" si="116"/>
        <v>2017-18</v>
      </c>
      <c r="G1575" s="1"/>
      <c r="H1575" s="161"/>
      <c r="I1575" s="37"/>
      <c r="J1575" s="135">
        <f t="shared" si="117"/>
        <v>0.76382508261777382</v>
      </c>
      <c r="K1575" s="112"/>
      <c r="L1575" s="37">
        <v>54.234598881099998</v>
      </c>
      <c r="M1575" s="37" t="s">
        <v>288</v>
      </c>
      <c r="N1575" s="37">
        <v>1162.6195121951216</v>
      </c>
      <c r="O1575" s="130">
        <f t="shared" si="118"/>
        <v>63054.202895242568</v>
      </c>
      <c r="P1575" s="132">
        <f t="shared" si="119"/>
        <v>4028.0393705486035</v>
      </c>
      <c r="Q1575" s="261">
        <v>8.3634555131432767E-2</v>
      </c>
      <c r="R1575" s="92"/>
    </row>
    <row r="1576" spans="1:18" x14ac:dyDescent="0.25">
      <c r="A1576" s="353">
        <v>43257</v>
      </c>
      <c r="B1576" s="353" t="s">
        <v>285</v>
      </c>
      <c r="C1576" s="263" t="s">
        <v>710</v>
      </c>
      <c r="D1576" s="157" t="s">
        <v>699</v>
      </c>
      <c r="E1576" s="44">
        <f t="shared" si="120"/>
        <v>43257</v>
      </c>
      <c r="F1576" s="146" t="str">
        <f t="shared" si="116"/>
        <v>2017-18</v>
      </c>
      <c r="G1576" s="1"/>
      <c r="H1576" s="161"/>
      <c r="I1576" s="37"/>
      <c r="J1576" s="135">
        <f t="shared" si="117"/>
        <v>0.76382508261777382</v>
      </c>
      <c r="K1576" s="112"/>
      <c r="L1576" s="37">
        <v>32.384736929600002</v>
      </c>
      <c r="M1576" s="37" t="s">
        <v>288</v>
      </c>
      <c r="N1576" s="37">
        <v>3592.3639024390236</v>
      </c>
      <c r="O1576" s="130">
        <f t="shared" si="118"/>
        <v>116337.75993587903</v>
      </c>
      <c r="P1576" s="132">
        <f t="shared" si="119"/>
        <v>7431.9086719992374</v>
      </c>
      <c r="Q1576" s="261">
        <v>8.3634555131432767E-2</v>
      </c>
      <c r="R1576" s="92"/>
    </row>
    <row r="1577" spans="1:18" x14ac:dyDescent="0.25">
      <c r="A1577" s="353">
        <v>43257</v>
      </c>
      <c r="B1577" s="353" t="s">
        <v>285</v>
      </c>
      <c r="C1577" s="263" t="s">
        <v>710</v>
      </c>
      <c r="D1577" s="157" t="s">
        <v>699</v>
      </c>
      <c r="E1577" s="44">
        <f t="shared" si="120"/>
        <v>43257</v>
      </c>
      <c r="F1577" s="146" t="str">
        <f t="shared" si="116"/>
        <v>2017-18</v>
      </c>
      <c r="G1577" s="1"/>
      <c r="H1577" s="161"/>
      <c r="I1577" s="37"/>
      <c r="J1577" s="135">
        <f t="shared" si="117"/>
        <v>0.76382508261777382</v>
      </c>
      <c r="K1577" s="112"/>
      <c r="L1577" s="37">
        <v>77.074538032899994</v>
      </c>
      <c r="M1577" s="37" t="s">
        <v>288</v>
      </c>
      <c r="N1577" s="37">
        <v>812.22926829268283</v>
      </c>
      <c r="O1577" s="130">
        <f t="shared" si="118"/>
        <v>62602.195630458918</v>
      </c>
      <c r="P1577" s="132">
        <f t="shared" si="119"/>
        <v>3999.1641651741506</v>
      </c>
      <c r="Q1577" s="261">
        <v>8.3634555131432767E-2</v>
      </c>
      <c r="R1577" s="92"/>
    </row>
    <row r="1578" spans="1:18" x14ac:dyDescent="0.25">
      <c r="A1578" s="353">
        <v>43257</v>
      </c>
      <c r="B1578" s="353" t="s">
        <v>285</v>
      </c>
      <c r="C1578" s="263" t="s">
        <v>710</v>
      </c>
      <c r="D1578" s="157" t="s">
        <v>699</v>
      </c>
      <c r="E1578" s="44">
        <f t="shared" si="120"/>
        <v>43257</v>
      </c>
      <c r="F1578" s="146" t="str">
        <f t="shared" si="116"/>
        <v>2017-18</v>
      </c>
      <c r="G1578" s="1"/>
      <c r="H1578" s="161"/>
      <c r="I1578" s="37"/>
      <c r="J1578" s="135">
        <f t="shared" si="117"/>
        <v>0.76382508261777382</v>
      </c>
      <c r="K1578" s="112"/>
      <c r="L1578" s="37">
        <v>27.353074746299999</v>
      </c>
      <c r="M1578" s="37" t="s">
        <v>288</v>
      </c>
      <c r="N1578" s="37">
        <v>3592.3639024390236</v>
      </c>
      <c r="O1578" s="130">
        <f t="shared" si="118"/>
        <v>98262.198339324575</v>
      </c>
      <c r="P1578" s="132">
        <f t="shared" si="119"/>
        <v>6277.2025554749871</v>
      </c>
      <c r="Q1578" s="261">
        <v>8.3634555131432767E-2</v>
      </c>
      <c r="R1578" s="92"/>
    </row>
    <row r="1579" spans="1:18" x14ac:dyDescent="0.25">
      <c r="A1579" s="353">
        <v>43257</v>
      </c>
      <c r="B1579" s="353" t="s">
        <v>285</v>
      </c>
      <c r="C1579" s="263" t="s">
        <v>710</v>
      </c>
      <c r="D1579" s="157" t="s">
        <v>699</v>
      </c>
      <c r="E1579" s="44">
        <f t="shared" si="120"/>
        <v>43257</v>
      </c>
      <c r="F1579" s="146" t="str">
        <f t="shared" si="116"/>
        <v>2017-18</v>
      </c>
      <c r="G1579" s="1"/>
      <c r="H1579" s="161"/>
      <c r="I1579" s="37"/>
      <c r="J1579" s="135">
        <f t="shared" si="117"/>
        <v>0.76382508261777382</v>
      </c>
      <c r="K1579" s="112"/>
      <c r="L1579" s="37">
        <v>38.306663194899997</v>
      </c>
      <c r="M1579" s="37" t="s">
        <v>288</v>
      </c>
      <c r="N1579" s="37">
        <v>1162.6195121951216</v>
      </c>
      <c r="O1579" s="130">
        <f t="shared" si="118"/>
        <v>44536.074077477453</v>
      </c>
      <c r="P1579" s="132">
        <f t="shared" si="119"/>
        <v>2845.0610991275162</v>
      </c>
      <c r="Q1579" s="261">
        <v>8.3634555131432767E-2</v>
      </c>
      <c r="R1579" s="92"/>
    </row>
    <row r="1580" spans="1:18" x14ac:dyDescent="0.25">
      <c r="A1580" s="353">
        <v>43257</v>
      </c>
      <c r="B1580" s="353" t="s">
        <v>285</v>
      </c>
      <c r="C1580" s="263" t="s">
        <v>710</v>
      </c>
      <c r="D1580" s="157" t="s">
        <v>699</v>
      </c>
      <c r="E1580" s="44">
        <f t="shared" si="120"/>
        <v>43257</v>
      </c>
      <c r="F1580" s="146" t="str">
        <f t="shared" si="116"/>
        <v>2017-18</v>
      </c>
      <c r="G1580" s="1"/>
      <c r="H1580" s="161"/>
      <c r="I1580" s="37"/>
      <c r="J1580" s="135">
        <f t="shared" si="117"/>
        <v>0.76382508261777382</v>
      </c>
      <c r="K1580" s="112"/>
      <c r="L1580" s="37">
        <v>24.765188184900001</v>
      </c>
      <c r="M1580" s="37" t="s">
        <v>288</v>
      </c>
      <c r="N1580" s="37">
        <v>1162.6195121951216</v>
      </c>
      <c r="O1580" s="130">
        <f t="shared" si="118"/>
        <v>28792.491006948829</v>
      </c>
      <c r="P1580" s="132">
        <f t="shared" si="119"/>
        <v>1839.3268335314563</v>
      </c>
      <c r="Q1580" s="261">
        <v>8.3634555131432767E-2</v>
      </c>
      <c r="R1580" s="92"/>
    </row>
    <row r="1581" spans="1:18" x14ac:dyDescent="0.25">
      <c r="A1581" s="353">
        <v>43257</v>
      </c>
      <c r="B1581" s="353" t="s">
        <v>285</v>
      </c>
      <c r="C1581" s="263" t="s">
        <v>710</v>
      </c>
      <c r="D1581" s="157" t="s">
        <v>699</v>
      </c>
      <c r="E1581" s="44">
        <f t="shared" si="120"/>
        <v>43257</v>
      </c>
      <c r="F1581" s="146" t="str">
        <f t="shared" si="116"/>
        <v>2017-18</v>
      </c>
      <c r="G1581" s="1"/>
      <c r="H1581" s="161"/>
      <c r="I1581" s="37"/>
      <c r="J1581" s="135">
        <f t="shared" si="117"/>
        <v>0.76382508261777382</v>
      </c>
      <c r="K1581" s="112"/>
      <c r="L1581" s="37">
        <v>23.734248470400001</v>
      </c>
      <c r="M1581" s="37" t="s">
        <v>288</v>
      </c>
      <c r="N1581" s="37">
        <v>3336.4019512195118</v>
      </c>
      <c r="O1581" s="130">
        <f t="shared" si="118"/>
        <v>79186.99290737127</v>
      </c>
      <c r="P1581" s="132">
        <f t="shared" si="119"/>
        <v>5058.637020535718</v>
      </c>
      <c r="Q1581" s="261">
        <v>8.3634555131432767E-2</v>
      </c>
      <c r="R1581" s="92"/>
    </row>
    <row r="1582" spans="1:18" x14ac:dyDescent="0.25">
      <c r="A1582" s="353">
        <v>43257</v>
      </c>
      <c r="B1582" s="353" t="s">
        <v>285</v>
      </c>
      <c r="C1582" s="263" t="s">
        <v>710</v>
      </c>
      <c r="D1582" s="157" t="s">
        <v>699</v>
      </c>
      <c r="E1582" s="44">
        <f t="shared" si="120"/>
        <v>43257</v>
      </c>
      <c r="F1582" s="146" t="str">
        <f t="shared" si="116"/>
        <v>2017-18</v>
      </c>
      <c r="G1582" s="1"/>
      <c r="H1582" s="161"/>
      <c r="I1582" s="37"/>
      <c r="J1582" s="135">
        <f t="shared" si="117"/>
        <v>0.76382508261777382</v>
      </c>
      <c r="K1582" s="112"/>
      <c r="L1582" s="37">
        <v>73.280226486199993</v>
      </c>
      <c r="M1582" s="37" t="s">
        <v>288</v>
      </c>
      <c r="N1582" s="37">
        <v>950.87219512195099</v>
      </c>
      <c r="O1582" s="130">
        <f t="shared" si="118"/>
        <v>69680.129817966721</v>
      </c>
      <c r="P1582" s="132">
        <f t="shared" si="119"/>
        <v>4451.3179671467151</v>
      </c>
      <c r="Q1582" s="261">
        <v>8.3634555131432767E-2</v>
      </c>
      <c r="R1582" s="92"/>
    </row>
    <row r="1583" spans="1:18" x14ac:dyDescent="0.25">
      <c r="A1583" s="353">
        <v>43257</v>
      </c>
      <c r="B1583" s="353" t="s">
        <v>285</v>
      </c>
      <c r="C1583" s="263" t="s">
        <v>710</v>
      </c>
      <c r="D1583" s="157" t="s">
        <v>699</v>
      </c>
      <c r="E1583" s="44">
        <f t="shared" si="120"/>
        <v>43257</v>
      </c>
      <c r="F1583" s="146" t="str">
        <f t="shared" si="116"/>
        <v>2017-18</v>
      </c>
      <c r="G1583" s="1"/>
      <c r="H1583" s="161"/>
      <c r="I1583" s="37"/>
      <c r="J1583" s="135">
        <f t="shared" si="117"/>
        <v>0.76382508261777382</v>
      </c>
      <c r="K1583" s="112"/>
      <c r="L1583" s="37">
        <v>17.092660547000001</v>
      </c>
      <c r="M1583" s="37" t="s">
        <v>288</v>
      </c>
      <c r="N1583" s="37">
        <v>3592.3639024390236</v>
      </c>
      <c r="O1583" s="130">
        <f t="shared" si="118"/>
        <v>61403.056745686459</v>
      </c>
      <c r="P1583" s="132">
        <f t="shared" si="119"/>
        <v>3922.5605699047915</v>
      </c>
      <c r="Q1583" s="261">
        <v>8.3634555131432767E-2</v>
      </c>
      <c r="R1583" s="92"/>
    </row>
    <row r="1584" spans="1:18" x14ac:dyDescent="0.25">
      <c r="A1584" s="353">
        <v>43257</v>
      </c>
      <c r="B1584" s="353" t="s">
        <v>285</v>
      </c>
      <c r="C1584" s="263" t="s">
        <v>710</v>
      </c>
      <c r="D1584" s="157" t="s">
        <v>699</v>
      </c>
      <c r="E1584" s="44">
        <f t="shared" si="120"/>
        <v>43257</v>
      </c>
      <c r="F1584" s="146" t="str">
        <f t="shared" si="116"/>
        <v>2017-18</v>
      </c>
      <c r="G1584" s="1"/>
      <c r="H1584" s="161"/>
      <c r="I1584" s="37"/>
      <c r="J1584" s="135">
        <f t="shared" si="117"/>
        <v>0.76382508261777382</v>
      </c>
      <c r="K1584" s="112"/>
      <c r="L1584" s="37">
        <v>26.218313757600001</v>
      </c>
      <c r="M1584" s="37" t="s">
        <v>288</v>
      </c>
      <c r="N1584" s="37">
        <v>3592.3639024390236</v>
      </c>
      <c r="O1584" s="130">
        <f t="shared" si="118"/>
        <v>94185.723925622675</v>
      </c>
      <c r="P1584" s="132">
        <f t="shared" si="119"/>
        <v>6016.7885199711909</v>
      </c>
      <c r="Q1584" s="261">
        <v>8.3634555131432767E-2</v>
      </c>
      <c r="R1584" s="92"/>
    </row>
    <row r="1585" spans="1:18" x14ac:dyDescent="0.25">
      <c r="A1585" s="353">
        <v>43257</v>
      </c>
      <c r="B1585" s="353" t="s">
        <v>285</v>
      </c>
      <c r="C1585" s="263" t="s">
        <v>710</v>
      </c>
      <c r="D1585" s="157" t="s">
        <v>699</v>
      </c>
      <c r="E1585" s="44">
        <f t="shared" si="120"/>
        <v>43257</v>
      </c>
      <c r="F1585" s="146" t="str">
        <f t="shared" si="116"/>
        <v>2017-18</v>
      </c>
      <c r="G1585" s="1"/>
      <c r="H1585" s="161"/>
      <c r="I1585" s="37"/>
      <c r="J1585" s="135">
        <f t="shared" si="117"/>
        <v>0.76382508261777382</v>
      </c>
      <c r="K1585" s="112"/>
      <c r="L1585" s="37">
        <v>65.862508163499996</v>
      </c>
      <c r="M1585" s="37" t="s">
        <v>288</v>
      </c>
      <c r="N1585" s="37">
        <v>812.22926829268283</v>
      </c>
      <c r="O1585" s="130">
        <f t="shared" si="118"/>
        <v>53495.45681356045</v>
      </c>
      <c r="P1585" s="132">
        <f t="shared" si="119"/>
        <v>3417.4059189758168</v>
      </c>
      <c r="Q1585" s="261">
        <v>8.3634555131432767E-2</v>
      </c>
      <c r="R1585" s="92"/>
    </row>
    <row r="1586" spans="1:18" x14ac:dyDescent="0.25">
      <c r="A1586" s="353">
        <v>43257</v>
      </c>
      <c r="B1586" s="353" t="s">
        <v>285</v>
      </c>
      <c r="C1586" s="263" t="s">
        <v>710</v>
      </c>
      <c r="D1586" s="157" t="s">
        <v>699</v>
      </c>
      <c r="E1586" s="44">
        <f t="shared" si="120"/>
        <v>43257</v>
      </c>
      <c r="F1586" s="146" t="str">
        <f t="shared" si="116"/>
        <v>2017-18</v>
      </c>
      <c r="G1586" s="1"/>
      <c r="H1586" s="161"/>
      <c r="I1586" s="37"/>
      <c r="J1586" s="135">
        <f t="shared" si="117"/>
        <v>0.76382508261777382</v>
      </c>
      <c r="K1586" s="112"/>
      <c r="L1586" s="37">
        <v>61.852351595099996</v>
      </c>
      <c r="M1586" s="37" t="s">
        <v>288</v>
      </c>
      <c r="N1586" s="37">
        <v>812.22926829268283</v>
      </c>
      <c r="O1586" s="130">
        <f t="shared" si="118"/>
        <v>50238.290278269822</v>
      </c>
      <c r="P1586" s="132">
        <f t="shared" si="119"/>
        <v>3209.3310494483808</v>
      </c>
      <c r="Q1586" s="261">
        <v>8.3634555131432767E-2</v>
      </c>
      <c r="R1586" s="92"/>
    </row>
    <row r="1587" spans="1:18" x14ac:dyDescent="0.25">
      <c r="A1587" s="353">
        <v>43257</v>
      </c>
      <c r="B1587" s="353" t="s">
        <v>285</v>
      </c>
      <c r="C1587" s="263" t="s">
        <v>710</v>
      </c>
      <c r="D1587" s="157" t="s">
        <v>699</v>
      </c>
      <c r="E1587" s="44">
        <f t="shared" si="120"/>
        <v>43257</v>
      </c>
      <c r="F1587" s="146" t="str">
        <f t="shared" si="116"/>
        <v>2017-18</v>
      </c>
      <c r="G1587" s="1"/>
      <c r="H1587" s="161"/>
      <c r="I1587" s="37"/>
      <c r="J1587" s="135">
        <f t="shared" si="117"/>
        <v>0.76382508261777382</v>
      </c>
      <c r="K1587" s="112"/>
      <c r="L1587" s="37">
        <v>87.558825987800006</v>
      </c>
      <c r="M1587" s="37" t="s">
        <v>288</v>
      </c>
      <c r="N1587" s="37">
        <v>812.22926829268283</v>
      </c>
      <c r="O1587" s="130">
        <f t="shared" si="118"/>
        <v>71117.841164637139</v>
      </c>
      <c r="P1587" s="132">
        <f t="shared" si="119"/>
        <v>4543.1620892188666</v>
      </c>
      <c r="Q1587" s="261">
        <v>8.3634555131432767E-2</v>
      </c>
      <c r="R1587" s="92"/>
    </row>
    <row r="1588" spans="1:18" x14ac:dyDescent="0.25">
      <c r="A1588" s="353">
        <v>43257</v>
      </c>
      <c r="B1588" s="353" t="s">
        <v>285</v>
      </c>
      <c r="C1588" s="263" t="s">
        <v>710</v>
      </c>
      <c r="D1588" s="157" t="s">
        <v>699</v>
      </c>
      <c r="E1588" s="44">
        <f t="shared" si="120"/>
        <v>43257</v>
      </c>
      <c r="F1588" s="146" t="str">
        <f t="shared" si="116"/>
        <v>2017-18</v>
      </c>
      <c r="G1588" s="1"/>
      <c r="H1588" s="161"/>
      <c r="I1588" s="37"/>
      <c r="J1588" s="135">
        <f t="shared" si="117"/>
        <v>0.76382508261777382</v>
      </c>
      <c r="K1588" s="112"/>
      <c r="L1588" s="37">
        <v>77.6330640706</v>
      </c>
      <c r="M1588" s="37" t="s">
        <v>288</v>
      </c>
      <c r="N1588" s="37">
        <v>812.22926829268283</v>
      </c>
      <c r="O1588" s="130">
        <f t="shared" si="118"/>
        <v>63055.846825382403</v>
      </c>
      <c r="P1588" s="132">
        <f t="shared" si="119"/>
        <v>4028.1443883748802</v>
      </c>
      <c r="Q1588" s="261">
        <v>8.3634555131432767E-2</v>
      </c>
      <c r="R1588" s="92"/>
    </row>
    <row r="1589" spans="1:18" x14ac:dyDescent="0.25">
      <c r="A1589" s="353">
        <v>43257</v>
      </c>
      <c r="B1589" s="353" t="s">
        <v>285</v>
      </c>
      <c r="C1589" s="263" t="s">
        <v>710</v>
      </c>
      <c r="D1589" s="157" t="s">
        <v>699</v>
      </c>
      <c r="E1589" s="44">
        <f t="shared" si="120"/>
        <v>43257</v>
      </c>
      <c r="F1589" s="146" t="str">
        <f t="shared" si="116"/>
        <v>2017-18</v>
      </c>
      <c r="G1589" s="1"/>
      <c r="H1589" s="161"/>
      <c r="I1589" s="37"/>
      <c r="J1589" s="135">
        <f t="shared" si="117"/>
        <v>0.76382508261777382</v>
      </c>
      <c r="K1589" s="112"/>
      <c r="L1589" s="37">
        <v>23.919988336100001</v>
      </c>
      <c r="M1589" s="37" t="s">
        <v>288</v>
      </c>
      <c r="N1589" s="37">
        <v>3336.4019512195118</v>
      </c>
      <c r="O1589" s="130">
        <f t="shared" si="118"/>
        <v>79806.695757712005</v>
      </c>
      <c r="P1589" s="132">
        <f t="shared" si="119"/>
        <v>5098.2249839798169</v>
      </c>
      <c r="Q1589" s="261">
        <v>8.3634555131432767E-2</v>
      </c>
      <c r="R1589" s="92"/>
    </row>
    <row r="1590" spans="1:18" x14ac:dyDescent="0.25">
      <c r="A1590" s="353">
        <v>43257</v>
      </c>
      <c r="B1590" s="353" t="s">
        <v>285</v>
      </c>
      <c r="C1590" s="263" t="s">
        <v>710</v>
      </c>
      <c r="D1590" s="157" t="s">
        <v>699</v>
      </c>
      <c r="E1590" s="44">
        <f t="shared" si="120"/>
        <v>43257</v>
      </c>
      <c r="F1590" s="146" t="str">
        <f t="shared" si="116"/>
        <v>2017-18</v>
      </c>
      <c r="G1590" s="1"/>
      <c r="H1590" s="161"/>
      <c r="I1590" s="37"/>
      <c r="J1590" s="135">
        <f t="shared" si="117"/>
        <v>0.76382508261777382</v>
      </c>
      <c r="K1590" s="112"/>
      <c r="L1590" s="37">
        <v>28.887148440200001</v>
      </c>
      <c r="M1590" s="37" t="s">
        <v>288</v>
      </c>
      <c r="N1590" s="37">
        <v>3336.4019512195118</v>
      </c>
      <c r="O1590" s="130">
        <f t="shared" si="118"/>
        <v>96379.138421050957</v>
      </c>
      <c r="P1590" s="132">
        <f t="shared" si="119"/>
        <v>6156.9085998046585</v>
      </c>
      <c r="Q1590" s="261">
        <v>8.3634555131432767E-2</v>
      </c>
      <c r="R1590" s="92"/>
    </row>
    <row r="1591" spans="1:18" x14ac:dyDescent="0.25">
      <c r="A1591" s="353">
        <v>43257</v>
      </c>
      <c r="B1591" s="353" t="s">
        <v>285</v>
      </c>
      <c r="C1591" s="263" t="s">
        <v>710</v>
      </c>
      <c r="D1591" s="157" t="s">
        <v>699</v>
      </c>
      <c r="E1591" s="44">
        <f t="shared" si="120"/>
        <v>43257</v>
      </c>
      <c r="F1591" s="146" t="str">
        <f t="shared" si="116"/>
        <v>2017-18</v>
      </c>
      <c r="G1591" s="1"/>
      <c r="H1591" s="161"/>
      <c r="I1591" s="37"/>
      <c r="J1591" s="135">
        <f t="shared" si="117"/>
        <v>0.76382508261777382</v>
      </c>
      <c r="K1591" s="112"/>
      <c r="L1591" s="37">
        <v>4.2631782744800004</v>
      </c>
      <c r="M1591" s="37" t="s">
        <v>288</v>
      </c>
      <c r="N1591" s="37">
        <v>812.22926829268283</v>
      </c>
      <c r="O1591" s="130">
        <f t="shared" si="118"/>
        <v>3462.6781704821528</v>
      </c>
      <c r="P1591" s="132">
        <f t="shared" si="119"/>
        <v>221.20339894572962</v>
      </c>
      <c r="Q1591" s="261">
        <v>8.3634555131432767E-2</v>
      </c>
      <c r="R1591" s="92"/>
    </row>
    <row r="1592" spans="1:18" x14ac:dyDescent="0.25">
      <c r="A1592" s="353">
        <v>43257</v>
      </c>
      <c r="B1592" s="353" t="s">
        <v>285</v>
      </c>
      <c r="C1592" s="263" t="s">
        <v>710</v>
      </c>
      <c r="D1592" s="157" t="s">
        <v>699</v>
      </c>
      <c r="E1592" s="44">
        <f t="shared" si="120"/>
        <v>43257</v>
      </c>
      <c r="F1592" s="146" t="str">
        <f t="shared" si="116"/>
        <v>2017-18</v>
      </c>
      <c r="G1592" s="1"/>
      <c r="H1592" s="161"/>
      <c r="I1592" s="37"/>
      <c r="J1592" s="135">
        <f t="shared" si="117"/>
        <v>0.76382508261777382</v>
      </c>
      <c r="K1592" s="112"/>
      <c r="L1592" s="37">
        <v>24.384849790699999</v>
      </c>
      <c r="M1592" s="37" t="s">
        <v>288</v>
      </c>
      <c r="N1592" s="37">
        <v>3336.4019512195118</v>
      </c>
      <c r="O1592" s="130">
        <f t="shared" si="118"/>
        <v>81357.660421886176</v>
      </c>
      <c r="P1592" s="132">
        <f t="shared" si="119"/>
        <v>5197.3039738451316</v>
      </c>
      <c r="Q1592" s="261">
        <v>8.3634555131432767E-2</v>
      </c>
      <c r="R1592" s="92"/>
    </row>
    <row r="1593" spans="1:18" x14ac:dyDescent="0.25">
      <c r="A1593" s="353">
        <v>43257</v>
      </c>
      <c r="B1593" s="353" t="s">
        <v>285</v>
      </c>
      <c r="C1593" s="263" t="s">
        <v>710</v>
      </c>
      <c r="D1593" s="157" t="s">
        <v>699</v>
      </c>
      <c r="E1593" s="44">
        <f t="shared" si="120"/>
        <v>43257</v>
      </c>
      <c r="F1593" s="146" t="str">
        <f t="shared" si="116"/>
        <v>2017-18</v>
      </c>
      <c r="G1593" s="1"/>
      <c r="H1593" s="161"/>
      <c r="I1593" s="37"/>
      <c r="J1593" s="135">
        <f t="shared" si="117"/>
        <v>0.76382508261777382</v>
      </c>
      <c r="K1593" s="112"/>
      <c r="L1593" s="37">
        <v>4.3951377680299997</v>
      </c>
      <c r="M1593" s="37" t="s">
        <v>288</v>
      </c>
      <c r="N1593" s="37">
        <v>812.22926829268283</v>
      </c>
      <c r="O1593" s="130">
        <f t="shared" si="118"/>
        <v>3569.8595333725416</v>
      </c>
      <c r="P1593" s="132">
        <f t="shared" si="119"/>
        <v>228.05037709608089</v>
      </c>
      <c r="Q1593" s="261">
        <v>8.3634555131432767E-2</v>
      </c>
      <c r="R1593" s="92"/>
    </row>
    <row r="1594" spans="1:18" x14ac:dyDescent="0.25">
      <c r="A1594" s="353">
        <v>43257</v>
      </c>
      <c r="B1594" s="353" t="s">
        <v>285</v>
      </c>
      <c r="C1594" s="263" t="s">
        <v>710</v>
      </c>
      <c r="D1594" s="157" t="s">
        <v>699</v>
      </c>
      <c r="E1594" s="44">
        <f t="shared" si="120"/>
        <v>43257</v>
      </c>
      <c r="F1594" s="146" t="str">
        <f t="shared" si="116"/>
        <v>2017-18</v>
      </c>
      <c r="G1594" s="1"/>
      <c r="H1594" s="161"/>
      <c r="I1594" s="37"/>
      <c r="J1594" s="135">
        <f t="shared" si="117"/>
        <v>0.76382508261777382</v>
      </c>
      <c r="K1594" s="112"/>
      <c r="L1594" s="37">
        <v>75.058619447799998</v>
      </c>
      <c r="M1594" s="37" t="s">
        <v>288</v>
      </c>
      <c r="N1594" s="37">
        <v>812.22926829268283</v>
      </c>
      <c r="O1594" s="130">
        <f t="shared" si="118"/>
        <v>60964.807553145525</v>
      </c>
      <c r="P1594" s="132">
        <f t="shared" si="119"/>
        <v>3894.5642600537444</v>
      </c>
      <c r="Q1594" s="261">
        <v>8.3634555131432767E-2</v>
      </c>
      <c r="R1594" s="92"/>
    </row>
    <row r="1595" spans="1:18" x14ac:dyDescent="0.25">
      <c r="A1595" s="353">
        <v>43257</v>
      </c>
      <c r="B1595" s="353" t="s">
        <v>285</v>
      </c>
      <c r="C1595" s="263" t="s">
        <v>710</v>
      </c>
      <c r="D1595" s="157" t="s">
        <v>699</v>
      </c>
      <c r="E1595" s="44">
        <f t="shared" si="120"/>
        <v>43257</v>
      </c>
      <c r="F1595" s="146" t="str">
        <f t="shared" ref="F1595:F1658" si="121">IF(E1595="","-",IF(OR(E1595&lt;$E$15,E1595&gt;$E$16),"ERROR - date outside of range",IF(MONTH(E1595)&gt;=7,YEAR(E1595)&amp;"-"&amp;IF(YEAR(E1595)=1999,"00",IF(AND(YEAR(E1595)&gt;=2000,YEAR(E1595)&lt;2009),"0","")&amp;RIGHT(YEAR(E1595),2)+1),RIGHT(YEAR(E1595),4)-1&amp;"-"&amp;RIGHT(YEAR(E1595),2))))</f>
        <v>2017-18</v>
      </c>
      <c r="G1595" s="1"/>
      <c r="H1595" s="161"/>
      <c r="I1595" s="37"/>
      <c r="J1595" s="135">
        <f t="shared" si="117"/>
        <v>0.76382508261777382</v>
      </c>
      <c r="K1595" s="112"/>
      <c r="L1595" s="37">
        <v>47.072674171199999</v>
      </c>
      <c r="M1595" s="37" t="s">
        <v>288</v>
      </c>
      <c r="N1595" s="37">
        <v>3336.4019512195118</v>
      </c>
      <c r="O1595" s="130">
        <f t="shared" si="118"/>
        <v>157053.36195391198</v>
      </c>
      <c r="P1595" s="132">
        <f t="shared" si="119"/>
        <v>10032.909721789671</v>
      </c>
      <c r="Q1595" s="261">
        <v>8.3634555131432767E-2</v>
      </c>
      <c r="R1595" s="92"/>
    </row>
    <row r="1596" spans="1:18" x14ac:dyDescent="0.25">
      <c r="A1596" s="353">
        <v>43257</v>
      </c>
      <c r="B1596" s="353" t="s">
        <v>285</v>
      </c>
      <c r="C1596" s="263" t="s">
        <v>710</v>
      </c>
      <c r="D1596" s="157" t="s">
        <v>699</v>
      </c>
      <c r="E1596" s="44">
        <f t="shared" si="120"/>
        <v>43257</v>
      </c>
      <c r="F1596" s="146" t="str">
        <f t="shared" si="121"/>
        <v>2017-18</v>
      </c>
      <c r="G1596" s="1"/>
      <c r="H1596" s="161"/>
      <c r="I1596" s="37"/>
      <c r="J1596" s="135">
        <f t="shared" si="117"/>
        <v>0.76382508261777382</v>
      </c>
      <c r="K1596" s="112"/>
      <c r="L1596" s="37">
        <v>29.0631776661</v>
      </c>
      <c r="M1596" s="37" t="s">
        <v>288</v>
      </c>
      <c r="N1596" s="37">
        <v>3336.4019512195118</v>
      </c>
      <c r="O1596" s="130">
        <f t="shared" si="118"/>
        <v>96966.442673815371</v>
      </c>
      <c r="P1596" s="132">
        <f t="shared" si="119"/>
        <v>6194.426870498779</v>
      </c>
      <c r="Q1596" s="261">
        <v>8.3634555131432767E-2</v>
      </c>
      <c r="R1596" s="92"/>
    </row>
    <row r="1597" spans="1:18" x14ac:dyDescent="0.25">
      <c r="A1597" s="353">
        <v>43257</v>
      </c>
      <c r="B1597" s="353" t="s">
        <v>285</v>
      </c>
      <c r="C1597" s="263" t="s">
        <v>710</v>
      </c>
      <c r="D1597" s="157" t="s">
        <v>699</v>
      </c>
      <c r="E1597" s="44">
        <f t="shared" si="120"/>
        <v>43257</v>
      </c>
      <c r="F1597" s="146" t="str">
        <f t="shared" si="121"/>
        <v>2017-18</v>
      </c>
      <c r="G1597" s="1"/>
      <c r="H1597" s="161"/>
      <c r="I1597" s="37"/>
      <c r="J1597" s="135">
        <f t="shared" si="117"/>
        <v>0.76382508261777382</v>
      </c>
      <c r="K1597" s="112"/>
      <c r="L1597" s="37">
        <v>46.060404366900002</v>
      </c>
      <c r="M1597" s="37" t="s">
        <v>288</v>
      </c>
      <c r="N1597" s="37">
        <v>3336.4019512195118</v>
      </c>
      <c r="O1597" s="130">
        <f t="shared" si="118"/>
        <v>153676.02300368488</v>
      </c>
      <c r="P1597" s="132">
        <f t="shared" si="119"/>
        <v>9817.1579775038281</v>
      </c>
      <c r="Q1597" s="261">
        <v>8.3634555131432767E-2</v>
      </c>
      <c r="R1597" s="92"/>
    </row>
    <row r="1598" spans="1:18" x14ac:dyDescent="0.25">
      <c r="A1598" s="353">
        <v>43257</v>
      </c>
      <c r="B1598" s="353" t="s">
        <v>285</v>
      </c>
      <c r="C1598" s="263" t="s">
        <v>710</v>
      </c>
      <c r="D1598" s="157" t="s">
        <v>699</v>
      </c>
      <c r="E1598" s="44">
        <f t="shared" si="120"/>
        <v>43257</v>
      </c>
      <c r="F1598" s="146" t="str">
        <f t="shared" si="121"/>
        <v>2017-18</v>
      </c>
      <c r="G1598" s="1"/>
      <c r="H1598" s="161"/>
      <c r="I1598" s="37"/>
      <c r="J1598" s="135">
        <f t="shared" si="117"/>
        <v>0.76382508261777382</v>
      </c>
      <c r="K1598" s="112"/>
      <c r="L1598" s="37">
        <v>50.933165721500004</v>
      </c>
      <c r="M1598" s="37" t="s">
        <v>288</v>
      </c>
      <c r="N1598" s="37">
        <v>812.22926829268283</v>
      </c>
      <c r="O1598" s="130">
        <f t="shared" si="118"/>
        <v>41369.407925803906</v>
      </c>
      <c r="P1598" s="132">
        <f t="shared" si="119"/>
        <v>2642.7675905803317</v>
      </c>
      <c r="Q1598" s="261">
        <v>8.3634555131432767E-2</v>
      </c>
      <c r="R1598" s="92"/>
    </row>
    <row r="1599" spans="1:18" x14ac:dyDescent="0.25">
      <c r="A1599" s="353">
        <v>41585</v>
      </c>
      <c r="B1599" s="353" t="s">
        <v>285</v>
      </c>
      <c r="C1599" s="263" t="s">
        <v>711</v>
      </c>
      <c r="D1599" s="157" t="s">
        <v>692</v>
      </c>
      <c r="E1599" s="44">
        <f t="shared" si="120"/>
        <v>41585</v>
      </c>
      <c r="F1599" s="146" t="str">
        <f t="shared" si="121"/>
        <v>2013-14</v>
      </c>
      <c r="G1599" s="1"/>
      <c r="H1599" s="161"/>
      <c r="I1599" s="37"/>
      <c r="J1599" s="135">
        <f t="shared" si="117"/>
        <v>0.76382508261777382</v>
      </c>
      <c r="K1599" s="112"/>
      <c r="L1599" s="37">
        <v>44.8090891457</v>
      </c>
      <c r="M1599" s="37" t="s">
        <v>288</v>
      </c>
      <c r="N1599" s="37">
        <v>3336.4019512195118</v>
      </c>
      <c r="O1599" s="130">
        <f t="shared" si="118"/>
        <v>149501.13245808252</v>
      </c>
      <c r="P1599" s="132">
        <f t="shared" si="119"/>
        <v>10364.373901346722</v>
      </c>
      <c r="Q1599" s="261">
        <v>9.076212887002455E-2</v>
      </c>
      <c r="R1599" s="92"/>
    </row>
    <row r="1600" spans="1:18" x14ac:dyDescent="0.25">
      <c r="A1600" s="353">
        <v>41585</v>
      </c>
      <c r="B1600" s="353" t="s">
        <v>285</v>
      </c>
      <c r="C1600" s="263" t="s">
        <v>711</v>
      </c>
      <c r="D1600" s="157" t="s">
        <v>692</v>
      </c>
      <c r="E1600" s="44">
        <f t="shared" si="120"/>
        <v>41585</v>
      </c>
      <c r="F1600" s="146" t="str">
        <f t="shared" si="121"/>
        <v>2013-14</v>
      </c>
      <c r="G1600" s="1"/>
      <c r="H1600" s="161"/>
      <c r="I1600" s="37"/>
      <c r="J1600" s="135">
        <f t="shared" si="117"/>
        <v>0.76382508261777382</v>
      </c>
      <c r="K1600" s="112"/>
      <c r="L1600" s="37">
        <v>43.335481642600001</v>
      </c>
      <c r="M1600" s="37" t="s">
        <v>288</v>
      </c>
      <c r="N1600" s="37">
        <v>3336.4019512195118</v>
      </c>
      <c r="O1600" s="130">
        <f t="shared" si="118"/>
        <v>144584.58550940797</v>
      </c>
      <c r="P1600" s="132">
        <f t="shared" si="119"/>
        <v>10023.527447264671</v>
      </c>
      <c r="Q1600" s="261">
        <v>9.076212887002455E-2</v>
      </c>
      <c r="R1600" s="92"/>
    </row>
    <row r="1601" spans="1:18" x14ac:dyDescent="0.25">
      <c r="A1601" s="353">
        <v>41585</v>
      </c>
      <c r="B1601" s="353" t="s">
        <v>285</v>
      </c>
      <c r="C1601" s="263" t="s">
        <v>711</v>
      </c>
      <c r="D1601" s="157" t="s">
        <v>692</v>
      </c>
      <c r="E1601" s="44">
        <f t="shared" si="120"/>
        <v>41585</v>
      </c>
      <c r="F1601" s="146" t="str">
        <f t="shared" si="121"/>
        <v>2013-14</v>
      </c>
      <c r="G1601" s="1"/>
      <c r="H1601" s="161"/>
      <c r="I1601" s="37"/>
      <c r="J1601" s="135">
        <f t="shared" si="117"/>
        <v>0.76382508261777382</v>
      </c>
      <c r="K1601" s="112"/>
      <c r="L1601" s="37">
        <v>42.133683513100003</v>
      </c>
      <c r="M1601" s="37" t="s">
        <v>288</v>
      </c>
      <c r="N1601" s="37">
        <v>3336.4019512195118</v>
      </c>
      <c r="O1601" s="130">
        <f t="shared" si="118"/>
        <v>140574.90388517221</v>
      </c>
      <c r="P1601" s="132">
        <f t="shared" si="119"/>
        <v>9745.5506928705818</v>
      </c>
      <c r="Q1601" s="261">
        <v>9.076212887002455E-2</v>
      </c>
      <c r="R1601" s="92"/>
    </row>
    <row r="1602" spans="1:18" x14ac:dyDescent="0.25">
      <c r="A1602" s="353">
        <v>41585</v>
      </c>
      <c r="B1602" s="353" t="s">
        <v>285</v>
      </c>
      <c r="C1602" s="263" t="s">
        <v>711</v>
      </c>
      <c r="D1602" s="157" t="s">
        <v>692</v>
      </c>
      <c r="E1602" s="44">
        <f t="shared" si="120"/>
        <v>41585</v>
      </c>
      <c r="F1602" s="146" t="str">
        <f t="shared" si="121"/>
        <v>2013-14</v>
      </c>
      <c r="G1602" s="1"/>
      <c r="H1602" s="161"/>
      <c r="I1602" s="37"/>
      <c r="J1602" s="135">
        <f t="shared" si="117"/>
        <v>0.76382508261777382</v>
      </c>
      <c r="K1602" s="112"/>
      <c r="L1602" s="37">
        <v>26.9036647452</v>
      </c>
      <c r="M1602" s="37" t="s">
        <v>288</v>
      </c>
      <c r="N1602" s="37">
        <v>812.22926829268283</v>
      </c>
      <c r="O1602" s="130">
        <f t="shared" si="118"/>
        <v>21851.943930385445</v>
      </c>
      <c r="P1602" s="132">
        <f t="shared" si="119"/>
        <v>1514.9163999094139</v>
      </c>
      <c r="Q1602" s="261">
        <v>9.076212887002455E-2</v>
      </c>
      <c r="R1602" s="92"/>
    </row>
    <row r="1603" spans="1:18" x14ac:dyDescent="0.25">
      <c r="A1603" s="353">
        <v>41585</v>
      </c>
      <c r="B1603" s="353" t="s">
        <v>285</v>
      </c>
      <c r="C1603" s="263" t="s">
        <v>711</v>
      </c>
      <c r="D1603" s="157" t="s">
        <v>692</v>
      </c>
      <c r="E1603" s="44">
        <f t="shared" si="120"/>
        <v>41585</v>
      </c>
      <c r="F1603" s="146" t="str">
        <f t="shared" si="121"/>
        <v>2013-14</v>
      </c>
      <c r="G1603" s="1"/>
      <c r="H1603" s="161"/>
      <c r="I1603" s="37"/>
      <c r="J1603" s="135">
        <f t="shared" si="117"/>
        <v>0.76382508261777382</v>
      </c>
      <c r="K1603" s="112"/>
      <c r="L1603" s="37">
        <v>25.9333682597</v>
      </c>
      <c r="M1603" s="37" t="s">
        <v>288</v>
      </c>
      <c r="N1603" s="37">
        <v>812.22926829268283</v>
      </c>
      <c r="O1603" s="130">
        <f t="shared" si="118"/>
        <v>21063.840725940816</v>
      </c>
      <c r="P1603" s="132">
        <f t="shared" si="119"/>
        <v>1460.2800493385992</v>
      </c>
      <c r="Q1603" s="261">
        <v>9.076212887002455E-2</v>
      </c>
      <c r="R1603" s="92"/>
    </row>
    <row r="1604" spans="1:18" x14ac:dyDescent="0.25">
      <c r="A1604" s="353">
        <v>41585</v>
      </c>
      <c r="B1604" s="353" t="s">
        <v>285</v>
      </c>
      <c r="C1604" s="263" t="s">
        <v>711</v>
      </c>
      <c r="D1604" s="157" t="s">
        <v>692</v>
      </c>
      <c r="E1604" s="44">
        <f t="shared" si="120"/>
        <v>41585</v>
      </c>
      <c r="F1604" s="146" t="str">
        <f t="shared" si="121"/>
        <v>2013-14</v>
      </c>
      <c r="G1604" s="1"/>
      <c r="H1604" s="161"/>
      <c r="I1604" s="37"/>
      <c r="J1604" s="135">
        <f t="shared" si="117"/>
        <v>0.76382508261777382</v>
      </c>
      <c r="K1604" s="112"/>
      <c r="L1604" s="37">
        <v>27.828099272599999</v>
      </c>
      <c r="M1604" s="37" t="s">
        <v>288</v>
      </c>
      <c r="N1604" s="37">
        <v>812.22926829268283</v>
      </c>
      <c r="O1604" s="130">
        <f t="shared" si="118"/>
        <v>22602.796710160037</v>
      </c>
      <c r="P1604" s="132">
        <f t="shared" si="119"/>
        <v>1566.970312990182</v>
      </c>
      <c r="Q1604" s="261">
        <v>9.076212887002455E-2</v>
      </c>
      <c r="R1604" s="92"/>
    </row>
    <row r="1605" spans="1:18" x14ac:dyDescent="0.25">
      <c r="A1605" s="353">
        <v>41585</v>
      </c>
      <c r="B1605" s="353" t="s">
        <v>285</v>
      </c>
      <c r="C1605" s="263" t="s">
        <v>711</v>
      </c>
      <c r="D1605" s="157" t="s">
        <v>692</v>
      </c>
      <c r="E1605" s="44">
        <f t="shared" si="120"/>
        <v>41585</v>
      </c>
      <c r="F1605" s="146" t="str">
        <f t="shared" si="121"/>
        <v>2013-14</v>
      </c>
      <c r="G1605" s="1"/>
      <c r="H1605" s="161"/>
      <c r="I1605" s="37"/>
      <c r="J1605" s="135">
        <f t="shared" si="117"/>
        <v>0.76382508261777382</v>
      </c>
      <c r="K1605" s="112"/>
      <c r="L1605" s="37">
        <v>25.702532333099999</v>
      </c>
      <c r="M1605" s="37" t="s">
        <v>288</v>
      </c>
      <c r="N1605" s="37">
        <v>812.22926829268283</v>
      </c>
      <c r="O1605" s="130">
        <f t="shared" si="118"/>
        <v>20876.349030182835</v>
      </c>
      <c r="P1605" s="132">
        <f t="shared" si="119"/>
        <v>1447.2819268074663</v>
      </c>
      <c r="Q1605" s="261">
        <v>9.076212887002455E-2</v>
      </c>
      <c r="R1605" s="92"/>
    </row>
    <row r="1606" spans="1:18" x14ac:dyDescent="0.25">
      <c r="A1606" s="353">
        <v>41585</v>
      </c>
      <c r="B1606" s="353" t="s">
        <v>285</v>
      </c>
      <c r="C1606" s="263" t="s">
        <v>711</v>
      </c>
      <c r="D1606" s="157" t="s">
        <v>692</v>
      </c>
      <c r="E1606" s="44">
        <f t="shared" si="120"/>
        <v>41585</v>
      </c>
      <c r="F1606" s="146" t="str">
        <f t="shared" si="121"/>
        <v>2013-14</v>
      </c>
      <c r="G1606" s="1"/>
      <c r="H1606" s="161"/>
      <c r="I1606" s="37"/>
      <c r="J1606" s="135">
        <f t="shared" si="117"/>
        <v>0.76382508261777382</v>
      </c>
      <c r="K1606" s="112"/>
      <c r="L1606" s="37">
        <v>30.577253543899999</v>
      </c>
      <c r="M1606" s="37" t="s">
        <v>288</v>
      </c>
      <c r="N1606" s="37">
        <v>812.22926829268283</v>
      </c>
      <c r="O1606" s="130">
        <f t="shared" si="118"/>
        <v>24835.740272361738</v>
      </c>
      <c r="P1606" s="132">
        <f t="shared" si="119"/>
        <v>1721.7722305325285</v>
      </c>
      <c r="Q1606" s="261">
        <v>9.076212887002455E-2</v>
      </c>
      <c r="R1606" s="92"/>
    </row>
    <row r="1607" spans="1:18" x14ac:dyDescent="0.25">
      <c r="A1607" s="353">
        <v>41585</v>
      </c>
      <c r="B1607" s="353" t="s">
        <v>285</v>
      </c>
      <c r="C1607" s="263" t="s">
        <v>711</v>
      </c>
      <c r="D1607" s="157" t="s">
        <v>692</v>
      </c>
      <c r="E1607" s="44">
        <f t="shared" si="120"/>
        <v>41585</v>
      </c>
      <c r="F1607" s="146" t="str">
        <f t="shared" si="121"/>
        <v>2013-14</v>
      </c>
      <c r="G1607" s="1"/>
      <c r="H1607" s="161"/>
      <c r="I1607" s="37"/>
      <c r="J1607" s="135">
        <f t="shared" si="117"/>
        <v>0.76382508261777382</v>
      </c>
      <c r="K1607" s="112"/>
      <c r="L1607" s="37">
        <v>25.835605252099999</v>
      </c>
      <c r="M1607" s="37" t="s">
        <v>288</v>
      </c>
      <c r="N1607" s="37">
        <v>3336.4019512195118</v>
      </c>
      <c r="O1607" s="130">
        <f t="shared" si="118"/>
        <v>86197.963774043499</v>
      </c>
      <c r="P1607" s="132">
        <f t="shared" si="119"/>
        <v>5975.7937040337592</v>
      </c>
      <c r="Q1607" s="261">
        <v>9.076212887002455E-2</v>
      </c>
      <c r="R1607" s="92"/>
    </row>
    <row r="1608" spans="1:18" x14ac:dyDescent="0.25">
      <c r="A1608" s="353">
        <v>41585</v>
      </c>
      <c r="B1608" s="353" t="s">
        <v>285</v>
      </c>
      <c r="C1608" s="263" t="s">
        <v>711</v>
      </c>
      <c r="D1608" s="157" t="s">
        <v>692</v>
      </c>
      <c r="E1608" s="44">
        <f t="shared" si="120"/>
        <v>41585</v>
      </c>
      <c r="F1608" s="146" t="str">
        <f t="shared" si="121"/>
        <v>2013-14</v>
      </c>
      <c r="G1608" s="1"/>
      <c r="H1608" s="161"/>
      <c r="I1608" s="37"/>
      <c r="J1608" s="135">
        <f t="shared" si="117"/>
        <v>0.76382508261777382</v>
      </c>
      <c r="K1608" s="112"/>
      <c r="L1608" s="37">
        <v>29.961229693100002</v>
      </c>
      <c r="M1608" s="37" t="s">
        <v>288</v>
      </c>
      <c r="N1608" s="37">
        <v>3336.4019512195118</v>
      </c>
      <c r="O1608" s="130">
        <f t="shared" si="118"/>
        <v>99962.705208994827</v>
      </c>
      <c r="P1608" s="132">
        <f t="shared" si="119"/>
        <v>6930.0535450232283</v>
      </c>
      <c r="Q1608" s="261">
        <v>9.076212887002455E-2</v>
      </c>
      <c r="R1608" s="92"/>
    </row>
    <row r="1609" spans="1:18" x14ac:dyDescent="0.25">
      <c r="A1609" s="353">
        <v>41585</v>
      </c>
      <c r="B1609" s="353" t="s">
        <v>285</v>
      </c>
      <c r="C1609" s="263" t="s">
        <v>711</v>
      </c>
      <c r="D1609" s="157" t="s">
        <v>692</v>
      </c>
      <c r="E1609" s="44">
        <f t="shared" si="120"/>
        <v>41585</v>
      </c>
      <c r="F1609" s="146" t="str">
        <f t="shared" si="121"/>
        <v>2013-14</v>
      </c>
      <c r="G1609" s="1"/>
      <c r="H1609" s="161"/>
      <c r="I1609" s="37"/>
      <c r="J1609" s="135">
        <f t="shared" si="117"/>
        <v>0.76382508261777382</v>
      </c>
      <c r="K1609" s="112"/>
      <c r="L1609" s="37">
        <v>6.69806897546</v>
      </c>
      <c r="M1609" s="37" t="s">
        <v>288</v>
      </c>
      <c r="N1609" s="37">
        <v>812.22926829268283</v>
      </c>
      <c r="O1609" s="130">
        <f t="shared" si="118"/>
        <v>5440.3676629117954</v>
      </c>
      <c r="P1609" s="132">
        <f t="shared" si="119"/>
        <v>377.16105351257664</v>
      </c>
      <c r="Q1609" s="261">
        <v>9.076212887002455E-2</v>
      </c>
      <c r="R1609" s="92"/>
    </row>
    <row r="1610" spans="1:18" x14ac:dyDescent="0.25">
      <c r="A1610" s="353">
        <v>41585</v>
      </c>
      <c r="B1610" s="353" t="s">
        <v>285</v>
      </c>
      <c r="C1610" s="263" t="s">
        <v>711</v>
      </c>
      <c r="D1610" s="157" t="s">
        <v>692</v>
      </c>
      <c r="E1610" s="44">
        <f t="shared" si="120"/>
        <v>41585</v>
      </c>
      <c r="F1610" s="146" t="str">
        <f t="shared" si="121"/>
        <v>2013-14</v>
      </c>
      <c r="G1610" s="1"/>
      <c r="H1610" s="161"/>
      <c r="I1610" s="37"/>
      <c r="J1610" s="135">
        <f t="shared" si="117"/>
        <v>0.76382508261777382</v>
      </c>
      <c r="K1610" s="112"/>
      <c r="L1610" s="37">
        <v>18.152782405699998</v>
      </c>
      <c r="M1610" s="37" t="s">
        <v>288</v>
      </c>
      <c r="N1610" s="37">
        <v>3336.4019512195118</v>
      </c>
      <c r="O1610" s="130">
        <f t="shared" si="118"/>
        <v>60564.978638440698</v>
      </c>
      <c r="P1610" s="132">
        <f t="shared" si="119"/>
        <v>4198.7513647221213</v>
      </c>
      <c r="Q1610" s="261">
        <v>9.076212887002455E-2</v>
      </c>
      <c r="R1610" s="92"/>
    </row>
    <row r="1611" spans="1:18" x14ac:dyDescent="0.25">
      <c r="A1611" s="353">
        <v>41585</v>
      </c>
      <c r="B1611" s="353" t="s">
        <v>285</v>
      </c>
      <c r="C1611" s="263" t="s">
        <v>711</v>
      </c>
      <c r="D1611" s="157" t="s">
        <v>692</v>
      </c>
      <c r="E1611" s="44">
        <f t="shared" si="120"/>
        <v>41585</v>
      </c>
      <c r="F1611" s="146" t="str">
        <f t="shared" si="121"/>
        <v>2013-14</v>
      </c>
      <c r="G1611" s="1"/>
      <c r="H1611" s="161"/>
      <c r="I1611" s="37"/>
      <c r="J1611" s="135">
        <f t="shared" si="117"/>
        <v>0.76382508261777382</v>
      </c>
      <c r="K1611" s="112"/>
      <c r="L1611" s="37">
        <v>18.8424912748</v>
      </c>
      <c r="M1611" s="37" t="s">
        <v>288</v>
      </c>
      <c r="N1611" s="37">
        <v>3336.4019512195118</v>
      </c>
      <c r="O1611" s="130">
        <f t="shared" si="118"/>
        <v>62866.124655079351</v>
      </c>
      <c r="P1611" s="132">
        <f t="shared" si="119"/>
        <v>4358.2815122594629</v>
      </c>
      <c r="Q1611" s="261">
        <v>9.076212887002455E-2</v>
      </c>
      <c r="R1611" s="92"/>
    </row>
    <row r="1612" spans="1:18" x14ac:dyDescent="0.25">
      <c r="A1612" s="353">
        <v>41585</v>
      </c>
      <c r="B1612" s="353" t="s">
        <v>285</v>
      </c>
      <c r="C1612" s="263" t="s">
        <v>711</v>
      </c>
      <c r="D1612" s="157" t="s">
        <v>692</v>
      </c>
      <c r="E1612" s="44">
        <f t="shared" si="120"/>
        <v>41585</v>
      </c>
      <c r="F1612" s="146" t="str">
        <f t="shared" si="121"/>
        <v>2013-14</v>
      </c>
      <c r="G1612" s="1"/>
      <c r="H1612" s="161"/>
      <c r="I1612" s="37"/>
      <c r="J1612" s="135">
        <f t="shared" si="117"/>
        <v>0.76382508261777382</v>
      </c>
      <c r="K1612" s="112"/>
      <c r="L1612" s="37">
        <v>29.8692979522</v>
      </c>
      <c r="M1612" s="37" t="s">
        <v>288</v>
      </c>
      <c r="N1612" s="37">
        <v>812.22926829268283</v>
      </c>
      <c r="O1612" s="130">
        <f t="shared" si="118"/>
        <v>24260.718020131535</v>
      </c>
      <c r="P1612" s="132">
        <f t="shared" si="119"/>
        <v>1681.9080132806671</v>
      </c>
      <c r="Q1612" s="261">
        <v>9.076212887002455E-2</v>
      </c>
      <c r="R1612" s="92"/>
    </row>
    <row r="1613" spans="1:18" x14ac:dyDescent="0.25">
      <c r="A1613" s="353">
        <v>41585</v>
      </c>
      <c r="B1613" s="353" t="s">
        <v>285</v>
      </c>
      <c r="C1613" s="263" t="s">
        <v>711</v>
      </c>
      <c r="D1613" s="157" t="s">
        <v>692</v>
      </c>
      <c r="E1613" s="44">
        <f t="shared" si="120"/>
        <v>41585</v>
      </c>
      <c r="F1613" s="146" t="str">
        <f t="shared" si="121"/>
        <v>2013-14</v>
      </c>
      <c r="G1613" s="1"/>
      <c r="H1613" s="161"/>
      <c r="I1613" s="37"/>
      <c r="J1613" s="135">
        <f t="shared" si="117"/>
        <v>0.76382508261777382</v>
      </c>
      <c r="K1613" s="112"/>
      <c r="L1613" s="37">
        <v>11.7132992055</v>
      </c>
      <c r="M1613" s="37" t="s">
        <v>288</v>
      </c>
      <c r="N1613" s="37">
        <v>812.22926829268283</v>
      </c>
      <c r="O1613" s="130">
        <f t="shared" si="118"/>
        <v>9513.8844429765286</v>
      </c>
      <c r="P1613" s="132">
        <f t="shared" si="119"/>
        <v>659.56326885257374</v>
      </c>
      <c r="Q1613" s="261">
        <v>9.076212887002455E-2</v>
      </c>
      <c r="R1613" s="92"/>
    </row>
    <row r="1614" spans="1:18" x14ac:dyDescent="0.25">
      <c r="A1614" s="353">
        <v>41585</v>
      </c>
      <c r="B1614" s="353" t="s">
        <v>285</v>
      </c>
      <c r="C1614" s="263" t="s">
        <v>711</v>
      </c>
      <c r="D1614" s="157" t="s">
        <v>692</v>
      </c>
      <c r="E1614" s="44">
        <f t="shared" si="120"/>
        <v>41585</v>
      </c>
      <c r="F1614" s="146" t="str">
        <f t="shared" si="121"/>
        <v>2013-14</v>
      </c>
      <c r="G1614" s="1"/>
      <c r="H1614" s="161"/>
      <c r="I1614" s="37"/>
      <c r="J1614" s="135">
        <f t="shared" si="117"/>
        <v>0.76382508261777382</v>
      </c>
      <c r="K1614" s="112"/>
      <c r="L1614" s="37">
        <v>45.141892867800003</v>
      </c>
      <c r="M1614" s="37" t="s">
        <v>288</v>
      </c>
      <c r="N1614" s="37">
        <v>3336.4019512195118</v>
      </c>
      <c r="O1614" s="130">
        <f t="shared" si="118"/>
        <v>150611.49944587008</v>
      </c>
      <c r="P1614" s="132">
        <f t="shared" si="119"/>
        <v>10441.351636832231</v>
      </c>
      <c r="Q1614" s="261">
        <v>9.076212887002455E-2</v>
      </c>
      <c r="R1614" s="92"/>
    </row>
    <row r="1615" spans="1:18" x14ac:dyDescent="0.25">
      <c r="A1615" s="353">
        <v>41585</v>
      </c>
      <c r="B1615" s="353" t="s">
        <v>285</v>
      </c>
      <c r="C1615" s="263" t="s">
        <v>711</v>
      </c>
      <c r="D1615" s="157" t="s">
        <v>692</v>
      </c>
      <c r="E1615" s="44">
        <f t="shared" si="120"/>
        <v>41585</v>
      </c>
      <c r="F1615" s="146" t="str">
        <f t="shared" si="121"/>
        <v>2013-14</v>
      </c>
      <c r="G1615" s="1"/>
      <c r="H1615" s="161"/>
      <c r="I1615" s="37"/>
      <c r="J1615" s="135">
        <f t="shared" si="117"/>
        <v>0.76382508261777382</v>
      </c>
      <c r="K1615" s="112"/>
      <c r="L1615" s="37">
        <v>32.182445564600002</v>
      </c>
      <c r="M1615" s="37" t="s">
        <v>288</v>
      </c>
      <c r="N1615" s="37">
        <v>3336.4019512195118</v>
      </c>
      <c r="O1615" s="130">
        <f t="shared" si="118"/>
        <v>107373.57417674718</v>
      </c>
      <c r="P1615" s="132">
        <f t="shared" si="119"/>
        <v>7443.8223416389237</v>
      </c>
      <c r="Q1615" s="261">
        <v>9.076212887002455E-2</v>
      </c>
      <c r="R1615" s="92"/>
    </row>
    <row r="1616" spans="1:18" x14ac:dyDescent="0.25">
      <c r="A1616" s="353">
        <v>41585</v>
      </c>
      <c r="B1616" s="353" t="s">
        <v>285</v>
      </c>
      <c r="C1616" s="263" t="s">
        <v>711</v>
      </c>
      <c r="D1616" s="157" t="s">
        <v>692</v>
      </c>
      <c r="E1616" s="44">
        <f t="shared" si="120"/>
        <v>41585</v>
      </c>
      <c r="F1616" s="146" t="str">
        <f t="shared" si="121"/>
        <v>2013-14</v>
      </c>
      <c r="G1616" s="1"/>
      <c r="H1616" s="161"/>
      <c r="I1616" s="37"/>
      <c r="J1616" s="135">
        <f t="shared" si="117"/>
        <v>0.76382508261777382</v>
      </c>
      <c r="K1616" s="112"/>
      <c r="L1616" s="37">
        <v>15.3673886242</v>
      </c>
      <c r="M1616" s="37" t="s">
        <v>288</v>
      </c>
      <c r="N1616" s="37">
        <v>812.22926829268283</v>
      </c>
      <c r="O1616" s="130">
        <f t="shared" si="118"/>
        <v>12481.842817803265</v>
      </c>
      <c r="P1616" s="132">
        <f t="shared" si="119"/>
        <v>865.3211103790419</v>
      </c>
      <c r="Q1616" s="261">
        <v>9.076212887002455E-2</v>
      </c>
      <c r="R1616" s="92"/>
    </row>
    <row r="1617" spans="1:18" x14ac:dyDescent="0.25">
      <c r="A1617" s="353">
        <v>41585</v>
      </c>
      <c r="B1617" s="353" t="s">
        <v>285</v>
      </c>
      <c r="C1617" s="263" t="s">
        <v>711</v>
      </c>
      <c r="D1617" s="157" t="s">
        <v>692</v>
      </c>
      <c r="E1617" s="44">
        <f t="shared" si="120"/>
        <v>41585</v>
      </c>
      <c r="F1617" s="146" t="str">
        <f t="shared" si="121"/>
        <v>2013-14</v>
      </c>
      <c r="G1617" s="1"/>
      <c r="H1617" s="161"/>
      <c r="I1617" s="37"/>
      <c r="J1617" s="135">
        <f t="shared" si="117"/>
        <v>0.76382508261777382</v>
      </c>
      <c r="K1617" s="112"/>
      <c r="L1617" s="37">
        <v>14.9962203577</v>
      </c>
      <c r="M1617" s="37" t="s">
        <v>288</v>
      </c>
      <c r="N1617" s="37">
        <v>812.22926829268283</v>
      </c>
      <c r="O1617" s="130">
        <f t="shared" si="118"/>
        <v>12180.369088290507</v>
      </c>
      <c r="P1617" s="132">
        <f t="shared" si="119"/>
        <v>844.42102485641362</v>
      </c>
      <c r="Q1617" s="261">
        <v>9.076212887002455E-2</v>
      </c>
      <c r="R1617" s="92"/>
    </row>
    <row r="1618" spans="1:18" x14ac:dyDescent="0.25">
      <c r="A1618" s="353">
        <v>41585</v>
      </c>
      <c r="B1618" s="353" t="s">
        <v>285</v>
      </c>
      <c r="C1618" s="263" t="s">
        <v>711</v>
      </c>
      <c r="D1618" s="157" t="s">
        <v>692</v>
      </c>
      <c r="E1618" s="44">
        <f t="shared" si="120"/>
        <v>41585</v>
      </c>
      <c r="F1618" s="146" t="str">
        <f t="shared" si="121"/>
        <v>2013-14</v>
      </c>
      <c r="G1618" s="1"/>
      <c r="H1618" s="161"/>
      <c r="I1618" s="37"/>
      <c r="J1618" s="135">
        <f t="shared" si="117"/>
        <v>0.76382508261777382</v>
      </c>
      <c r="K1618" s="112"/>
      <c r="L1618" s="37">
        <v>29.757641203599999</v>
      </c>
      <c r="M1618" s="37" t="s">
        <v>288</v>
      </c>
      <c r="N1618" s="37">
        <v>3336.4019512195118</v>
      </c>
      <c r="O1618" s="130">
        <f t="shared" si="118"/>
        <v>99283.452175381171</v>
      </c>
      <c r="P1618" s="132">
        <f t="shared" si="119"/>
        <v>6882.9633839104363</v>
      </c>
      <c r="Q1618" s="261">
        <v>9.076212887002455E-2</v>
      </c>
      <c r="R1618" s="92"/>
    </row>
    <row r="1619" spans="1:18" x14ac:dyDescent="0.25">
      <c r="A1619" s="353">
        <v>41585</v>
      </c>
      <c r="B1619" s="353" t="s">
        <v>285</v>
      </c>
      <c r="C1619" s="263" t="s">
        <v>711</v>
      </c>
      <c r="D1619" s="157" t="s">
        <v>692</v>
      </c>
      <c r="E1619" s="44">
        <f t="shared" si="120"/>
        <v>41585</v>
      </c>
      <c r="F1619" s="146" t="str">
        <f t="shared" si="121"/>
        <v>2013-14</v>
      </c>
      <c r="G1619" s="1"/>
      <c r="H1619" s="161"/>
      <c r="I1619" s="37"/>
      <c r="J1619" s="135">
        <f t="shared" si="117"/>
        <v>0.76382508261777382</v>
      </c>
      <c r="K1619" s="112"/>
      <c r="L1619" s="37">
        <v>32.201162324000002</v>
      </c>
      <c r="M1619" s="37" t="s">
        <v>288</v>
      </c>
      <c r="N1619" s="37">
        <v>812.22926829268283</v>
      </c>
      <c r="O1619" s="130">
        <f t="shared" si="118"/>
        <v>26154.72651259643</v>
      </c>
      <c r="P1619" s="132">
        <f t="shared" si="119"/>
        <v>1813.2127857962607</v>
      </c>
      <c r="Q1619" s="261">
        <v>9.076212887002455E-2</v>
      </c>
      <c r="R1619" s="92"/>
    </row>
    <row r="1620" spans="1:18" x14ac:dyDescent="0.25">
      <c r="A1620" s="353">
        <v>41585</v>
      </c>
      <c r="B1620" s="353" t="s">
        <v>285</v>
      </c>
      <c r="C1620" s="263" t="s">
        <v>711</v>
      </c>
      <c r="D1620" s="157" t="s">
        <v>692</v>
      </c>
      <c r="E1620" s="44">
        <f t="shared" si="120"/>
        <v>41585</v>
      </c>
      <c r="F1620" s="146" t="str">
        <f t="shared" si="121"/>
        <v>2013-14</v>
      </c>
      <c r="G1620" s="1"/>
      <c r="H1620" s="161"/>
      <c r="I1620" s="37"/>
      <c r="J1620" s="135">
        <f t="shared" si="117"/>
        <v>0.76382508261777382</v>
      </c>
      <c r="K1620" s="112"/>
      <c r="L1620" s="37">
        <v>48.525634805499998</v>
      </c>
      <c r="M1620" s="37" t="s">
        <v>288</v>
      </c>
      <c r="N1620" s="37">
        <v>3336.4019512195118</v>
      </c>
      <c r="O1620" s="130">
        <f t="shared" si="118"/>
        <v>161901.02264923565</v>
      </c>
      <c r="P1620" s="132">
        <f t="shared" si="119"/>
        <v>11224.013531921337</v>
      </c>
      <c r="Q1620" s="261">
        <v>9.076212887002455E-2</v>
      </c>
      <c r="R1620" s="92"/>
    </row>
    <row r="1621" spans="1:18" x14ac:dyDescent="0.25">
      <c r="A1621" s="353">
        <v>41585</v>
      </c>
      <c r="B1621" s="353" t="s">
        <v>285</v>
      </c>
      <c r="C1621" s="263" t="s">
        <v>711</v>
      </c>
      <c r="D1621" s="157" t="s">
        <v>692</v>
      </c>
      <c r="E1621" s="44">
        <f t="shared" si="120"/>
        <v>41585</v>
      </c>
      <c r="F1621" s="146" t="str">
        <f t="shared" si="121"/>
        <v>2013-14</v>
      </c>
      <c r="G1621" s="1"/>
      <c r="H1621" s="161"/>
      <c r="I1621" s="37"/>
      <c r="J1621" s="135">
        <f t="shared" si="117"/>
        <v>0.76382508261777382</v>
      </c>
      <c r="K1621" s="112"/>
      <c r="L1621" s="37">
        <v>78.408132830100001</v>
      </c>
      <c r="M1621" s="37" t="s">
        <v>288</v>
      </c>
      <c r="N1621" s="37">
        <v>812.22926829268283</v>
      </c>
      <c r="O1621" s="130">
        <f t="shared" si="118"/>
        <v>63685.380356787609</v>
      </c>
      <c r="P1621" s="132">
        <f t="shared" si="119"/>
        <v>4415.0775530232022</v>
      </c>
      <c r="Q1621" s="261">
        <v>9.076212887002455E-2</v>
      </c>
      <c r="R1621" s="92"/>
    </row>
    <row r="1622" spans="1:18" x14ac:dyDescent="0.25">
      <c r="A1622" s="353">
        <v>41585</v>
      </c>
      <c r="B1622" s="353" t="s">
        <v>285</v>
      </c>
      <c r="C1622" s="263" t="s">
        <v>711</v>
      </c>
      <c r="D1622" s="157" t="s">
        <v>692</v>
      </c>
      <c r="E1622" s="44">
        <f t="shared" si="120"/>
        <v>41585</v>
      </c>
      <c r="F1622" s="146" t="str">
        <f t="shared" si="121"/>
        <v>2013-14</v>
      </c>
      <c r="G1622" s="1"/>
      <c r="H1622" s="161"/>
      <c r="I1622" s="37"/>
      <c r="J1622" s="135">
        <f t="shared" si="117"/>
        <v>0.76382508261777382</v>
      </c>
      <c r="K1622" s="112"/>
      <c r="L1622" s="37">
        <v>58.528896456399998</v>
      </c>
      <c r="M1622" s="37" t="s">
        <v>288</v>
      </c>
      <c r="N1622" s="37">
        <v>3336.4019512195118</v>
      </c>
      <c r="O1622" s="130">
        <f t="shared" si="118"/>
        <v>195275.92433985774</v>
      </c>
      <c r="P1622" s="132">
        <f t="shared" si="119"/>
        <v>13537.775002185004</v>
      </c>
      <c r="Q1622" s="261">
        <v>9.076212887002455E-2</v>
      </c>
      <c r="R1622" s="92"/>
    </row>
    <row r="1623" spans="1:18" x14ac:dyDescent="0.25">
      <c r="A1623" s="353">
        <v>41585</v>
      </c>
      <c r="B1623" s="353" t="s">
        <v>285</v>
      </c>
      <c r="C1623" s="263" t="s">
        <v>711</v>
      </c>
      <c r="D1623" s="157" t="s">
        <v>692</v>
      </c>
      <c r="E1623" s="44">
        <f t="shared" si="120"/>
        <v>41585</v>
      </c>
      <c r="F1623" s="146" t="str">
        <f t="shared" si="121"/>
        <v>2013-14</v>
      </c>
      <c r="G1623" s="1"/>
      <c r="H1623" s="161"/>
      <c r="I1623" s="37"/>
      <c r="J1623" s="135">
        <f t="shared" si="117"/>
        <v>0.76382508261777382</v>
      </c>
      <c r="K1623" s="112"/>
      <c r="L1623" s="37">
        <v>24.5663148551</v>
      </c>
      <c r="M1623" s="37" t="s">
        <v>288</v>
      </c>
      <c r="N1623" s="37">
        <v>3336.4019512195118</v>
      </c>
      <c r="O1623" s="130">
        <f t="shared" si="118"/>
        <v>81963.100816828519</v>
      </c>
      <c r="P1623" s="132">
        <f t="shared" si="119"/>
        <v>5682.205940597617</v>
      </c>
      <c r="Q1623" s="261">
        <v>9.076212887002455E-2</v>
      </c>
      <c r="R1623" s="92"/>
    </row>
    <row r="1624" spans="1:18" x14ac:dyDescent="0.25">
      <c r="A1624" s="353">
        <v>41585</v>
      </c>
      <c r="B1624" s="353" t="s">
        <v>285</v>
      </c>
      <c r="C1624" s="263" t="s">
        <v>711</v>
      </c>
      <c r="D1624" s="157" t="s">
        <v>692</v>
      </c>
      <c r="E1624" s="44">
        <f t="shared" si="120"/>
        <v>41585</v>
      </c>
      <c r="F1624" s="146" t="str">
        <f t="shared" si="121"/>
        <v>2013-14</v>
      </c>
      <c r="G1624" s="1"/>
      <c r="H1624" s="161"/>
      <c r="I1624" s="37"/>
      <c r="J1624" s="135">
        <f t="shared" si="117"/>
        <v>0.76382508261777382</v>
      </c>
      <c r="K1624" s="112"/>
      <c r="L1624" s="37">
        <v>18.116932687399999</v>
      </c>
      <c r="M1624" s="37" t="s">
        <v>288</v>
      </c>
      <c r="N1624" s="37">
        <v>812.22926829268283</v>
      </c>
      <c r="O1624" s="130">
        <f t="shared" si="118"/>
        <v>14715.102980394689</v>
      </c>
      <c r="P1624" s="132">
        <f t="shared" si="119"/>
        <v>1020.1449766836648</v>
      </c>
      <c r="Q1624" s="261">
        <v>9.076212887002455E-2</v>
      </c>
      <c r="R1624" s="92"/>
    </row>
    <row r="1625" spans="1:18" x14ac:dyDescent="0.25">
      <c r="A1625" s="353">
        <v>41585</v>
      </c>
      <c r="B1625" s="353" t="s">
        <v>285</v>
      </c>
      <c r="C1625" s="263" t="s">
        <v>711</v>
      </c>
      <c r="D1625" s="157" t="s">
        <v>692</v>
      </c>
      <c r="E1625" s="44">
        <f t="shared" si="120"/>
        <v>41585</v>
      </c>
      <c r="F1625" s="146" t="str">
        <f t="shared" si="121"/>
        <v>2013-14</v>
      </c>
      <c r="G1625" s="1"/>
      <c r="H1625" s="161"/>
      <c r="I1625" s="37"/>
      <c r="J1625" s="135">
        <f t="shared" si="117"/>
        <v>0.76382508261777382</v>
      </c>
      <c r="K1625" s="112"/>
      <c r="L1625" s="37">
        <v>31.207698970900001</v>
      </c>
      <c r="M1625" s="37" t="s">
        <v>288</v>
      </c>
      <c r="N1625" s="37">
        <v>3336.4019512195118</v>
      </c>
      <c r="O1625" s="130">
        <f t="shared" si="118"/>
        <v>104121.42773958191</v>
      </c>
      <c r="P1625" s="132">
        <f t="shared" si="119"/>
        <v>7218.3627675038306</v>
      </c>
      <c r="Q1625" s="261">
        <v>9.076212887002455E-2</v>
      </c>
      <c r="R1625" s="92"/>
    </row>
    <row r="1626" spans="1:18" x14ac:dyDescent="0.25">
      <c r="A1626" s="353">
        <v>41585</v>
      </c>
      <c r="B1626" s="353" t="s">
        <v>285</v>
      </c>
      <c r="C1626" s="263" t="s">
        <v>711</v>
      </c>
      <c r="D1626" s="157" t="s">
        <v>692</v>
      </c>
      <c r="E1626" s="44">
        <f t="shared" si="120"/>
        <v>41585</v>
      </c>
      <c r="F1626" s="146" t="str">
        <f t="shared" si="121"/>
        <v>2013-14</v>
      </c>
      <c r="G1626" s="1"/>
      <c r="H1626" s="161"/>
      <c r="I1626" s="37"/>
      <c r="J1626" s="135">
        <f t="shared" ref="J1626:J1689" si="122">J1625</f>
        <v>0.76382508261777382</v>
      </c>
      <c r="K1626" s="112"/>
      <c r="L1626" s="37">
        <v>27.348888142100002</v>
      </c>
      <c r="M1626" s="37" t="s">
        <v>288</v>
      </c>
      <c r="N1626" s="37">
        <v>3336.4019512195118</v>
      </c>
      <c r="O1626" s="130">
        <f t="shared" ref="O1626:O1689" si="123">IF(N1626="","-",L1626*N1626)</f>
        <v>91246.883760986617</v>
      </c>
      <c r="P1626" s="132">
        <f t="shared" ref="P1626:P1689" si="124">IF(O1626="-","-",IF(OR(E1626&lt;$E$15,E1626&gt;$E$16),0,O1626*J1626))*Q1626</f>
        <v>6325.8171030694366</v>
      </c>
      <c r="Q1626" s="261">
        <v>9.076212887002455E-2</v>
      </c>
      <c r="R1626" s="92"/>
    </row>
    <row r="1627" spans="1:18" x14ac:dyDescent="0.25">
      <c r="A1627" s="353">
        <v>41585</v>
      </c>
      <c r="B1627" s="353" t="s">
        <v>285</v>
      </c>
      <c r="C1627" s="263" t="s">
        <v>711</v>
      </c>
      <c r="D1627" s="157" t="s">
        <v>692</v>
      </c>
      <c r="E1627" s="44">
        <f t="shared" ref="E1627:E1690" si="125">IF(VALUE(A1627)&lt;2022,DATEVALUE("30 Jun "&amp;A1627),A1627)</f>
        <v>41585</v>
      </c>
      <c r="F1627" s="146" t="str">
        <f t="shared" si="121"/>
        <v>2013-14</v>
      </c>
      <c r="G1627" s="1"/>
      <c r="H1627" s="161"/>
      <c r="I1627" s="37"/>
      <c r="J1627" s="135">
        <f t="shared" si="122"/>
        <v>0.76382508261777382</v>
      </c>
      <c r="K1627" s="112"/>
      <c r="L1627" s="37">
        <v>26.011613903200001</v>
      </c>
      <c r="M1627" s="37" t="s">
        <v>288</v>
      </c>
      <c r="N1627" s="37">
        <v>3336.4019512195118</v>
      </c>
      <c r="O1627" s="130">
        <f t="shared" si="123"/>
        <v>86785.199381005063</v>
      </c>
      <c r="P1627" s="132">
        <f t="shared" si="124"/>
        <v>6016.5046290860528</v>
      </c>
      <c r="Q1627" s="261">
        <v>9.076212887002455E-2</v>
      </c>
      <c r="R1627" s="92"/>
    </row>
    <row r="1628" spans="1:18" x14ac:dyDescent="0.25">
      <c r="A1628" s="353">
        <v>41585</v>
      </c>
      <c r="B1628" s="353" t="s">
        <v>285</v>
      </c>
      <c r="C1628" s="263" t="s">
        <v>711</v>
      </c>
      <c r="D1628" s="157" t="s">
        <v>692</v>
      </c>
      <c r="E1628" s="44">
        <f t="shared" si="125"/>
        <v>41585</v>
      </c>
      <c r="F1628" s="146" t="str">
        <f t="shared" si="121"/>
        <v>2013-14</v>
      </c>
      <c r="G1628" s="1"/>
      <c r="H1628" s="161"/>
      <c r="I1628" s="37"/>
      <c r="J1628" s="135">
        <f t="shared" si="122"/>
        <v>0.76382508261777382</v>
      </c>
      <c r="K1628" s="112"/>
      <c r="L1628" s="37">
        <v>33.869858991299999</v>
      </c>
      <c r="M1628" s="37" t="s">
        <v>288</v>
      </c>
      <c r="N1628" s="37">
        <v>3592.3639024390236</v>
      </c>
      <c r="O1628" s="130">
        <f t="shared" si="123"/>
        <v>121672.85882104591</v>
      </c>
      <c r="P1628" s="132">
        <f t="shared" si="124"/>
        <v>8435.1401339429467</v>
      </c>
      <c r="Q1628" s="261">
        <v>9.076212887002455E-2</v>
      </c>
      <c r="R1628" s="92"/>
    </row>
    <row r="1629" spans="1:18" x14ac:dyDescent="0.25">
      <c r="A1629" s="353">
        <v>41585</v>
      </c>
      <c r="B1629" s="353" t="s">
        <v>285</v>
      </c>
      <c r="C1629" s="263" t="s">
        <v>711</v>
      </c>
      <c r="D1629" s="157" t="s">
        <v>692</v>
      </c>
      <c r="E1629" s="44">
        <f t="shared" si="125"/>
        <v>41585</v>
      </c>
      <c r="F1629" s="146" t="str">
        <f t="shared" si="121"/>
        <v>2013-14</v>
      </c>
      <c r="G1629" s="1"/>
      <c r="H1629" s="161"/>
      <c r="I1629" s="37"/>
      <c r="J1629" s="135">
        <f t="shared" si="122"/>
        <v>0.76382508261777382</v>
      </c>
      <c r="K1629" s="112"/>
      <c r="L1629" s="37">
        <v>63.218636506400003</v>
      </c>
      <c r="M1629" s="37" t="s">
        <v>288</v>
      </c>
      <c r="N1629" s="37">
        <v>3592.3639024390236</v>
      </c>
      <c r="O1629" s="130">
        <f t="shared" si="123"/>
        <v>227104.34774700523</v>
      </c>
      <c r="P1629" s="132">
        <f t="shared" si="124"/>
        <v>15744.324714940831</v>
      </c>
      <c r="Q1629" s="261">
        <v>9.076212887002455E-2</v>
      </c>
      <c r="R1629" s="92"/>
    </row>
    <row r="1630" spans="1:18" x14ac:dyDescent="0.25">
      <c r="A1630" s="353">
        <v>41585</v>
      </c>
      <c r="B1630" s="353" t="s">
        <v>285</v>
      </c>
      <c r="C1630" s="263" t="s">
        <v>711</v>
      </c>
      <c r="D1630" s="157" t="s">
        <v>692</v>
      </c>
      <c r="E1630" s="44">
        <f t="shared" si="125"/>
        <v>41585</v>
      </c>
      <c r="F1630" s="146" t="str">
        <f t="shared" si="121"/>
        <v>2013-14</v>
      </c>
      <c r="G1630" s="1"/>
      <c r="H1630" s="161"/>
      <c r="I1630" s="37"/>
      <c r="J1630" s="135">
        <f t="shared" si="122"/>
        <v>0.76382508261777382</v>
      </c>
      <c r="K1630" s="112"/>
      <c r="L1630" s="37">
        <v>35.808424024399997</v>
      </c>
      <c r="M1630" s="37" t="s">
        <v>288</v>
      </c>
      <c r="N1630" s="37">
        <v>3336.4019512195118</v>
      </c>
      <c r="O1630" s="130">
        <f t="shared" si="123"/>
        <v>119471.29578510379</v>
      </c>
      <c r="P1630" s="132">
        <f t="shared" si="124"/>
        <v>8282.5137150207647</v>
      </c>
      <c r="Q1630" s="261">
        <v>9.076212887002455E-2</v>
      </c>
      <c r="R1630" s="92"/>
    </row>
    <row r="1631" spans="1:18" x14ac:dyDescent="0.25">
      <c r="A1631" s="353">
        <v>41585</v>
      </c>
      <c r="B1631" s="353" t="s">
        <v>285</v>
      </c>
      <c r="C1631" s="263" t="s">
        <v>711</v>
      </c>
      <c r="D1631" s="157" t="s">
        <v>692</v>
      </c>
      <c r="E1631" s="44">
        <f t="shared" si="125"/>
        <v>41585</v>
      </c>
      <c r="F1631" s="146" t="str">
        <f t="shared" si="121"/>
        <v>2013-14</v>
      </c>
      <c r="G1631" s="1"/>
      <c r="H1631" s="161"/>
      <c r="I1631" s="37"/>
      <c r="J1631" s="135">
        <f t="shared" si="122"/>
        <v>0.76382508261777382</v>
      </c>
      <c r="K1631" s="112"/>
      <c r="L1631" s="37">
        <v>35.0409259308</v>
      </c>
      <c r="M1631" s="37" t="s">
        <v>288</v>
      </c>
      <c r="N1631" s="37">
        <v>3336.4019512195118</v>
      </c>
      <c r="O1631" s="130">
        <f t="shared" si="123"/>
        <v>116910.61364805952</v>
      </c>
      <c r="P1631" s="132">
        <f t="shared" si="124"/>
        <v>8104.9908650298603</v>
      </c>
      <c r="Q1631" s="261">
        <v>9.076212887002455E-2</v>
      </c>
      <c r="R1631" s="92"/>
    </row>
    <row r="1632" spans="1:18" x14ac:dyDescent="0.25">
      <c r="A1632" s="353">
        <v>42958</v>
      </c>
      <c r="B1632" s="353" t="s">
        <v>285</v>
      </c>
      <c r="C1632" s="263" t="s">
        <v>712</v>
      </c>
      <c r="D1632" s="157" t="s">
        <v>699</v>
      </c>
      <c r="E1632" s="44">
        <f t="shared" si="125"/>
        <v>42958</v>
      </c>
      <c r="F1632" s="146" t="str">
        <f t="shared" si="121"/>
        <v>2017-18</v>
      </c>
      <c r="G1632" s="1"/>
      <c r="H1632" s="161"/>
      <c r="I1632" s="37"/>
      <c r="J1632" s="135">
        <f t="shared" si="122"/>
        <v>0.76382508261777382</v>
      </c>
      <c r="K1632" s="112"/>
      <c r="L1632" s="37">
        <v>31.9237060042</v>
      </c>
      <c r="M1632" s="37" t="s">
        <v>288</v>
      </c>
      <c r="N1632" s="37">
        <v>3336.4019512195118</v>
      </c>
      <c r="O1632" s="130">
        <f t="shared" si="123"/>
        <v>106510.31500257092</v>
      </c>
      <c r="P1632" s="132">
        <f t="shared" si="124"/>
        <v>7605.9023075579271</v>
      </c>
      <c r="Q1632" s="261">
        <v>9.348999963651089E-2</v>
      </c>
      <c r="R1632" s="92"/>
    </row>
    <row r="1633" spans="1:18" x14ac:dyDescent="0.25">
      <c r="A1633" s="353">
        <v>42958</v>
      </c>
      <c r="B1633" s="353" t="s">
        <v>285</v>
      </c>
      <c r="C1633" s="263" t="s">
        <v>712</v>
      </c>
      <c r="D1633" s="157" t="s">
        <v>699</v>
      </c>
      <c r="E1633" s="44">
        <f t="shared" si="125"/>
        <v>42958</v>
      </c>
      <c r="F1633" s="146" t="str">
        <f t="shared" si="121"/>
        <v>2017-18</v>
      </c>
      <c r="G1633" s="1"/>
      <c r="H1633" s="161"/>
      <c r="I1633" s="37"/>
      <c r="J1633" s="135">
        <f t="shared" si="122"/>
        <v>0.76382508261777382</v>
      </c>
      <c r="K1633" s="112"/>
      <c r="L1633" s="37">
        <v>58.341134666400002</v>
      </c>
      <c r="M1633" s="37" t="s">
        <v>288</v>
      </c>
      <c r="N1633" s="37">
        <v>812.22926829268283</v>
      </c>
      <c r="O1633" s="130">
        <f t="shared" si="123"/>
        <v>47386.377121454949</v>
      </c>
      <c r="P1633" s="132">
        <f t="shared" si="124"/>
        <v>3383.8615075561906</v>
      </c>
      <c r="Q1633" s="261">
        <v>9.348999963651089E-2</v>
      </c>
      <c r="R1633" s="92"/>
    </row>
    <row r="1634" spans="1:18" x14ac:dyDescent="0.25">
      <c r="A1634" s="353">
        <v>42958</v>
      </c>
      <c r="B1634" s="353" t="s">
        <v>285</v>
      </c>
      <c r="C1634" s="263" t="s">
        <v>712</v>
      </c>
      <c r="D1634" s="157" t="s">
        <v>699</v>
      </c>
      <c r="E1634" s="44">
        <f t="shared" si="125"/>
        <v>42958</v>
      </c>
      <c r="F1634" s="146" t="str">
        <f t="shared" si="121"/>
        <v>2017-18</v>
      </c>
      <c r="G1634" s="1"/>
      <c r="H1634" s="161"/>
      <c r="I1634" s="37"/>
      <c r="J1634" s="135">
        <f t="shared" si="122"/>
        <v>0.76382508261777382</v>
      </c>
      <c r="K1634" s="112"/>
      <c r="L1634" s="37">
        <v>66.771474122900003</v>
      </c>
      <c r="M1634" s="37" t="s">
        <v>288</v>
      </c>
      <c r="N1634" s="37">
        <v>812.22926829268283</v>
      </c>
      <c r="O1634" s="130">
        <f t="shared" si="123"/>
        <v>54233.745569666877</v>
      </c>
      <c r="P1634" s="132">
        <f t="shared" si="124"/>
        <v>3872.8321342949939</v>
      </c>
      <c r="Q1634" s="261">
        <v>9.348999963651089E-2</v>
      </c>
      <c r="R1634" s="92"/>
    </row>
    <row r="1635" spans="1:18" x14ac:dyDescent="0.25">
      <c r="A1635" s="353">
        <v>42958</v>
      </c>
      <c r="B1635" s="353" t="s">
        <v>285</v>
      </c>
      <c r="C1635" s="263" t="s">
        <v>712</v>
      </c>
      <c r="D1635" s="157" t="s">
        <v>699</v>
      </c>
      <c r="E1635" s="44">
        <f t="shared" si="125"/>
        <v>42958</v>
      </c>
      <c r="F1635" s="146" t="str">
        <f t="shared" si="121"/>
        <v>2017-18</v>
      </c>
      <c r="G1635" s="1"/>
      <c r="H1635" s="161"/>
      <c r="I1635" s="37"/>
      <c r="J1635" s="135">
        <f t="shared" si="122"/>
        <v>0.76382508261777382</v>
      </c>
      <c r="K1635" s="112"/>
      <c r="L1635" s="37">
        <v>23.353928681700001</v>
      </c>
      <c r="M1635" s="37" t="s">
        <v>288</v>
      </c>
      <c r="N1635" s="37">
        <v>3336.4019512195118</v>
      </c>
      <c r="O1635" s="130">
        <f t="shared" si="123"/>
        <v>77918.093222265205</v>
      </c>
      <c r="P1635" s="132">
        <f t="shared" si="124"/>
        <v>5564.1315587643849</v>
      </c>
      <c r="Q1635" s="261">
        <v>9.348999963651089E-2</v>
      </c>
      <c r="R1635" s="92"/>
    </row>
    <row r="1636" spans="1:18" x14ac:dyDescent="0.25">
      <c r="A1636" s="353">
        <v>42958</v>
      </c>
      <c r="B1636" s="353" t="s">
        <v>285</v>
      </c>
      <c r="C1636" s="263" t="s">
        <v>712</v>
      </c>
      <c r="D1636" s="157" t="s">
        <v>699</v>
      </c>
      <c r="E1636" s="44">
        <f t="shared" si="125"/>
        <v>42958</v>
      </c>
      <c r="F1636" s="146" t="str">
        <f t="shared" si="121"/>
        <v>2017-18</v>
      </c>
      <c r="G1636" s="1"/>
      <c r="H1636" s="161"/>
      <c r="I1636" s="37"/>
      <c r="J1636" s="135">
        <f t="shared" si="122"/>
        <v>0.76382508261777382</v>
      </c>
      <c r="K1636" s="112"/>
      <c r="L1636" s="37">
        <v>23.368073242000001</v>
      </c>
      <c r="M1636" s="37" t="s">
        <v>288</v>
      </c>
      <c r="N1636" s="37">
        <v>3336.4019512195118</v>
      </c>
      <c r="O1636" s="130">
        <f t="shared" si="123"/>
        <v>77965.285160849264</v>
      </c>
      <c r="P1636" s="132">
        <f t="shared" si="124"/>
        <v>5567.5015354146835</v>
      </c>
      <c r="Q1636" s="261">
        <v>9.348999963651089E-2</v>
      </c>
      <c r="R1636" s="92"/>
    </row>
    <row r="1637" spans="1:18" x14ac:dyDescent="0.25">
      <c r="A1637" s="353">
        <v>42958</v>
      </c>
      <c r="B1637" s="353" t="s">
        <v>285</v>
      </c>
      <c r="C1637" s="263" t="s">
        <v>712</v>
      </c>
      <c r="D1637" s="157" t="s">
        <v>699</v>
      </c>
      <c r="E1637" s="44">
        <f t="shared" si="125"/>
        <v>42958</v>
      </c>
      <c r="F1637" s="146" t="str">
        <f t="shared" si="121"/>
        <v>2017-18</v>
      </c>
      <c r="G1637" s="1"/>
      <c r="H1637" s="161"/>
      <c r="I1637" s="37"/>
      <c r="J1637" s="135">
        <f t="shared" si="122"/>
        <v>0.76382508261777382</v>
      </c>
      <c r="K1637" s="112"/>
      <c r="L1637" s="37">
        <v>2.1985563583499999</v>
      </c>
      <c r="M1637" s="37" t="s">
        <v>288</v>
      </c>
      <c r="N1637" s="37">
        <v>812.22926829268283</v>
      </c>
      <c r="O1637" s="130">
        <f t="shared" si="123"/>
        <v>1785.7318222428457</v>
      </c>
      <c r="P1637" s="132">
        <f t="shared" si="124"/>
        <v>127.51912138414613</v>
      </c>
      <c r="Q1637" s="261">
        <v>9.348999963651089E-2</v>
      </c>
      <c r="R1637" s="92"/>
    </row>
    <row r="1638" spans="1:18" x14ac:dyDescent="0.25">
      <c r="A1638" s="353">
        <v>42958</v>
      </c>
      <c r="B1638" s="353" t="s">
        <v>285</v>
      </c>
      <c r="C1638" s="263" t="s">
        <v>712</v>
      </c>
      <c r="D1638" s="157" t="s">
        <v>699</v>
      </c>
      <c r="E1638" s="44">
        <f t="shared" si="125"/>
        <v>42958</v>
      </c>
      <c r="F1638" s="146" t="str">
        <f t="shared" si="121"/>
        <v>2017-18</v>
      </c>
      <c r="G1638" s="1"/>
      <c r="H1638" s="161"/>
      <c r="I1638" s="37"/>
      <c r="J1638" s="135">
        <f t="shared" si="122"/>
        <v>0.76382508261777382</v>
      </c>
      <c r="K1638" s="112"/>
      <c r="L1638" s="37">
        <v>22.416109271900002</v>
      </c>
      <c r="M1638" s="37" t="s">
        <v>288</v>
      </c>
      <c r="N1638" s="37">
        <v>3336.4019512195118</v>
      </c>
      <c r="O1638" s="130">
        <f t="shared" si="123"/>
        <v>74789.150713516952</v>
      </c>
      <c r="P1638" s="132">
        <f t="shared" si="124"/>
        <v>5340.6937532623551</v>
      </c>
      <c r="Q1638" s="261">
        <v>9.348999963651089E-2</v>
      </c>
      <c r="R1638" s="92"/>
    </row>
    <row r="1639" spans="1:18" x14ac:dyDescent="0.25">
      <c r="A1639" s="353">
        <v>42958</v>
      </c>
      <c r="B1639" s="353" t="s">
        <v>285</v>
      </c>
      <c r="C1639" s="263" t="s">
        <v>712</v>
      </c>
      <c r="D1639" s="157" t="s">
        <v>699</v>
      </c>
      <c r="E1639" s="44">
        <f t="shared" si="125"/>
        <v>42958</v>
      </c>
      <c r="F1639" s="146" t="str">
        <f t="shared" si="121"/>
        <v>2017-18</v>
      </c>
      <c r="G1639" s="1"/>
      <c r="H1639" s="161"/>
      <c r="I1639" s="37"/>
      <c r="J1639" s="135">
        <f t="shared" si="122"/>
        <v>0.76382508261777382</v>
      </c>
      <c r="K1639" s="112"/>
      <c r="L1639" s="37">
        <v>11.908713215900001</v>
      </c>
      <c r="M1639" s="37" t="s">
        <v>288</v>
      </c>
      <c r="N1639" s="37">
        <v>812.22926829268283</v>
      </c>
      <c r="O1639" s="130">
        <f t="shared" si="123"/>
        <v>9672.6054216578596</v>
      </c>
      <c r="P1639" s="132">
        <f t="shared" si="124"/>
        <v>690.72081793119332</v>
      </c>
      <c r="Q1639" s="261">
        <v>9.348999963651089E-2</v>
      </c>
      <c r="R1639" s="92"/>
    </row>
    <row r="1640" spans="1:18" x14ac:dyDescent="0.25">
      <c r="A1640" s="353">
        <v>42958</v>
      </c>
      <c r="B1640" s="353" t="s">
        <v>285</v>
      </c>
      <c r="C1640" s="263" t="s">
        <v>712</v>
      </c>
      <c r="D1640" s="157" t="s">
        <v>699</v>
      </c>
      <c r="E1640" s="44">
        <f t="shared" si="125"/>
        <v>42958</v>
      </c>
      <c r="F1640" s="146" t="str">
        <f t="shared" si="121"/>
        <v>2017-18</v>
      </c>
      <c r="G1640" s="1"/>
      <c r="H1640" s="161"/>
      <c r="I1640" s="37"/>
      <c r="J1640" s="135">
        <f t="shared" si="122"/>
        <v>0.76382508261777382</v>
      </c>
      <c r="K1640" s="112"/>
      <c r="L1640" s="37">
        <v>40.582173036699999</v>
      </c>
      <c r="M1640" s="37" t="s">
        <v>288</v>
      </c>
      <c r="N1640" s="37">
        <v>3336.4019512195118</v>
      </c>
      <c r="O1640" s="130">
        <f t="shared" si="123"/>
        <v>135398.44130437373</v>
      </c>
      <c r="P1640" s="132">
        <f t="shared" si="124"/>
        <v>9668.8036002130411</v>
      </c>
      <c r="Q1640" s="261">
        <v>9.348999963651089E-2</v>
      </c>
      <c r="R1640" s="92"/>
    </row>
    <row r="1641" spans="1:18" x14ac:dyDescent="0.25">
      <c r="A1641" s="353">
        <v>42958</v>
      </c>
      <c r="B1641" s="353" t="s">
        <v>285</v>
      </c>
      <c r="C1641" s="263" t="s">
        <v>712</v>
      </c>
      <c r="D1641" s="157" t="s">
        <v>699</v>
      </c>
      <c r="E1641" s="44">
        <f t="shared" si="125"/>
        <v>42958</v>
      </c>
      <c r="F1641" s="146" t="str">
        <f t="shared" si="121"/>
        <v>2017-18</v>
      </c>
      <c r="G1641" s="1"/>
      <c r="H1641" s="161"/>
      <c r="I1641" s="37"/>
      <c r="J1641" s="135">
        <f t="shared" si="122"/>
        <v>0.76382508261777382</v>
      </c>
      <c r="K1641" s="112"/>
      <c r="L1641" s="37">
        <v>51.466820651600003</v>
      </c>
      <c r="M1641" s="37" t="s">
        <v>288</v>
      </c>
      <c r="N1641" s="37">
        <v>812.22926829268283</v>
      </c>
      <c r="O1641" s="130">
        <f t="shared" si="123"/>
        <v>41802.85807919981</v>
      </c>
      <c r="P1641" s="132">
        <f t="shared" si="124"/>
        <v>2985.1423753598688</v>
      </c>
      <c r="Q1641" s="261">
        <v>9.348999963651089E-2</v>
      </c>
      <c r="R1641" s="92"/>
    </row>
    <row r="1642" spans="1:18" x14ac:dyDescent="0.25">
      <c r="A1642" s="353">
        <v>42958</v>
      </c>
      <c r="B1642" s="353" t="s">
        <v>285</v>
      </c>
      <c r="C1642" s="263" t="s">
        <v>712</v>
      </c>
      <c r="D1642" s="157" t="s">
        <v>699</v>
      </c>
      <c r="E1642" s="44">
        <f t="shared" si="125"/>
        <v>42958</v>
      </c>
      <c r="F1642" s="146" t="str">
        <f t="shared" si="121"/>
        <v>2017-18</v>
      </c>
      <c r="G1642" s="1"/>
      <c r="H1642" s="161"/>
      <c r="I1642" s="37"/>
      <c r="J1642" s="135">
        <f t="shared" si="122"/>
        <v>0.76382508261777382</v>
      </c>
      <c r="K1642" s="112"/>
      <c r="L1642" s="37">
        <v>32.322672322899997</v>
      </c>
      <c r="M1642" s="37" t="s">
        <v>288</v>
      </c>
      <c r="N1642" s="37">
        <v>3336.4019512195118</v>
      </c>
      <c r="O1642" s="130">
        <f t="shared" si="123"/>
        <v>107841.42700675246</v>
      </c>
      <c r="P1642" s="132">
        <f t="shared" si="124"/>
        <v>7700.9570246900475</v>
      </c>
      <c r="Q1642" s="261">
        <v>9.348999963651089E-2</v>
      </c>
      <c r="R1642" s="92"/>
    </row>
    <row r="1643" spans="1:18" x14ac:dyDescent="0.25">
      <c r="A1643" s="353">
        <v>42958</v>
      </c>
      <c r="B1643" s="353" t="s">
        <v>285</v>
      </c>
      <c r="C1643" s="263" t="s">
        <v>712</v>
      </c>
      <c r="D1643" s="157" t="s">
        <v>699</v>
      </c>
      <c r="E1643" s="44">
        <f t="shared" si="125"/>
        <v>42958</v>
      </c>
      <c r="F1643" s="146" t="str">
        <f t="shared" si="121"/>
        <v>2017-18</v>
      </c>
      <c r="G1643" s="1"/>
      <c r="H1643" s="161"/>
      <c r="I1643" s="37"/>
      <c r="J1643" s="135">
        <f t="shared" si="122"/>
        <v>0.76382508261777382</v>
      </c>
      <c r="K1643" s="112"/>
      <c r="L1643" s="37">
        <v>40.5436048364</v>
      </c>
      <c r="M1643" s="37" t="s">
        <v>288</v>
      </c>
      <c r="N1643" s="37">
        <v>3336.4019512195118</v>
      </c>
      <c r="O1643" s="130">
        <f t="shared" si="123"/>
        <v>135269.76228563779</v>
      </c>
      <c r="P1643" s="132">
        <f t="shared" si="124"/>
        <v>9659.6146306234332</v>
      </c>
      <c r="Q1643" s="261">
        <v>9.348999963651089E-2</v>
      </c>
      <c r="R1643" s="92"/>
    </row>
    <row r="1644" spans="1:18" x14ac:dyDescent="0.25">
      <c r="A1644" s="353">
        <v>42958</v>
      </c>
      <c r="B1644" s="353" t="s">
        <v>285</v>
      </c>
      <c r="C1644" s="263" t="s">
        <v>712</v>
      </c>
      <c r="D1644" s="157" t="s">
        <v>699</v>
      </c>
      <c r="E1644" s="44">
        <f t="shared" si="125"/>
        <v>42958</v>
      </c>
      <c r="F1644" s="146" t="str">
        <f t="shared" si="121"/>
        <v>2017-18</v>
      </c>
      <c r="G1644" s="1"/>
      <c r="H1644" s="161"/>
      <c r="I1644" s="37"/>
      <c r="J1644" s="135">
        <f t="shared" si="122"/>
        <v>0.76382508261777382</v>
      </c>
      <c r="K1644" s="112"/>
      <c r="L1644" s="37">
        <v>28.4846848195</v>
      </c>
      <c r="M1644" s="37" t="s">
        <v>288</v>
      </c>
      <c r="N1644" s="37">
        <v>3336.4019512195118</v>
      </c>
      <c r="O1644" s="130">
        <f t="shared" si="123"/>
        <v>95036.358011652614</v>
      </c>
      <c r="P1644" s="132">
        <f t="shared" si="124"/>
        <v>6786.5469620034664</v>
      </c>
      <c r="Q1644" s="261">
        <v>9.348999963651089E-2</v>
      </c>
      <c r="R1644" s="92"/>
    </row>
    <row r="1645" spans="1:18" x14ac:dyDescent="0.25">
      <c r="A1645" s="353">
        <v>42958</v>
      </c>
      <c r="B1645" s="353" t="s">
        <v>285</v>
      </c>
      <c r="C1645" s="263" t="s">
        <v>712</v>
      </c>
      <c r="D1645" s="157" t="s">
        <v>699</v>
      </c>
      <c r="E1645" s="44">
        <f t="shared" si="125"/>
        <v>42958</v>
      </c>
      <c r="F1645" s="146" t="str">
        <f t="shared" si="121"/>
        <v>2017-18</v>
      </c>
      <c r="G1645" s="1"/>
      <c r="H1645" s="161"/>
      <c r="I1645" s="37"/>
      <c r="J1645" s="135">
        <f t="shared" si="122"/>
        <v>0.76382508261777382</v>
      </c>
      <c r="K1645" s="112"/>
      <c r="L1645" s="37">
        <v>27.6003977773</v>
      </c>
      <c r="M1645" s="37" t="s">
        <v>288</v>
      </c>
      <c r="N1645" s="37">
        <v>3336.4019512195118</v>
      </c>
      <c r="O1645" s="130">
        <f t="shared" si="123"/>
        <v>92086.020998618391</v>
      </c>
      <c r="P1645" s="132">
        <f t="shared" si="124"/>
        <v>6575.8633761463698</v>
      </c>
      <c r="Q1645" s="261">
        <v>9.348999963651089E-2</v>
      </c>
      <c r="R1645" s="92"/>
    </row>
    <row r="1646" spans="1:18" x14ac:dyDescent="0.25">
      <c r="A1646" s="353">
        <v>42958</v>
      </c>
      <c r="B1646" s="353" t="s">
        <v>285</v>
      </c>
      <c r="C1646" s="263" t="s">
        <v>712</v>
      </c>
      <c r="D1646" s="157" t="s">
        <v>699</v>
      </c>
      <c r="E1646" s="44">
        <f t="shared" si="125"/>
        <v>42958</v>
      </c>
      <c r="F1646" s="146" t="str">
        <f t="shared" si="121"/>
        <v>2017-18</v>
      </c>
      <c r="G1646" s="1"/>
      <c r="H1646" s="161"/>
      <c r="I1646" s="37"/>
      <c r="J1646" s="135">
        <f t="shared" si="122"/>
        <v>0.76382508261777382</v>
      </c>
      <c r="K1646" s="112"/>
      <c r="L1646" s="37">
        <v>33.4663922927</v>
      </c>
      <c r="M1646" s="37" t="s">
        <v>288</v>
      </c>
      <c r="N1646" s="37">
        <v>3336.4019512195118</v>
      </c>
      <c r="O1646" s="130">
        <f t="shared" si="123"/>
        <v>111657.33654564191</v>
      </c>
      <c r="P1646" s="132">
        <f t="shared" si="124"/>
        <v>7973.4511504145948</v>
      </c>
      <c r="Q1646" s="261">
        <v>9.348999963651089E-2</v>
      </c>
      <c r="R1646" s="92"/>
    </row>
    <row r="1647" spans="1:18" x14ac:dyDescent="0.25">
      <c r="A1647" s="353">
        <v>42958</v>
      </c>
      <c r="B1647" s="353" t="s">
        <v>285</v>
      </c>
      <c r="C1647" s="263" t="s">
        <v>712</v>
      </c>
      <c r="D1647" s="157" t="s">
        <v>699</v>
      </c>
      <c r="E1647" s="44">
        <f t="shared" si="125"/>
        <v>42958</v>
      </c>
      <c r="F1647" s="146" t="str">
        <f t="shared" si="121"/>
        <v>2017-18</v>
      </c>
      <c r="G1647" s="1"/>
      <c r="H1647" s="161"/>
      <c r="I1647" s="37"/>
      <c r="J1647" s="135">
        <f t="shared" si="122"/>
        <v>0.76382508261777382</v>
      </c>
      <c r="K1647" s="112"/>
      <c r="L1647" s="37">
        <v>40.223966687999997</v>
      </c>
      <c r="M1647" s="37" t="s">
        <v>288</v>
      </c>
      <c r="N1647" s="37">
        <v>3336.4019512195118</v>
      </c>
      <c r="O1647" s="130">
        <f t="shared" si="123"/>
        <v>134203.32094363184</v>
      </c>
      <c r="P1647" s="132">
        <f t="shared" si="124"/>
        <v>9583.4600472495858</v>
      </c>
      <c r="Q1647" s="261">
        <v>9.348999963651089E-2</v>
      </c>
      <c r="R1647" s="92"/>
    </row>
    <row r="1648" spans="1:18" x14ac:dyDescent="0.25">
      <c r="A1648" s="353">
        <v>42958</v>
      </c>
      <c r="B1648" s="353" t="s">
        <v>285</v>
      </c>
      <c r="C1648" s="263" t="s">
        <v>712</v>
      </c>
      <c r="D1648" s="157" t="s">
        <v>699</v>
      </c>
      <c r="E1648" s="44">
        <f t="shared" si="125"/>
        <v>42958</v>
      </c>
      <c r="F1648" s="146" t="str">
        <f t="shared" si="121"/>
        <v>2017-18</v>
      </c>
      <c r="G1648" s="1"/>
      <c r="H1648" s="161"/>
      <c r="I1648" s="37"/>
      <c r="J1648" s="135">
        <f t="shared" si="122"/>
        <v>0.76382508261777382</v>
      </c>
      <c r="K1648" s="112"/>
      <c r="L1648" s="37">
        <v>32.269805321299998</v>
      </c>
      <c r="M1648" s="37" t="s">
        <v>288</v>
      </c>
      <c r="N1648" s="37">
        <v>3336.4019512195118</v>
      </c>
      <c r="O1648" s="130">
        <f t="shared" si="123"/>
        <v>107665.04143945911</v>
      </c>
      <c r="P1648" s="132">
        <f t="shared" si="124"/>
        <v>7688.3613301485002</v>
      </c>
      <c r="Q1648" s="261">
        <v>9.348999963651089E-2</v>
      </c>
      <c r="R1648" s="92"/>
    </row>
    <row r="1649" spans="1:18" x14ac:dyDescent="0.25">
      <c r="A1649" s="353">
        <v>42958</v>
      </c>
      <c r="B1649" s="353" t="s">
        <v>285</v>
      </c>
      <c r="C1649" s="263" t="s">
        <v>712</v>
      </c>
      <c r="D1649" s="157" t="s">
        <v>699</v>
      </c>
      <c r="E1649" s="44">
        <f t="shared" si="125"/>
        <v>42958</v>
      </c>
      <c r="F1649" s="146" t="str">
        <f t="shared" si="121"/>
        <v>2017-18</v>
      </c>
      <c r="G1649" s="1"/>
      <c r="H1649" s="161"/>
      <c r="I1649" s="37"/>
      <c r="J1649" s="135">
        <f t="shared" si="122"/>
        <v>0.76382508261777382</v>
      </c>
      <c r="K1649" s="112"/>
      <c r="L1649" s="37">
        <v>12.4011825803</v>
      </c>
      <c r="M1649" s="37" t="s">
        <v>288</v>
      </c>
      <c r="N1649" s="37">
        <v>812.22926829268283</v>
      </c>
      <c r="O1649" s="130">
        <f t="shared" si="123"/>
        <v>10072.603453161033</v>
      </c>
      <c r="P1649" s="132">
        <f t="shared" si="124"/>
        <v>719.28468003933915</v>
      </c>
      <c r="Q1649" s="261">
        <v>9.348999963651089E-2</v>
      </c>
      <c r="R1649" s="92"/>
    </row>
    <row r="1650" spans="1:18" x14ac:dyDescent="0.25">
      <c r="A1650" s="353">
        <v>42958</v>
      </c>
      <c r="B1650" s="353" t="s">
        <v>285</v>
      </c>
      <c r="C1650" s="263" t="s">
        <v>712</v>
      </c>
      <c r="D1650" s="157" t="s">
        <v>699</v>
      </c>
      <c r="E1650" s="44">
        <f t="shared" si="125"/>
        <v>42958</v>
      </c>
      <c r="F1650" s="146" t="str">
        <f t="shared" si="121"/>
        <v>2017-18</v>
      </c>
      <c r="G1650" s="1"/>
      <c r="H1650" s="161"/>
      <c r="I1650" s="37"/>
      <c r="J1650" s="135">
        <f t="shared" si="122"/>
        <v>0.76382508261777382</v>
      </c>
      <c r="K1650" s="112"/>
      <c r="L1650" s="37">
        <v>19.980591026999999</v>
      </c>
      <c r="M1650" s="37" t="s">
        <v>288</v>
      </c>
      <c r="N1650" s="37">
        <v>3336.4019512195118</v>
      </c>
      <c r="O1650" s="130">
        <f t="shared" si="123"/>
        <v>66663.282889001872</v>
      </c>
      <c r="P1650" s="132">
        <f t="shared" si="124"/>
        <v>4760.4254775005365</v>
      </c>
      <c r="Q1650" s="261">
        <v>9.348999963651089E-2</v>
      </c>
      <c r="R1650" s="92"/>
    </row>
    <row r="1651" spans="1:18" x14ac:dyDescent="0.25">
      <c r="A1651" s="353">
        <v>42958</v>
      </c>
      <c r="B1651" s="353" t="s">
        <v>285</v>
      </c>
      <c r="C1651" s="263" t="s">
        <v>712</v>
      </c>
      <c r="D1651" s="157" t="s">
        <v>699</v>
      </c>
      <c r="E1651" s="44">
        <f t="shared" si="125"/>
        <v>42958</v>
      </c>
      <c r="F1651" s="146" t="str">
        <f t="shared" si="121"/>
        <v>2017-18</v>
      </c>
      <c r="G1651" s="1"/>
      <c r="H1651" s="161"/>
      <c r="I1651" s="37"/>
      <c r="J1651" s="135">
        <f t="shared" si="122"/>
        <v>0.76382508261777382</v>
      </c>
      <c r="K1651" s="112"/>
      <c r="L1651" s="37">
        <v>46.078333515499999</v>
      </c>
      <c r="M1651" s="37" t="s">
        <v>288</v>
      </c>
      <c r="N1651" s="37">
        <v>3336.4019512195118</v>
      </c>
      <c r="O1651" s="130">
        <f t="shared" si="123"/>
        <v>153735.84185005762</v>
      </c>
      <c r="P1651" s="132">
        <f t="shared" si="124"/>
        <v>10978.277495972945</v>
      </c>
      <c r="Q1651" s="261">
        <v>9.348999963651089E-2</v>
      </c>
      <c r="R1651" s="92"/>
    </row>
    <row r="1652" spans="1:18" x14ac:dyDescent="0.25">
      <c r="A1652" s="353">
        <v>42958</v>
      </c>
      <c r="B1652" s="353" t="s">
        <v>285</v>
      </c>
      <c r="C1652" s="263" t="s">
        <v>712</v>
      </c>
      <c r="D1652" s="157" t="s">
        <v>699</v>
      </c>
      <c r="E1652" s="44">
        <f t="shared" si="125"/>
        <v>42958</v>
      </c>
      <c r="F1652" s="146" t="str">
        <f t="shared" si="121"/>
        <v>2017-18</v>
      </c>
      <c r="G1652" s="1"/>
      <c r="H1652" s="161"/>
      <c r="I1652" s="37"/>
      <c r="J1652" s="135">
        <f t="shared" si="122"/>
        <v>0.76382508261777382</v>
      </c>
      <c r="K1652" s="112"/>
      <c r="L1652" s="37">
        <v>27.764921214600001</v>
      </c>
      <c r="M1652" s="37" t="s">
        <v>288</v>
      </c>
      <c r="N1652" s="37">
        <v>812.22926829268283</v>
      </c>
      <c r="O1652" s="130">
        <f t="shared" si="123"/>
        <v>22551.481642338545</v>
      </c>
      <c r="P1652" s="132">
        <f t="shared" si="124"/>
        <v>1610.4014550907373</v>
      </c>
      <c r="Q1652" s="261">
        <v>9.348999963651089E-2</v>
      </c>
      <c r="R1652" s="92"/>
    </row>
    <row r="1653" spans="1:18" x14ac:dyDescent="0.25">
      <c r="A1653" s="353">
        <v>42958</v>
      </c>
      <c r="B1653" s="353" t="s">
        <v>285</v>
      </c>
      <c r="C1653" s="263" t="s">
        <v>712</v>
      </c>
      <c r="D1653" s="157" t="s">
        <v>699</v>
      </c>
      <c r="E1653" s="44">
        <f t="shared" si="125"/>
        <v>42958</v>
      </c>
      <c r="F1653" s="146" t="str">
        <f t="shared" si="121"/>
        <v>2017-18</v>
      </c>
      <c r="G1653" s="1"/>
      <c r="H1653" s="161"/>
      <c r="I1653" s="37"/>
      <c r="J1653" s="135">
        <f t="shared" si="122"/>
        <v>0.76382508261777382</v>
      </c>
      <c r="K1653" s="112"/>
      <c r="L1653" s="37">
        <v>40.001644929599998</v>
      </c>
      <c r="M1653" s="37" t="s">
        <v>288</v>
      </c>
      <c r="N1653" s="37">
        <v>3336.4019512195118</v>
      </c>
      <c r="O1653" s="130">
        <f t="shared" si="123"/>
        <v>133461.56619510753</v>
      </c>
      <c r="P1653" s="132">
        <f t="shared" si="124"/>
        <v>9530.4913356904581</v>
      </c>
      <c r="Q1653" s="261">
        <v>9.348999963651089E-2</v>
      </c>
      <c r="R1653" s="92"/>
    </row>
    <row r="1654" spans="1:18" x14ac:dyDescent="0.25">
      <c r="A1654" s="353">
        <v>42958</v>
      </c>
      <c r="B1654" s="353" t="s">
        <v>285</v>
      </c>
      <c r="C1654" s="263" t="s">
        <v>712</v>
      </c>
      <c r="D1654" s="157" t="s">
        <v>699</v>
      </c>
      <c r="E1654" s="44">
        <f t="shared" si="125"/>
        <v>42958</v>
      </c>
      <c r="F1654" s="146" t="str">
        <f t="shared" si="121"/>
        <v>2017-18</v>
      </c>
      <c r="G1654" s="1"/>
      <c r="H1654" s="161"/>
      <c r="I1654" s="37"/>
      <c r="J1654" s="135">
        <f t="shared" si="122"/>
        <v>0.76382508261777382</v>
      </c>
      <c r="K1654" s="112"/>
      <c r="L1654" s="37">
        <v>47.7302760898</v>
      </c>
      <c r="M1654" s="37" t="s">
        <v>288</v>
      </c>
      <c r="N1654" s="37">
        <v>3336.4019512195118</v>
      </c>
      <c r="O1654" s="130">
        <f t="shared" si="123"/>
        <v>159247.38627825474</v>
      </c>
      <c r="P1654" s="132">
        <f t="shared" si="124"/>
        <v>11371.856920497419</v>
      </c>
      <c r="Q1654" s="261">
        <v>9.348999963651089E-2</v>
      </c>
      <c r="R1654" s="92"/>
    </row>
    <row r="1655" spans="1:18" x14ac:dyDescent="0.25">
      <c r="A1655" s="353">
        <v>42958</v>
      </c>
      <c r="B1655" s="353" t="s">
        <v>285</v>
      </c>
      <c r="C1655" s="263" t="s">
        <v>712</v>
      </c>
      <c r="D1655" s="157" t="s">
        <v>699</v>
      </c>
      <c r="E1655" s="44">
        <f t="shared" si="125"/>
        <v>42958</v>
      </c>
      <c r="F1655" s="146" t="str">
        <f t="shared" si="121"/>
        <v>2017-18</v>
      </c>
      <c r="G1655" s="1"/>
      <c r="H1655" s="161"/>
      <c r="I1655" s="37"/>
      <c r="J1655" s="135">
        <f t="shared" si="122"/>
        <v>0.76382508261777382</v>
      </c>
      <c r="K1655" s="112"/>
      <c r="L1655" s="37">
        <v>4.2030171050499998</v>
      </c>
      <c r="M1655" s="37" t="s">
        <v>288</v>
      </c>
      <c r="N1655" s="37">
        <v>812.22926829268283</v>
      </c>
      <c r="O1655" s="130">
        <f t="shared" si="123"/>
        <v>3413.8135078563914</v>
      </c>
      <c r="P1655" s="132">
        <f t="shared" si="124"/>
        <v>243.78044545592238</v>
      </c>
      <c r="Q1655" s="261">
        <v>9.348999963651089E-2</v>
      </c>
      <c r="R1655" s="92"/>
    </row>
    <row r="1656" spans="1:18" x14ac:dyDescent="0.25">
      <c r="A1656" s="353">
        <v>42958</v>
      </c>
      <c r="B1656" s="353" t="s">
        <v>285</v>
      </c>
      <c r="C1656" s="263" t="s">
        <v>712</v>
      </c>
      <c r="D1656" s="157" t="s">
        <v>699</v>
      </c>
      <c r="E1656" s="44">
        <f t="shared" si="125"/>
        <v>42958</v>
      </c>
      <c r="F1656" s="146" t="str">
        <f t="shared" si="121"/>
        <v>2017-18</v>
      </c>
      <c r="G1656" s="1"/>
      <c r="H1656" s="161"/>
      <c r="I1656" s="37"/>
      <c r="J1656" s="135">
        <f t="shared" si="122"/>
        <v>0.76382508261777382</v>
      </c>
      <c r="K1656" s="112"/>
      <c r="L1656" s="37">
        <v>91.224754679900002</v>
      </c>
      <c r="M1656" s="37" t="s">
        <v>288</v>
      </c>
      <c r="N1656" s="37">
        <v>3336.4019512195118</v>
      </c>
      <c r="O1656" s="130">
        <f t="shared" si="123"/>
        <v>304362.44951353967</v>
      </c>
      <c r="P1656" s="132">
        <f t="shared" si="124"/>
        <v>21734.524557862183</v>
      </c>
      <c r="Q1656" s="261">
        <v>9.348999963651089E-2</v>
      </c>
      <c r="R1656" s="92"/>
    </row>
    <row r="1657" spans="1:18" x14ac:dyDescent="0.25">
      <c r="A1657" s="353">
        <v>42958</v>
      </c>
      <c r="B1657" s="353" t="s">
        <v>285</v>
      </c>
      <c r="C1657" s="263" t="s">
        <v>712</v>
      </c>
      <c r="D1657" s="157" t="s">
        <v>699</v>
      </c>
      <c r="E1657" s="44">
        <f t="shared" si="125"/>
        <v>42958</v>
      </c>
      <c r="F1657" s="146" t="str">
        <f t="shared" si="121"/>
        <v>2017-18</v>
      </c>
      <c r="G1657" s="1"/>
      <c r="H1657" s="161"/>
      <c r="I1657" s="37"/>
      <c r="J1657" s="135">
        <f t="shared" si="122"/>
        <v>0.76382508261777382</v>
      </c>
      <c r="K1657" s="112"/>
      <c r="L1657" s="37">
        <v>39.455616477100001</v>
      </c>
      <c r="M1657" s="37" t="s">
        <v>288</v>
      </c>
      <c r="N1657" s="37">
        <v>3336.4019512195118</v>
      </c>
      <c r="O1657" s="130">
        <f t="shared" si="123"/>
        <v>131639.79580076516</v>
      </c>
      <c r="P1657" s="132">
        <f t="shared" si="124"/>
        <v>9400.3986996313597</v>
      </c>
      <c r="Q1657" s="261">
        <v>9.348999963651089E-2</v>
      </c>
      <c r="R1657" s="92"/>
    </row>
    <row r="1658" spans="1:18" x14ac:dyDescent="0.25">
      <c r="A1658" s="353">
        <v>42958</v>
      </c>
      <c r="B1658" s="353" t="s">
        <v>285</v>
      </c>
      <c r="C1658" s="263" t="s">
        <v>712</v>
      </c>
      <c r="D1658" s="157" t="s">
        <v>699</v>
      </c>
      <c r="E1658" s="44">
        <f t="shared" si="125"/>
        <v>42958</v>
      </c>
      <c r="F1658" s="146" t="str">
        <f t="shared" si="121"/>
        <v>2017-18</v>
      </c>
      <c r="G1658" s="1"/>
      <c r="H1658" s="161"/>
      <c r="I1658" s="37"/>
      <c r="J1658" s="135">
        <f t="shared" si="122"/>
        <v>0.76382508261777382</v>
      </c>
      <c r="K1658" s="112"/>
      <c r="L1658" s="37">
        <v>70.409091022300004</v>
      </c>
      <c r="M1658" s="37" t="s">
        <v>288</v>
      </c>
      <c r="N1658" s="37">
        <v>812.22926829268283</v>
      </c>
      <c r="O1658" s="130">
        <f t="shared" si="123"/>
        <v>57188.324482195632</v>
      </c>
      <c r="P1658" s="132">
        <f t="shared" si="124"/>
        <v>4083.8186342233998</v>
      </c>
      <c r="Q1658" s="261">
        <v>9.348999963651089E-2</v>
      </c>
      <c r="R1658" s="92"/>
    </row>
    <row r="1659" spans="1:18" x14ac:dyDescent="0.25">
      <c r="A1659" s="353">
        <v>42958</v>
      </c>
      <c r="B1659" s="353" t="s">
        <v>285</v>
      </c>
      <c r="C1659" s="263" t="s">
        <v>712</v>
      </c>
      <c r="D1659" s="157" t="s">
        <v>699</v>
      </c>
      <c r="E1659" s="44">
        <f t="shared" si="125"/>
        <v>42958</v>
      </c>
      <c r="F1659" s="146" t="str">
        <f t="shared" ref="F1659:F1722" si="126">IF(E1659="","-",IF(OR(E1659&lt;$E$15,E1659&gt;$E$16),"ERROR - date outside of range",IF(MONTH(E1659)&gt;=7,YEAR(E1659)&amp;"-"&amp;IF(YEAR(E1659)=1999,"00",IF(AND(YEAR(E1659)&gt;=2000,YEAR(E1659)&lt;2009),"0","")&amp;RIGHT(YEAR(E1659),2)+1),RIGHT(YEAR(E1659),4)-1&amp;"-"&amp;RIGHT(YEAR(E1659),2))))</f>
        <v>2017-18</v>
      </c>
      <c r="G1659" s="1"/>
      <c r="H1659" s="161"/>
      <c r="I1659" s="37"/>
      <c r="J1659" s="135">
        <f t="shared" si="122"/>
        <v>0.76382508261777382</v>
      </c>
      <c r="K1659" s="112"/>
      <c r="L1659" s="37">
        <v>28.965672546699999</v>
      </c>
      <c r="M1659" s="37" t="s">
        <v>288</v>
      </c>
      <c r="N1659" s="37">
        <v>3336.4019512195118</v>
      </c>
      <c r="O1659" s="130">
        <f t="shared" si="123"/>
        <v>96641.126403195318</v>
      </c>
      <c r="P1659" s="132">
        <f t="shared" si="124"/>
        <v>6901.1434835895316</v>
      </c>
      <c r="Q1659" s="261">
        <v>9.348999963651089E-2</v>
      </c>
      <c r="R1659" s="92"/>
    </row>
    <row r="1660" spans="1:18" x14ac:dyDescent="0.25">
      <c r="A1660" s="353">
        <v>42958</v>
      </c>
      <c r="B1660" s="353" t="s">
        <v>285</v>
      </c>
      <c r="C1660" s="263" t="s">
        <v>712</v>
      </c>
      <c r="D1660" s="157" t="s">
        <v>699</v>
      </c>
      <c r="E1660" s="44">
        <f t="shared" si="125"/>
        <v>42958</v>
      </c>
      <c r="F1660" s="146" t="str">
        <f t="shared" si="126"/>
        <v>2017-18</v>
      </c>
      <c r="G1660" s="1"/>
      <c r="H1660" s="161"/>
      <c r="I1660" s="37"/>
      <c r="J1660" s="135">
        <f t="shared" si="122"/>
        <v>0.76382508261777382</v>
      </c>
      <c r="K1660" s="112"/>
      <c r="L1660" s="37">
        <v>33.277301167600001</v>
      </c>
      <c r="M1660" s="37" t="s">
        <v>288</v>
      </c>
      <c r="N1660" s="37">
        <v>3336.4019512195118</v>
      </c>
      <c r="O1660" s="130">
        <f t="shared" si="123"/>
        <v>111026.45254689998</v>
      </c>
      <c r="P1660" s="132">
        <f t="shared" si="124"/>
        <v>7928.3997198398483</v>
      </c>
      <c r="Q1660" s="261">
        <v>9.348999963651089E-2</v>
      </c>
      <c r="R1660" s="92"/>
    </row>
    <row r="1661" spans="1:18" x14ac:dyDescent="0.25">
      <c r="A1661" s="353">
        <v>42958</v>
      </c>
      <c r="B1661" s="353" t="s">
        <v>285</v>
      </c>
      <c r="C1661" s="263" t="s">
        <v>712</v>
      </c>
      <c r="D1661" s="157" t="s">
        <v>699</v>
      </c>
      <c r="E1661" s="44">
        <f t="shared" si="125"/>
        <v>42958</v>
      </c>
      <c r="F1661" s="146" t="str">
        <f t="shared" si="126"/>
        <v>2017-18</v>
      </c>
      <c r="G1661" s="1"/>
      <c r="H1661" s="161"/>
      <c r="I1661" s="37"/>
      <c r="J1661" s="135">
        <f t="shared" si="122"/>
        <v>0.76382508261777382</v>
      </c>
      <c r="K1661" s="112"/>
      <c r="L1661" s="37">
        <v>66.137737052700004</v>
      </c>
      <c r="M1661" s="37" t="s">
        <v>288</v>
      </c>
      <c r="N1661" s="37">
        <v>3592.3639024390236</v>
      </c>
      <c r="O1661" s="130">
        <f t="shared" si="123"/>
        <v>237590.8191771234</v>
      </c>
      <c r="P1661" s="132">
        <f t="shared" si="124"/>
        <v>16966.361988416258</v>
      </c>
      <c r="Q1661" s="261">
        <v>9.348999963651089E-2</v>
      </c>
      <c r="R1661" s="92"/>
    </row>
    <row r="1662" spans="1:18" x14ac:dyDescent="0.25">
      <c r="A1662" s="353">
        <v>42958</v>
      </c>
      <c r="B1662" s="353" t="s">
        <v>285</v>
      </c>
      <c r="C1662" s="263" t="s">
        <v>712</v>
      </c>
      <c r="D1662" s="157" t="s">
        <v>699</v>
      </c>
      <c r="E1662" s="44">
        <f t="shared" si="125"/>
        <v>42958</v>
      </c>
      <c r="F1662" s="146" t="str">
        <f t="shared" si="126"/>
        <v>2017-18</v>
      </c>
      <c r="G1662" s="1"/>
      <c r="H1662" s="161"/>
      <c r="I1662" s="37"/>
      <c r="J1662" s="135">
        <f t="shared" si="122"/>
        <v>0.76382508261777382</v>
      </c>
      <c r="K1662" s="112"/>
      <c r="L1662" s="37">
        <v>17.237851667000001</v>
      </c>
      <c r="M1662" s="37" t="s">
        <v>288</v>
      </c>
      <c r="N1662" s="37">
        <v>3592.3639024390236</v>
      </c>
      <c r="O1662" s="130">
        <f t="shared" si="123"/>
        <v>61924.636084129153</v>
      </c>
      <c r="P1662" s="132">
        <f t="shared" si="124"/>
        <v>4422.0386774332055</v>
      </c>
      <c r="Q1662" s="261">
        <v>9.348999963651089E-2</v>
      </c>
      <c r="R1662" s="92"/>
    </row>
    <row r="1663" spans="1:18" x14ac:dyDescent="0.25">
      <c r="A1663" s="353">
        <v>42958</v>
      </c>
      <c r="B1663" s="353" t="s">
        <v>285</v>
      </c>
      <c r="C1663" s="263" t="s">
        <v>712</v>
      </c>
      <c r="D1663" s="157" t="s">
        <v>699</v>
      </c>
      <c r="E1663" s="44">
        <f t="shared" si="125"/>
        <v>42958</v>
      </c>
      <c r="F1663" s="146" t="str">
        <f t="shared" si="126"/>
        <v>2017-18</v>
      </c>
      <c r="G1663" s="1"/>
      <c r="H1663" s="161"/>
      <c r="I1663" s="37"/>
      <c r="J1663" s="135">
        <f t="shared" si="122"/>
        <v>0.76382508261777382</v>
      </c>
      <c r="K1663" s="112"/>
      <c r="L1663" s="37">
        <v>6.2094122910299996</v>
      </c>
      <c r="M1663" s="37" t="s">
        <v>288</v>
      </c>
      <c r="N1663" s="37">
        <v>812.22926829268283</v>
      </c>
      <c r="O1663" s="130">
        <f t="shared" si="123"/>
        <v>5043.4664016708875</v>
      </c>
      <c r="P1663" s="132">
        <f t="shared" si="124"/>
        <v>360.15396951584972</v>
      </c>
      <c r="Q1663" s="261">
        <v>9.348999963651089E-2</v>
      </c>
      <c r="R1663" s="92"/>
    </row>
    <row r="1664" spans="1:18" x14ac:dyDescent="0.25">
      <c r="A1664" s="353">
        <v>42958</v>
      </c>
      <c r="B1664" s="353" t="s">
        <v>285</v>
      </c>
      <c r="C1664" s="263" t="s">
        <v>712</v>
      </c>
      <c r="D1664" s="157" t="s">
        <v>699</v>
      </c>
      <c r="E1664" s="44">
        <f t="shared" si="125"/>
        <v>42958</v>
      </c>
      <c r="F1664" s="146" t="str">
        <f t="shared" si="126"/>
        <v>2017-18</v>
      </c>
      <c r="G1664" s="1"/>
      <c r="H1664" s="161"/>
      <c r="I1664" s="37"/>
      <c r="J1664" s="135">
        <f t="shared" si="122"/>
        <v>0.76382508261777382</v>
      </c>
      <c r="K1664" s="112"/>
      <c r="L1664" s="37">
        <v>24.630859202900002</v>
      </c>
      <c r="M1664" s="37" t="s">
        <v>288</v>
      </c>
      <c r="N1664" s="37">
        <v>3592.3639024390236</v>
      </c>
      <c r="O1664" s="130">
        <f t="shared" si="123"/>
        <v>88483.009486555995</v>
      </c>
      <c r="P1664" s="132">
        <f t="shared" si="124"/>
        <v>6318.5722999431719</v>
      </c>
      <c r="Q1664" s="261">
        <v>9.348999963651089E-2</v>
      </c>
      <c r="R1664" s="92"/>
    </row>
    <row r="1665" spans="1:18" x14ac:dyDescent="0.25">
      <c r="A1665" s="353">
        <v>42958</v>
      </c>
      <c r="B1665" s="353" t="s">
        <v>285</v>
      </c>
      <c r="C1665" s="263" t="s">
        <v>712</v>
      </c>
      <c r="D1665" s="157" t="s">
        <v>699</v>
      </c>
      <c r="E1665" s="44">
        <f t="shared" si="125"/>
        <v>42958</v>
      </c>
      <c r="F1665" s="146" t="str">
        <f t="shared" si="126"/>
        <v>2017-18</v>
      </c>
      <c r="G1665" s="1"/>
      <c r="H1665" s="161"/>
      <c r="I1665" s="37"/>
      <c r="J1665" s="135">
        <f t="shared" si="122"/>
        <v>0.76382508261777382</v>
      </c>
      <c r="K1665" s="112"/>
      <c r="L1665" s="37">
        <v>28.3326491702</v>
      </c>
      <c r="M1665" s="37" t="s">
        <v>288</v>
      </c>
      <c r="N1665" s="37">
        <v>3336.4019512195118</v>
      </c>
      <c r="O1665" s="130">
        <f t="shared" si="123"/>
        <v>94529.105974673163</v>
      </c>
      <c r="P1665" s="132">
        <f t="shared" si="124"/>
        <v>6750.324090646056</v>
      </c>
      <c r="Q1665" s="261">
        <v>9.348999963651089E-2</v>
      </c>
      <c r="R1665" s="92"/>
    </row>
    <row r="1666" spans="1:18" x14ac:dyDescent="0.25">
      <c r="A1666" s="353">
        <v>42958</v>
      </c>
      <c r="B1666" s="353" t="s">
        <v>285</v>
      </c>
      <c r="C1666" s="263" t="s">
        <v>712</v>
      </c>
      <c r="D1666" s="157" t="s">
        <v>699</v>
      </c>
      <c r="E1666" s="44">
        <f t="shared" si="125"/>
        <v>42958</v>
      </c>
      <c r="F1666" s="146" t="str">
        <f t="shared" si="126"/>
        <v>2017-18</v>
      </c>
      <c r="G1666" s="1"/>
      <c r="H1666" s="161"/>
      <c r="I1666" s="37"/>
      <c r="J1666" s="135">
        <f t="shared" si="122"/>
        <v>0.76382508261777382</v>
      </c>
      <c r="K1666" s="112"/>
      <c r="L1666" s="37">
        <v>24.8952546694</v>
      </c>
      <c r="M1666" s="37" t="s">
        <v>288</v>
      </c>
      <c r="N1666" s="37">
        <v>3336.4019512195118</v>
      </c>
      <c r="O1666" s="130">
        <f t="shared" si="123"/>
        <v>83060.576255092819</v>
      </c>
      <c r="P1666" s="132">
        <f t="shared" si="124"/>
        <v>5931.356306574181</v>
      </c>
      <c r="Q1666" s="261">
        <v>9.348999963651089E-2</v>
      </c>
      <c r="R1666" s="92"/>
    </row>
    <row r="1667" spans="1:18" x14ac:dyDescent="0.25">
      <c r="A1667" s="353">
        <v>42958</v>
      </c>
      <c r="B1667" s="353" t="s">
        <v>285</v>
      </c>
      <c r="C1667" s="263" t="s">
        <v>712</v>
      </c>
      <c r="D1667" s="157" t="s">
        <v>699</v>
      </c>
      <c r="E1667" s="44">
        <f t="shared" si="125"/>
        <v>42958</v>
      </c>
      <c r="F1667" s="146" t="str">
        <f t="shared" si="126"/>
        <v>2017-18</v>
      </c>
      <c r="G1667" s="1"/>
      <c r="H1667" s="161"/>
      <c r="I1667" s="37"/>
      <c r="J1667" s="135">
        <f t="shared" si="122"/>
        <v>0.76382508261777382</v>
      </c>
      <c r="K1667" s="112"/>
      <c r="L1667" s="37">
        <v>20.258540469500002</v>
      </c>
      <c r="M1667" s="37" t="s">
        <v>288</v>
      </c>
      <c r="N1667" s="37">
        <v>3336.4019512195118</v>
      </c>
      <c r="O1667" s="130">
        <f t="shared" si="123"/>
        <v>67590.633951299256</v>
      </c>
      <c r="P1667" s="132">
        <f t="shared" si="124"/>
        <v>4826.6476230690078</v>
      </c>
      <c r="Q1667" s="261">
        <v>9.348999963651089E-2</v>
      </c>
      <c r="R1667" s="92"/>
    </row>
    <row r="1668" spans="1:18" x14ac:dyDescent="0.25">
      <c r="A1668" s="353">
        <v>43405</v>
      </c>
      <c r="B1668" s="353" t="s">
        <v>285</v>
      </c>
      <c r="C1668" s="263" t="s">
        <v>713</v>
      </c>
      <c r="D1668" s="157" t="s">
        <v>714</v>
      </c>
      <c r="E1668" s="44">
        <f t="shared" si="125"/>
        <v>43405</v>
      </c>
      <c r="F1668" s="146" t="str">
        <f t="shared" si="126"/>
        <v>2018-19</v>
      </c>
      <c r="G1668" s="1"/>
      <c r="H1668" s="161"/>
      <c r="I1668" s="37"/>
      <c r="J1668" s="135">
        <f t="shared" si="122"/>
        <v>0.76382508261777382</v>
      </c>
      <c r="K1668" s="112"/>
      <c r="L1668" s="37">
        <v>51.768851316999999</v>
      </c>
      <c r="M1668" s="37" t="s">
        <v>288</v>
      </c>
      <c r="N1668" s="37">
        <v>3336.4019512195118</v>
      </c>
      <c r="O1668" s="130">
        <f t="shared" si="123"/>
        <v>172721.6965464316</v>
      </c>
      <c r="P1668" s="132">
        <f t="shared" si="124"/>
        <v>12652.145143295893</v>
      </c>
      <c r="Q1668" s="261">
        <v>9.5901048311054407E-2</v>
      </c>
      <c r="R1668" s="92"/>
    </row>
    <row r="1669" spans="1:18" x14ac:dyDescent="0.25">
      <c r="A1669" s="353">
        <v>43405</v>
      </c>
      <c r="B1669" s="353" t="s">
        <v>285</v>
      </c>
      <c r="C1669" s="263" t="s">
        <v>713</v>
      </c>
      <c r="D1669" s="157" t="s">
        <v>714</v>
      </c>
      <c r="E1669" s="44">
        <f t="shared" si="125"/>
        <v>43405</v>
      </c>
      <c r="F1669" s="146" t="str">
        <f t="shared" si="126"/>
        <v>2018-19</v>
      </c>
      <c r="G1669" s="1"/>
      <c r="H1669" s="161"/>
      <c r="I1669" s="37"/>
      <c r="J1669" s="135">
        <f t="shared" si="122"/>
        <v>0.76382508261777382</v>
      </c>
      <c r="K1669" s="112"/>
      <c r="L1669" s="37">
        <v>51.796848548500002</v>
      </c>
      <c r="M1669" s="37" t="s">
        <v>288</v>
      </c>
      <c r="N1669" s="37">
        <v>3336.4019512195118</v>
      </c>
      <c r="O1669" s="130">
        <f t="shared" si="123"/>
        <v>172815.10656423695</v>
      </c>
      <c r="P1669" s="132">
        <f t="shared" si="124"/>
        <v>12658.987578998771</v>
      </c>
      <c r="Q1669" s="261">
        <v>9.5901048311054407E-2</v>
      </c>
      <c r="R1669" s="92"/>
    </row>
    <row r="1670" spans="1:18" x14ac:dyDescent="0.25">
      <c r="A1670" s="353">
        <v>43405</v>
      </c>
      <c r="B1670" s="353" t="s">
        <v>285</v>
      </c>
      <c r="C1670" s="263" t="s">
        <v>713</v>
      </c>
      <c r="D1670" s="157" t="s">
        <v>714</v>
      </c>
      <c r="E1670" s="44">
        <f t="shared" si="125"/>
        <v>43405</v>
      </c>
      <c r="F1670" s="146" t="str">
        <f t="shared" si="126"/>
        <v>2018-19</v>
      </c>
      <c r="G1670" s="1"/>
      <c r="H1670" s="161"/>
      <c r="I1670" s="37"/>
      <c r="J1670" s="135">
        <f t="shared" si="122"/>
        <v>0.76382508261777382</v>
      </c>
      <c r="K1670" s="112"/>
      <c r="L1670" s="37">
        <v>25.3778027418</v>
      </c>
      <c r="M1670" s="37" t="s">
        <v>288</v>
      </c>
      <c r="N1670" s="37">
        <v>3336.4019512195118</v>
      </c>
      <c r="O1670" s="130">
        <f t="shared" si="123"/>
        <v>84670.550585405392</v>
      </c>
      <c r="P1670" s="132">
        <f t="shared" si="124"/>
        <v>6202.2555173393939</v>
      </c>
      <c r="Q1670" s="261">
        <v>9.5901048311054407E-2</v>
      </c>
      <c r="R1670" s="92"/>
    </row>
    <row r="1671" spans="1:18" x14ac:dyDescent="0.25">
      <c r="A1671" s="353">
        <v>43405</v>
      </c>
      <c r="B1671" s="353" t="s">
        <v>285</v>
      </c>
      <c r="C1671" s="263" t="s">
        <v>713</v>
      </c>
      <c r="D1671" s="157" t="s">
        <v>714</v>
      </c>
      <c r="E1671" s="44">
        <f t="shared" si="125"/>
        <v>43405</v>
      </c>
      <c r="F1671" s="146" t="str">
        <f t="shared" si="126"/>
        <v>2018-19</v>
      </c>
      <c r="G1671" s="1"/>
      <c r="H1671" s="161"/>
      <c r="I1671" s="37"/>
      <c r="J1671" s="135">
        <f t="shared" si="122"/>
        <v>0.76382508261777382</v>
      </c>
      <c r="K1671" s="112"/>
      <c r="L1671" s="37">
        <v>28.5677171122</v>
      </c>
      <c r="M1671" s="37" t="s">
        <v>288</v>
      </c>
      <c r="N1671" s="37">
        <v>3336.4019512195118</v>
      </c>
      <c r="O1671" s="130">
        <f t="shared" si="123"/>
        <v>95313.387115031117</v>
      </c>
      <c r="P1671" s="132">
        <f t="shared" si="124"/>
        <v>6981.8605999758884</v>
      </c>
      <c r="Q1671" s="261">
        <v>9.5901048311054407E-2</v>
      </c>
      <c r="R1671" s="92"/>
    </row>
    <row r="1672" spans="1:18" x14ac:dyDescent="0.25">
      <c r="A1672" s="353">
        <v>43405</v>
      </c>
      <c r="B1672" s="353" t="s">
        <v>285</v>
      </c>
      <c r="C1672" s="263" t="s">
        <v>713</v>
      </c>
      <c r="D1672" s="157" t="s">
        <v>714</v>
      </c>
      <c r="E1672" s="44">
        <f t="shared" si="125"/>
        <v>43405</v>
      </c>
      <c r="F1672" s="146" t="str">
        <f t="shared" si="126"/>
        <v>2018-19</v>
      </c>
      <c r="G1672" s="1"/>
      <c r="H1672" s="161"/>
      <c r="I1672" s="37"/>
      <c r="J1672" s="135">
        <f t="shared" si="122"/>
        <v>0.76382508261777382</v>
      </c>
      <c r="K1672" s="112"/>
      <c r="L1672" s="37">
        <v>47.637939134699998</v>
      </c>
      <c r="M1672" s="37" t="s">
        <v>288</v>
      </c>
      <c r="N1672" s="37">
        <v>812.22926829268283</v>
      </c>
      <c r="O1672" s="130">
        <f t="shared" si="123"/>
        <v>38692.928446348742</v>
      </c>
      <c r="P1672" s="132">
        <f t="shared" si="124"/>
        <v>2834.3199291744145</v>
      </c>
      <c r="Q1672" s="261">
        <v>9.5901048311054407E-2</v>
      </c>
      <c r="R1672" s="92"/>
    </row>
    <row r="1673" spans="1:18" x14ac:dyDescent="0.25">
      <c r="A1673" s="353">
        <v>43405</v>
      </c>
      <c r="B1673" s="353" t="s">
        <v>285</v>
      </c>
      <c r="C1673" s="263" t="s">
        <v>713</v>
      </c>
      <c r="D1673" s="157" t="s">
        <v>714</v>
      </c>
      <c r="E1673" s="44">
        <f t="shared" si="125"/>
        <v>43405</v>
      </c>
      <c r="F1673" s="146" t="str">
        <f t="shared" si="126"/>
        <v>2018-19</v>
      </c>
      <c r="G1673" s="1"/>
      <c r="H1673" s="161"/>
      <c r="I1673" s="37"/>
      <c r="J1673" s="135">
        <f t="shared" si="122"/>
        <v>0.76382508261777382</v>
      </c>
      <c r="K1673" s="112"/>
      <c r="L1673" s="37">
        <v>47.7103944379</v>
      </c>
      <c r="M1673" s="37" t="s">
        <v>288</v>
      </c>
      <c r="N1673" s="37">
        <v>3336.4019512195118</v>
      </c>
      <c r="O1673" s="130">
        <f t="shared" si="123"/>
        <v>159181.0530960621</v>
      </c>
      <c r="P1673" s="132">
        <f t="shared" si="124"/>
        <v>11660.270991448157</v>
      </c>
      <c r="Q1673" s="261">
        <v>9.5901048311054407E-2</v>
      </c>
      <c r="R1673" s="92"/>
    </row>
    <row r="1674" spans="1:18" x14ac:dyDescent="0.25">
      <c r="A1674" s="353">
        <v>43405</v>
      </c>
      <c r="B1674" s="353" t="s">
        <v>285</v>
      </c>
      <c r="C1674" s="263" t="s">
        <v>713</v>
      </c>
      <c r="D1674" s="157" t="s">
        <v>714</v>
      </c>
      <c r="E1674" s="44">
        <f t="shared" si="125"/>
        <v>43405</v>
      </c>
      <c r="F1674" s="146" t="str">
        <f t="shared" si="126"/>
        <v>2018-19</v>
      </c>
      <c r="G1674" s="1"/>
      <c r="H1674" s="161"/>
      <c r="I1674" s="37"/>
      <c r="J1674" s="135">
        <f t="shared" si="122"/>
        <v>0.76382508261777382</v>
      </c>
      <c r="K1674" s="112"/>
      <c r="L1674" s="37">
        <v>37.9809369452</v>
      </c>
      <c r="M1674" s="37" t="s">
        <v>288</v>
      </c>
      <c r="N1674" s="37">
        <v>3336.4019512195118</v>
      </c>
      <c r="O1674" s="130">
        <f t="shared" si="123"/>
        <v>126719.67213311052</v>
      </c>
      <c r="P1674" s="132">
        <f t="shared" si="124"/>
        <v>9282.4220488593</v>
      </c>
      <c r="Q1674" s="261">
        <v>9.5901048311054407E-2</v>
      </c>
      <c r="R1674" s="92"/>
    </row>
    <row r="1675" spans="1:18" x14ac:dyDescent="0.25">
      <c r="A1675" s="353">
        <v>43405</v>
      </c>
      <c r="B1675" s="353" t="s">
        <v>285</v>
      </c>
      <c r="C1675" s="263" t="s">
        <v>713</v>
      </c>
      <c r="D1675" s="157" t="s">
        <v>714</v>
      </c>
      <c r="E1675" s="44">
        <f t="shared" si="125"/>
        <v>43405</v>
      </c>
      <c r="F1675" s="146" t="str">
        <f t="shared" si="126"/>
        <v>2018-19</v>
      </c>
      <c r="G1675" s="1"/>
      <c r="H1675" s="161"/>
      <c r="I1675" s="37"/>
      <c r="J1675" s="135">
        <f t="shared" si="122"/>
        <v>0.76382508261777382</v>
      </c>
      <c r="K1675" s="112"/>
      <c r="L1675" s="37">
        <v>14.173882495599999</v>
      </c>
      <c r="M1675" s="37" t="s">
        <v>288</v>
      </c>
      <c r="N1675" s="37">
        <v>812.22926829268283</v>
      </c>
      <c r="O1675" s="130">
        <f t="shared" si="123"/>
        <v>11512.442208267652</v>
      </c>
      <c r="P1675" s="132">
        <f t="shared" si="124"/>
        <v>843.30511270569991</v>
      </c>
      <c r="Q1675" s="261">
        <v>9.5901048311054407E-2</v>
      </c>
      <c r="R1675" s="92"/>
    </row>
    <row r="1676" spans="1:18" x14ac:dyDescent="0.25">
      <c r="A1676" s="353">
        <v>43405</v>
      </c>
      <c r="B1676" s="353" t="s">
        <v>285</v>
      </c>
      <c r="C1676" s="263" t="s">
        <v>713</v>
      </c>
      <c r="D1676" s="157" t="s">
        <v>714</v>
      </c>
      <c r="E1676" s="44">
        <f t="shared" si="125"/>
        <v>43405</v>
      </c>
      <c r="F1676" s="146" t="str">
        <f t="shared" si="126"/>
        <v>2018-19</v>
      </c>
      <c r="G1676" s="1"/>
      <c r="H1676" s="161"/>
      <c r="I1676" s="37"/>
      <c r="J1676" s="135">
        <f t="shared" si="122"/>
        <v>0.76382508261777382</v>
      </c>
      <c r="K1676" s="112"/>
      <c r="L1676" s="37">
        <v>116.50022188299999</v>
      </c>
      <c r="M1676" s="37" t="s">
        <v>288</v>
      </c>
      <c r="N1676" s="37">
        <v>3336.4019512195118</v>
      </c>
      <c r="O1676" s="130">
        <f t="shared" si="123"/>
        <v>388691.56760794728</v>
      </c>
      <c r="P1676" s="132">
        <f t="shared" si="124"/>
        <v>28472.289397811372</v>
      </c>
      <c r="Q1676" s="261">
        <v>9.5901048311054407E-2</v>
      </c>
      <c r="R1676" s="92"/>
    </row>
    <row r="1677" spans="1:18" x14ac:dyDescent="0.25">
      <c r="A1677" s="353">
        <v>43405</v>
      </c>
      <c r="B1677" s="353" t="s">
        <v>285</v>
      </c>
      <c r="C1677" s="263" t="s">
        <v>713</v>
      </c>
      <c r="D1677" s="157" t="s">
        <v>714</v>
      </c>
      <c r="E1677" s="44">
        <f t="shared" si="125"/>
        <v>43405</v>
      </c>
      <c r="F1677" s="146" t="str">
        <f t="shared" si="126"/>
        <v>2018-19</v>
      </c>
      <c r="G1677" s="1"/>
      <c r="H1677" s="161"/>
      <c r="I1677" s="37"/>
      <c r="J1677" s="135">
        <f t="shared" si="122"/>
        <v>0.76382508261777382</v>
      </c>
      <c r="K1677" s="112"/>
      <c r="L1677" s="37">
        <v>92.668071625899998</v>
      </c>
      <c r="M1677" s="37" t="s">
        <v>288</v>
      </c>
      <c r="N1677" s="37">
        <v>812.22926829268283</v>
      </c>
      <c r="O1677" s="130">
        <f t="shared" si="123"/>
        <v>75267.720010798672</v>
      </c>
      <c r="P1677" s="132">
        <f t="shared" si="124"/>
        <v>5513.482887342886</v>
      </c>
      <c r="Q1677" s="261">
        <v>9.5901048311054407E-2</v>
      </c>
      <c r="R1677" s="92"/>
    </row>
    <row r="1678" spans="1:18" x14ac:dyDescent="0.25">
      <c r="A1678" s="353">
        <v>43405</v>
      </c>
      <c r="B1678" s="353" t="s">
        <v>285</v>
      </c>
      <c r="C1678" s="263" t="s">
        <v>713</v>
      </c>
      <c r="D1678" s="157" t="s">
        <v>714</v>
      </c>
      <c r="E1678" s="44">
        <f t="shared" si="125"/>
        <v>43405</v>
      </c>
      <c r="F1678" s="146" t="str">
        <f t="shared" si="126"/>
        <v>2018-19</v>
      </c>
      <c r="G1678" s="1"/>
      <c r="H1678" s="161"/>
      <c r="I1678" s="37"/>
      <c r="J1678" s="135">
        <f t="shared" si="122"/>
        <v>0.76382508261777382</v>
      </c>
      <c r="K1678" s="112"/>
      <c r="L1678" s="37">
        <v>10.735291397599999</v>
      </c>
      <c r="M1678" s="37" t="s">
        <v>288</v>
      </c>
      <c r="N1678" s="37">
        <v>812.22926829268283</v>
      </c>
      <c r="O1678" s="130">
        <f t="shared" si="123"/>
        <v>8719.5178767813795</v>
      </c>
      <c r="P1678" s="132">
        <f t="shared" si="124"/>
        <v>638.71886371232176</v>
      </c>
      <c r="Q1678" s="261">
        <v>9.5901048311054407E-2</v>
      </c>
      <c r="R1678" s="92"/>
    </row>
    <row r="1679" spans="1:18" x14ac:dyDescent="0.25">
      <c r="A1679" s="353">
        <v>43405</v>
      </c>
      <c r="B1679" s="353" t="s">
        <v>285</v>
      </c>
      <c r="C1679" s="263" t="s">
        <v>713</v>
      </c>
      <c r="D1679" s="157" t="s">
        <v>714</v>
      </c>
      <c r="E1679" s="44">
        <f t="shared" si="125"/>
        <v>43405</v>
      </c>
      <c r="F1679" s="146" t="str">
        <f t="shared" si="126"/>
        <v>2018-19</v>
      </c>
      <c r="G1679" s="1"/>
      <c r="H1679" s="161"/>
      <c r="I1679" s="37"/>
      <c r="J1679" s="135">
        <f t="shared" si="122"/>
        <v>0.76382508261777382</v>
      </c>
      <c r="K1679" s="112"/>
      <c r="L1679" s="37">
        <v>22.8349355213</v>
      </c>
      <c r="M1679" s="37" t="s">
        <v>288</v>
      </c>
      <c r="N1679" s="37">
        <v>3336.4019512195118</v>
      </c>
      <c r="O1679" s="130">
        <f t="shared" si="123"/>
        <v>76186.523429237059</v>
      </c>
      <c r="P1679" s="132">
        <f t="shared" si="124"/>
        <v>5580.7867318550534</v>
      </c>
      <c r="Q1679" s="261">
        <v>9.5901048311054407E-2</v>
      </c>
      <c r="R1679" s="92"/>
    </row>
    <row r="1680" spans="1:18" x14ac:dyDescent="0.25">
      <c r="A1680" s="353">
        <v>43405</v>
      </c>
      <c r="B1680" s="353" t="s">
        <v>285</v>
      </c>
      <c r="C1680" s="263" t="s">
        <v>713</v>
      </c>
      <c r="D1680" s="157" t="s">
        <v>714</v>
      </c>
      <c r="E1680" s="44">
        <f t="shared" si="125"/>
        <v>43405</v>
      </c>
      <c r="F1680" s="146" t="str">
        <f t="shared" si="126"/>
        <v>2018-19</v>
      </c>
      <c r="G1680" s="1"/>
      <c r="H1680" s="161"/>
      <c r="I1680" s="37"/>
      <c r="J1680" s="135">
        <f t="shared" si="122"/>
        <v>0.76382508261777382</v>
      </c>
      <c r="K1680" s="112"/>
      <c r="L1680" s="37">
        <v>4.53570428992</v>
      </c>
      <c r="M1680" s="37" t="s">
        <v>288</v>
      </c>
      <c r="N1680" s="37">
        <v>812.22926829268283</v>
      </c>
      <c r="O1680" s="130">
        <f t="shared" si="123"/>
        <v>3684.0317765937043</v>
      </c>
      <c r="P1680" s="132">
        <f t="shared" si="124"/>
        <v>269.86131842126548</v>
      </c>
      <c r="Q1680" s="261">
        <v>9.5901048311054407E-2</v>
      </c>
      <c r="R1680" s="92"/>
    </row>
    <row r="1681" spans="1:18" x14ac:dyDescent="0.25">
      <c r="A1681" s="353">
        <v>43405</v>
      </c>
      <c r="B1681" s="353" t="s">
        <v>285</v>
      </c>
      <c r="C1681" s="263" t="s">
        <v>713</v>
      </c>
      <c r="D1681" s="157" t="s">
        <v>714</v>
      </c>
      <c r="E1681" s="44">
        <f t="shared" si="125"/>
        <v>43405</v>
      </c>
      <c r="F1681" s="146" t="str">
        <f t="shared" si="126"/>
        <v>2018-19</v>
      </c>
      <c r="G1681" s="1"/>
      <c r="H1681" s="161"/>
      <c r="I1681" s="37"/>
      <c r="J1681" s="135">
        <f t="shared" si="122"/>
        <v>0.76382508261777382</v>
      </c>
      <c r="K1681" s="112"/>
      <c r="L1681" s="37">
        <v>26.171919860300001</v>
      </c>
      <c r="M1681" s="37" t="s">
        <v>288</v>
      </c>
      <c r="N1681" s="37">
        <v>3336.4019512195118</v>
      </c>
      <c r="O1681" s="130">
        <f t="shared" si="123"/>
        <v>87320.044489065622</v>
      </c>
      <c r="P1681" s="132">
        <f t="shared" si="124"/>
        <v>6396.335254255222</v>
      </c>
      <c r="Q1681" s="261">
        <v>9.5901048311054407E-2</v>
      </c>
      <c r="R1681" s="92"/>
    </row>
    <row r="1682" spans="1:18" x14ac:dyDescent="0.25">
      <c r="A1682" s="353">
        <v>43405</v>
      </c>
      <c r="B1682" s="353" t="s">
        <v>285</v>
      </c>
      <c r="C1682" s="263" t="s">
        <v>713</v>
      </c>
      <c r="D1682" s="157" t="s">
        <v>714</v>
      </c>
      <c r="E1682" s="44">
        <f t="shared" si="125"/>
        <v>43405</v>
      </c>
      <c r="F1682" s="146" t="str">
        <f t="shared" si="126"/>
        <v>2018-19</v>
      </c>
      <c r="G1682" s="1"/>
      <c r="H1682" s="161"/>
      <c r="I1682" s="37"/>
      <c r="J1682" s="135">
        <f t="shared" si="122"/>
        <v>0.76382508261777382</v>
      </c>
      <c r="K1682" s="112"/>
      <c r="L1682" s="37">
        <v>6.2271169091300003</v>
      </c>
      <c r="M1682" s="37" t="s">
        <v>288</v>
      </c>
      <c r="N1682" s="37">
        <v>812.22926829268283</v>
      </c>
      <c r="O1682" s="130">
        <f t="shared" si="123"/>
        <v>5057.8466106756532</v>
      </c>
      <c r="P1682" s="132">
        <f t="shared" si="124"/>
        <v>370.49548904582963</v>
      </c>
      <c r="Q1682" s="261">
        <v>9.5901048311054407E-2</v>
      </c>
      <c r="R1682" s="92"/>
    </row>
    <row r="1683" spans="1:18" x14ac:dyDescent="0.25">
      <c r="A1683" s="353">
        <v>43682</v>
      </c>
      <c r="B1683" s="353" t="s">
        <v>285</v>
      </c>
      <c r="C1683" s="263" t="s">
        <v>715</v>
      </c>
      <c r="D1683" s="157" t="s">
        <v>716</v>
      </c>
      <c r="E1683" s="44">
        <f t="shared" si="125"/>
        <v>43682</v>
      </c>
      <c r="F1683" s="146" t="str">
        <f t="shared" si="126"/>
        <v>2019-20</v>
      </c>
      <c r="G1683" s="1"/>
      <c r="H1683" s="161"/>
      <c r="I1683" s="37"/>
      <c r="J1683" s="135">
        <f t="shared" si="122"/>
        <v>0.76382508261777382</v>
      </c>
      <c r="K1683" s="112"/>
      <c r="L1683" s="37">
        <v>91.383265373</v>
      </c>
      <c r="M1683" s="37" t="s">
        <v>288</v>
      </c>
      <c r="N1683" s="37">
        <v>3336.4019512195118</v>
      </c>
      <c r="O1683" s="130">
        <f t="shared" si="123"/>
        <v>304891.30489928764</v>
      </c>
      <c r="P1683" s="132">
        <f t="shared" si="124"/>
        <v>22470.850057923304</v>
      </c>
      <c r="Q1683" s="261">
        <v>9.6489609119408279E-2</v>
      </c>
      <c r="R1683" s="92"/>
    </row>
    <row r="1684" spans="1:18" x14ac:dyDescent="0.25">
      <c r="A1684" s="353">
        <v>43682</v>
      </c>
      <c r="B1684" s="353" t="s">
        <v>285</v>
      </c>
      <c r="C1684" s="263" t="s">
        <v>715</v>
      </c>
      <c r="D1684" s="157" t="s">
        <v>716</v>
      </c>
      <c r="E1684" s="44">
        <f t="shared" si="125"/>
        <v>43682</v>
      </c>
      <c r="F1684" s="146" t="str">
        <f t="shared" si="126"/>
        <v>2019-20</v>
      </c>
      <c r="G1684" s="1"/>
      <c r="H1684" s="161"/>
      <c r="I1684" s="37"/>
      <c r="J1684" s="135">
        <f t="shared" si="122"/>
        <v>0.76382508261777382</v>
      </c>
      <c r="K1684" s="112"/>
      <c r="L1684" s="37">
        <v>73.842838154800006</v>
      </c>
      <c r="M1684" s="37" t="s">
        <v>288</v>
      </c>
      <c r="N1684" s="37">
        <v>3336.4019512195118</v>
      </c>
      <c r="O1684" s="130">
        <f t="shared" si="123"/>
        <v>246369.38930326136</v>
      </c>
      <c r="P1684" s="132">
        <f t="shared" si="124"/>
        <v>18157.71560859837</v>
      </c>
      <c r="Q1684" s="261">
        <v>9.6489609119408279E-2</v>
      </c>
      <c r="R1684" s="92"/>
    </row>
    <row r="1685" spans="1:18" x14ac:dyDescent="0.25">
      <c r="A1685" s="353">
        <v>43682</v>
      </c>
      <c r="B1685" s="353" t="s">
        <v>285</v>
      </c>
      <c r="C1685" s="263" t="s">
        <v>715</v>
      </c>
      <c r="D1685" s="157" t="s">
        <v>716</v>
      </c>
      <c r="E1685" s="44">
        <f t="shared" si="125"/>
        <v>43682</v>
      </c>
      <c r="F1685" s="146" t="str">
        <f t="shared" si="126"/>
        <v>2019-20</v>
      </c>
      <c r="G1685" s="1"/>
      <c r="H1685" s="161"/>
      <c r="I1685" s="37"/>
      <c r="J1685" s="135">
        <f t="shared" si="122"/>
        <v>0.76382508261777382</v>
      </c>
      <c r="K1685" s="112"/>
      <c r="L1685" s="37">
        <v>29.0962308501</v>
      </c>
      <c r="M1685" s="37" t="s">
        <v>288</v>
      </c>
      <c r="N1685" s="37">
        <v>812.22926829268283</v>
      </c>
      <c r="O1685" s="130">
        <f t="shared" si="123"/>
        <v>23632.810293451708</v>
      </c>
      <c r="P1685" s="132">
        <f t="shared" si="124"/>
        <v>1741.7660917779115</v>
      </c>
      <c r="Q1685" s="261">
        <v>9.6489609119408279E-2</v>
      </c>
      <c r="R1685" s="92"/>
    </row>
    <row r="1686" spans="1:18" x14ac:dyDescent="0.25">
      <c r="A1686" s="353">
        <v>43682</v>
      </c>
      <c r="B1686" s="353" t="s">
        <v>285</v>
      </c>
      <c r="C1686" s="263" t="s">
        <v>715</v>
      </c>
      <c r="D1686" s="157" t="s">
        <v>716</v>
      </c>
      <c r="E1686" s="44">
        <f t="shared" si="125"/>
        <v>43682</v>
      </c>
      <c r="F1686" s="146" t="str">
        <f t="shared" si="126"/>
        <v>2019-20</v>
      </c>
      <c r="G1686" s="1"/>
      <c r="H1686" s="161"/>
      <c r="I1686" s="37"/>
      <c r="J1686" s="135">
        <f t="shared" si="122"/>
        <v>0.76382508261777382</v>
      </c>
      <c r="K1686" s="112"/>
      <c r="L1686" s="37">
        <v>26.2138150219</v>
      </c>
      <c r="M1686" s="37" t="s">
        <v>288</v>
      </c>
      <c r="N1686" s="37">
        <v>812.22926829268283</v>
      </c>
      <c r="O1686" s="130">
        <f t="shared" si="123"/>
        <v>21291.627794397577</v>
      </c>
      <c r="P1686" s="132">
        <f t="shared" si="124"/>
        <v>1569.2181704396583</v>
      </c>
      <c r="Q1686" s="261">
        <v>9.6489609119408279E-2</v>
      </c>
      <c r="R1686" s="92"/>
    </row>
    <row r="1687" spans="1:18" x14ac:dyDescent="0.25">
      <c r="A1687" s="353">
        <v>43682</v>
      </c>
      <c r="B1687" s="353" t="s">
        <v>285</v>
      </c>
      <c r="C1687" s="263" t="s">
        <v>715</v>
      </c>
      <c r="D1687" s="157" t="s">
        <v>716</v>
      </c>
      <c r="E1687" s="44">
        <f t="shared" si="125"/>
        <v>43682</v>
      </c>
      <c r="F1687" s="146" t="str">
        <f t="shared" si="126"/>
        <v>2019-20</v>
      </c>
      <c r="G1687" s="1"/>
      <c r="H1687" s="161"/>
      <c r="I1687" s="37"/>
      <c r="J1687" s="135">
        <f t="shared" si="122"/>
        <v>0.76382508261777382</v>
      </c>
      <c r="K1687" s="112"/>
      <c r="L1687" s="37">
        <v>34.283819024700001</v>
      </c>
      <c r="M1687" s="37" t="s">
        <v>288</v>
      </c>
      <c r="N1687" s="37">
        <v>3336.4019512195118</v>
      </c>
      <c r="O1687" s="130">
        <f t="shared" si="123"/>
        <v>114384.6006892657</v>
      </c>
      <c r="P1687" s="132">
        <f t="shared" si="124"/>
        <v>8430.2804629766451</v>
      </c>
      <c r="Q1687" s="261">
        <v>9.6489609119408279E-2</v>
      </c>
      <c r="R1687" s="92"/>
    </row>
    <row r="1688" spans="1:18" x14ac:dyDescent="0.25">
      <c r="A1688" s="353">
        <v>43682</v>
      </c>
      <c r="B1688" s="353" t="s">
        <v>285</v>
      </c>
      <c r="C1688" s="263" t="s">
        <v>715</v>
      </c>
      <c r="D1688" s="157" t="s">
        <v>716</v>
      </c>
      <c r="E1688" s="44">
        <f t="shared" si="125"/>
        <v>43682</v>
      </c>
      <c r="F1688" s="146" t="str">
        <f t="shared" si="126"/>
        <v>2019-20</v>
      </c>
      <c r="G1688" s="1"/>
      <c r="H1688" s="161"/>
      <c r="I1688" s="37"/>
      <c r="J1688" s="135">
        <f t="shared" si="122"/>
        <v>0.76382508261777382</v>
      </c>
      <c r="K1688" s="112"/>
      <c r="L1688" s="37">
        <v>13.421398027</v>
      </c>
      <c r="M1688" s="37" t="s">
        <v>288</v>
      </c>
      <c r="N1688" s="37">
        <v>3336.4019512195118</v>
      </c>
      <c r="O1688" s="130">
        <f t="shared" si="123"/>
        <v>44779.178565376511</v>
      </c>
      <c r="P1688" s="132">
        <f t="shared" si="124"/>
        <v>3300.2784634738191</v>
      </c>
      <c r="Q1688" s="261">
        <v>9.6489609119408279E-2</v>
      </c>
      <c r="R1688" s="92"/>
    </row>
    <row r="1689" spans="1:18" x14ac:dyDescent="0.25">
      <c r="A1689" s="353">
        <v>43682</v>
      </c>
      <c r="B1689" s="353" t="s">
        <v>285</v>
      </c>
      <c r="C1689" s="263" t="s">
        <v>715</v>
      </c>
      <c r="D1689" s="157" t="s">
        <v>716</v>
      </c>
      <c r="E1689" s="44">
        <f t="shared" si="125"/>
        <v>43682</v>
      </c>
      <c r="F1689" s="146" t="str">
        <f t="shared" si="126"/>
        <v>2019-20</v>
      </c>
      <c r="G1689" s="1"/>
      <c r="H1689" s="161"/>
      <c r="I1689" s="37"/>
      <c r="J1689" s="135">
        <f t="shared" si="122"/>
        <v>0.76382508261777382</v>
      </c>
      <c r="K1689" s="112"/>
      <c r="L1689" s="37">
        <v>14.370320318999999</v>
      </c>
      <c r="M1689" s="37" t="s">
        <v>288</v>
      </c>
      <c r="N1689" s="37">
        <v>3336.4019512195118</v>
      </c>
      <c r="O1689" s="130">
        <f t="shared" si="123"/>
        <v>47945.164751960998</v>
      </c>
      <c r="P1689" s="132">
        <f t="shared" si="124"/>
        <v>3533.6153928680383</v>
      </c>
      <c r="Q1689" s="261">
        <v>9.6489609119408279E-2</v>
      </c>
      <c r="R1689" s="92"/>
    </row>
    <row r="1690" spans="1:18" x14ac:dyDescent="0.25">
      <c r="A1690" s="353">
        <v>43682</v>
      </c>
      <c r="B1690" s="353" t="s">
        <v>285</v>
      </c>
      <c r="C1690" s="263" t="s">
        <v>715</v>
      </c>
      <c r="D1690" s="157" t="s">
        <v>716</v>
      </c>
      <c r="E1690" s="44">
        <f t="shared" si="125"/>
        <v>43682</v>
      </c>
      <c r="F1690" s="146" t="str">
        <f t="shared" si="126"/>
        <v>2019-20</v>
      </c>
      <c r="G1690" s="1"/>
      <c r="H1690" s="161"/>
      <c r="I1690" s="37"/>
      <c r="J1690" s="135">
        <f t="shared" ref="J1690:J1753" si="127">J1689</f>
        <v>0.76382508261777382</v>
      </c>
      <c r="K1690" s="112"/>
      <c r="L1690" s="37">
        <v>5.8178905111699999</v>
      </c>
      <c r="M1690" s="37" t="s">
        <v>288</v>
      </c>
      <c r="N1690" s="37">
        <v>3336.4019512195118</v>
      </c>
      <c r="O1690" s="130">
        <f t="shared" ref="O1690:O1753" si="128">IF(N1690="","-",L1690*N1690)</f>
        <v>19410.82125344907</v>
      </c>
      <c r="P1690" s="132">
        <f t="shared" ref="P1690:P1753" si="129">IF(O1690="-","-",IF(OR(E1690&lt;$E$15,E1690&gt;$E$16),0,O1690*J1690))*Q1690</f>
        <v>1430.6005021411943</v>
      </c>
      <c r="Q1690" s="261">
        <v>9.6489609119408279E-2</v>
      </c>
      <c r="R1690" s="92"/>
    </row>
    <row r="1691" spans="1:18" x14ac:dyDescent="0.25">
      <c r="A1691" s="353">
        <v>43682</v>
      </c>
      <c r="B1691" s="353" t="s">
        <v>285</v>
      </c>
      <c r="C1691" s="263" t="s">
        <v>715</v>
      </c>
      <c r="D1691" s="157" t="s">
        <v>716</v>
      </c>
      <c r="E1691" s="44">
        <f t="shared" ref="E1691:E1754" si="130">IF(VALUE(A1691)&lt;2022,DATEVALUE("30 Jun "&amp;A1691),A1691)</f>
        <v>43682</v>
      </c>
      <c r="F1691" s="146" t="str">
        <f t="shared" si="126"/>
        <v>2019-20</v>
      </c>
      <c r="G1691" s="1"/>
      <c r="H1691" s="161"/>
      <c r="I1691" s="37"/>
      <c r="J1691" s="135">
        <f t="shared" si="127"/>
        <v>0.76382508261777382</v>
      </c>
      <c r="K1691" s="112"/>
      <c r="L1691" s="37">
        <v>81.099622567799997</v>
      </c>
      <c r="M1691" s="37" t="s">
        <v>288</v>
      </c>
      <c r="N1691" s="37">
        <v>3336.4019512195118</v>
      </c>
      <c r="O1691" s="130">
        <f t="shared" si="128"/>
        <v>270580.93897837389</v>
      </c>
      <c r="P1691" s="132">
        <f t="shared" si="129"/>
        <v>19942.135477833828</v>
      </c>
      <c r="Q1691" s="261">
        <v>9.6489609119408279E-2</v>
      </c>
      <c r="R1691" s="92"/>
    </row>
    <row r="1692" spans="1:18" x14ac:dyDescent="0.25">
      <c r="A1692" s="353">
        <v>43682</v>
      </c>
      <c r="B1692" s="353" t="s">
        <v>285</v>
      </c>
      <c r="C1692" s="263" t="s">
        <v>715</v>
      </c>
      <c r="D1692" s="157" t="s">
        <v>716</v>
      </c>
      <c r="E1692" s="44">
        <f t="shared" si="130"/>
        <v>43682</v>
      </c>
      <c r="F1692" s="146" t="str">
        <f t="shared" si="126"/>
        <v>2019-20</v>
      </c>
      <c r="G1692" s="1"/>
      <c r="H1692" s="161"/>
      <c r="I1692" s="37"/>
      <c r="J1692" s="135">
        <f t="shared" si="127"/>
        <v>0.76382508261777382</v>
      </c>
      <c r="K1692" s="112"/>
      <c r="L1692" s="37">
        <v>43.278345026799997</v>
      </c>
      <c r="M1692" s="37" t="s">
        <v>288</v>
      </c>
      <c r="N1692" s="37">
        <v>3336.4019512195118</v>
      </c>
      <c r="O1692" s="130">
        <f t="shared" si="128"/>
        <v>144393.95479296678</v>
      </c>
      <c r="P1692" s="132">
        <f t="shared" si="129"/>
        <v>10642.00538121313</v>
      </c>
      <c r="Q1692" s="261">
        <v>9.6489609119408279E-2</v>
      </c>
      <c r="R1692" s="92"/>
    </row>
    <row r="1693" spans="1:18" x14ac:dyDescent="0.25">
      <c r="A1693" s="353">
        <v>43682</v>
      </c>
      <c r="B1693" s="353" t="s">
        <v>285</v>
      </c>
      <c r="C1693" s="263" t="s">
        <v>715</v>
      </c>
      <c r="D1693" s="157" t="s">
        <v>716</v>
      </c>
      <c r="E1693" s="44">
        <f t="shared" si="130"/>
        <v>43682</v>
      </c>
      <c r="F1693" s="146" t="str">
        <f t="shared" si="126"/>
        <v>2019-20</v>
      </c>
      <c r="G1693" s="1"/>
      <c r="H1693" s="161"/>
      <c r="I1693" s="37"/>
      <c r="J1693" s="135">
        <f t="shared" si="127"/>
        <v>0.76382508261777382</v>
      </c>
      <c r="K1693" s="112"/>
      <c r="L1693" s="37">
        <v>22.880468115300001</v>
      </c>
      <c r="M1693" s="37" t="s">
        <v>288</v>
      </c>
      <c r="N1693" s="37">
        <v>3336.4019512195118</v>
      </c>
      <c r="O1693" s="130">
        <f t="shared" si="128"/>
        <v>76338.438464702747</v>
      </c>
      <c r="P1693" s="132">
        <f t="shared" si="129"/>
        <v>5626.2332734053252</v>
      </c>
      <c r="Q1693" s="261">
        <v>9.6489609119408279E-2</v>
      </c>
      <c r="R1693" s="92"/>
    </row>
    <row r="1694" spans="1:18" x14ac:dyDescent="0.25">
      <c r="A1694" s="353">
        <v>43682</v>
      </c>
      <c r="B1694" s="353" t="s">
        <v>285</v>
      </c>
      <c r="C1694" s="263" t="s">
        <v>715</v>
      </c>
      <c r="D1694" s="157" t="s">
        <v>716</v>
      </c>
      <c r="E1694" s="44">
        <f t="shared" si="130"/>
        <v>43682</v>
      </c>
      <c r="F1694" s="146" t="str">
        <f t="shared" si="126"/>
        <v>2019-20</v>
      </c>
      <c r="G1694" s="1"/>
      <c r="H1694" s="161"/>
      <c r="I1694" s="37"/>
      <c r="J1694" s="135">
        <f t="shared" si="127"/>
        <v>0.76382508261777382</v>
      </c>
      <c r="K1694" s="112"/>
      <c r="L1694" s="37">
        <v>43.110049330700001</v>
      </c>
      <c r="M1694" s="37" t="s">
        <v>288</v>
      </c>
      <c r="N1694" s="37">
        <v>812.22926829268283</v>
      </c>
      <c r="O1694" s="130">
        <f t="shared" si="128"/>
        <v>35015.243823935925</v>
      </c>
      <c r="P1694" s="132">
        <f t="shared" si="129"/>
        <v>2580.6649158761479</v>
      </c>
      <c r="Q1694" s="261">
        <v>9.6489609119408279E-2</v>
      </c>
      <c r="R1694" s="92"/>
    </row>
    <row r="1695" spans="1:18" x14ac:dyDescent="0.25">
      <c r="A1695" s="353">
        <v>43682</v>
      </c>
      <c r="B1695" s="353" t="s">
        <v>285</v>
      </c>
      <c r="C1695" s="263" t="s">
        <v>715</v>
      </c>
      <c r="D1695" s="157" t="s">
        <v>716</v>
      </c>
      <c r="E1695" s="44">
        <f t="shared" si="130"/>
        <v>43682</v>
      </c>
      <c r="F1695" s="146" t="str">
        <f t="shared" si="126"/>
        <v>2019-20</v>
      </c>
      <c r="G1695" s="1"/>
      <c r="H1695" s="161"/>
      <c r="I1695" s="37"/>
      <c r="J1695" s="135">
        <f t="shared" si="127"/>
        <v>0.76382508261777382</v>
      </c>
      <c r="K1695" s="112"/>
      <c r="L1695" s="37">
        <v>67.429336671800002</v>
      </c>
      <c r="M1695" s="37" t="s">
        <v>288</v>
      </c>
      <c r="N1695" s="37">
        <v>3336.4019512195118</v>
      </c>
      <c r="O1695" s="130">
        <f t="shared" si="128"/>
        <v>224971.37044123092</v>
      </c>
      <c r="P1695" s="132">
        <f t="shared" si="129"/>
        <v>16580.656290543593</v>
      </c>
      <c r="Q1695" s="261">
        <v>9.6489609119408279E-2</v>
      </c>
      <c r="R1695" s="92"/>
    </row>
    <row r="1696" spans="1:18" x14ac:dyDescent="0.25">
      <c r="A1696" s="353">
        <v>43682</v>
      </c>
      <c r="B1696" s="353" t="s">
        <v>285</v>
      </c>
      <c r="C1696" s="263" t="s">
        <v>715</v>
      </c>
      <c r="D1696" s="157" t="s">
        <v>716</v>
      </c>
      <c r="E1696" s="44">
        <f t="shared" si="130"/>
        <v>43682</v>
      </c>
      <c r="F1696" s="146" t="str">
        <f t="shared" si="126"/>
        <v>2019-20</v>
      </c>
      <c r="G1696" s="1"/>
      <c r="H1696" s="161"/>
      <c r="I1696" s="37"/>
      <c r="J1696" s="135">
        <f t="shared" si="127"/>
        <v>0.76382508261777382</v>
      </c>
      <c r="K1696" s="112"/>
      <c r="L1696" s="37">
        <v>91.477686930000004</v>
      </c>
      <c r="M1696" s="37" t="s">
        <v>288</v>
      </c>
      <c r="N1696" s="37">
        <v>3336.4019512195118</v>
      </c>
      <c r="O1696" s="130">
        <f t="shared" si="128"/>
        <v>305206.33316629962</v>
      </c>
      <c r="P1696" s="132">
        <f t="shared" si="129"/>
        <v>22494.068014087621</v>
      </c>
      <c r="Q1696" s="261">
        <v>9.6489609119408279E-2</v>
      </c>
      <c r="R1696" s="92"/>
    </row>
    <row r="1697" spans="1:18" x14ac:dyDescent="0.25">
      <c r="A1697" s="353">
        <v>43682</v>
      </c>
      <c r="B1697" s="353" t="s">
        <v>285</v>
      </c>
      <c r="C1697" s="263" t="s">
        <v>715</v>
      </c>
      <c r="D1697" s="157" t="s">
        <v>716</v>
      </c>
      <c r="E1697" s="44">
        <f t="shared" si="130"/>
        <v>43682</v>
      </c>
      <c r="F1697" s="146" t="str">
        <f t="shared" si="126"/>
        <v>2019-20</v>
      </c>
      <c r="G1697" s="1"/>
      <c r="H1697" s="161"/>
      <c r="I1697" s="37"/>
      <c r="J1697" s="135">
        <f t="shared" si="127"/>
        <v>0.76382508261777382</v>
      </c>
      <c r="K1697" s="112"/>
      <c r="L1697" s="37">
        <v>3.7737007035499999</v>
      </c>
      <c r="M1697" s="37" t="s">
        <v>288</v>
      </c>
      <c r="N1697" s="37">
        <v>3875.3912195121943</v>
      </c>
      <c r="O1697" s="130">
        <f t="shared" si="128"/>
        <v>14624.566571604659</v>
      </c>
      <c r="P1697" s="132">
        <f t="shared" si="129"/>
        <v>1077.8478668035427</v>
      </c>
      <c r="Q1697" s="261">
        <v>9.6489609119408279E-2</v>
      </c>
      <c r="R1697" s="92"/>
    </row>
    <row r="1698" spans="1:18" x14ac:dyDescent="0.25">
      <c r="A1698" s="353">
        <v>43682</v>
      </c>
      <c r="B1698" s="353" t="s">
        <v>285</v>
      </c>
      <c r="C1698" s="263" t="s">
        <v>715</v>
      </c>
      <c r="D1698" s="157" t="s">
        <v>716</v>
      </c>
      <c r="E1698" s="44">
        <f t="shared" si="130"/>
        <v>43682</v>
      </c>
      <c r="F1698" s="146" t="str">
        <f t="shared" si="126"/>
        <v>2019-20</v>
      </c>
      <c r="G1698" s="1"/>
      <c r="H1698" s="161"/>
      <c r="I1698" s="37"/>
      <c r="J1698" s="135">
        <f t="shared" si="127"/>
        <v>0.76382508261777382</v>
      </c>
      <c r="K1698" s="112"/>
      <c r="L1698" s="37">
        <v>119.739688786</v>
      </c>
      <c r="M1698" s="37" t="s">
        <v>288</v>
      </c>
      <c r="N1698" s="37">
        <v>3336.4019512195118</v>
      </c>
      <c r="O1698" s="130">
        <f t="shared" si="128"/>
        <v>399499.73130402749</v>
      </c>
      <c r="P1698" s="132">
        <f t="shared" si="129"/>
        <v>29443.603067915581</v>
      </c>
      <c r="Q1698" s="261">
        <v>9.6489609119408279E-2</v>
      </c>
      <c r="R1698" s="92"/>
    </row>
    <row r="1699" spans="1:18" x14ac:dyDescent="0.25">
      <c r="A1699" s="353">
        <v>43301</v>
      </c>
      <c r="B1699" s="353" t="s">
        <v>285</v>
      </c>
      <c r="C1699" s="263" t="s">
        <v>717</v>
      </c>
      <c r="D1699" s="157" t="s">
        <v>697</v>
      </c>
      <c r="E1699" s="44">
        <f t="shared" si="130"/>
        <v>43301</v>
      </c>
      <c r="F1699" s="146" t="str">
        <f t="shared" si="126"/>
        <v>2018-19</v>
      </c>
      <c r="G1699" s="1"/>
      <c r="H1699" s="161"/>
      <c r="I1699" s="37"/>
      <c r="J1699" s="135">
        <f t="shared" si="127"/>
        <v>0.76382508261777382</v>
      </c>
      <c r="K1699" s="112"/>
      <c r="L1699" s="37">
        <v>15.9364925603</v>
      </c>
      <c r="M1699" s="37" t="s">
        <v>288</v>
      </c>
      <c r="N1699" s="37">
        <v>3336.4019512195118</v>
      </c>
      <c r="O1699" s="130">
        <f t="shared" si="128"/>
        <v>53170.544873780149</v>
      </c>
      <c r="P1699" s="132">
        <f t="shared" si="129"/>
        <v>4000.3370831557413</v>
      </c>
      <c r="Q1699" s="261">
        <v>9.8498941072887508E-2</v>
      </c>
      <c r="R1699" s="92"/>
    </row>
    <row r="1700" spans="1:18" x14ac:dyDescent="0.25">
      <c r="A1700" s="353">
        <v>43301</v>
      </c>
      <c r="B1700" s="353" t="s">
        <v>285</v>
      </c>
      <c r="C1700" s="263" t="s">
        <v>717</v>
      </c>
      <c r="D1700" s="157" t="s">
        <v>697</v>
      </c>
      <c r="E1700" s="44">
        <f t="shared" si="130"/>
        <v>43301</v>
      </c>
      <c r="F1700" s="146" t="str">
        <f t="shared" si="126"/>
        <v>2018-19</v>
      </c>
      <c r="G1700" s="1"/>
      <c r="H1700" s="161"/>
      <c r="I1700" s="37"/>
      <c r="J1700" s="135">
        <f t="shared" si="127"/>
        <v>0.76382508261777382</v>
      </c>
      <c r="K1700" s="112"/>
      <c r="L1700" s="37">
        <v>17.856096580599999</v>
      </c>
      <c r="M1700" s="37" t="s">
        <v>288</v>
      </c>
      <c r="N1700" s="37">
        <v>3592.3639024390236</v>
      </c>
      <c r="O1700" s="130">
        <f t="shared" si="128"/>
        <v>64145.59679461232</v>
      </c>
      <c r="P1700" s="132">
        <f t="shared" si="129"/>
        <v>4826.0556702547956</v>
      </c>
      <c r="Q1700" s="261">
        <v>9.8498941072887508E-2</v>
      </c>
      <c r="R1700" s="92"/>
    </row>
    <row r="1701" spans="1:18" x14ac:dyDescent="0.25">
      <c r="A1701" s="353">
        <v>43301</v>
      </c>
      <c r="B1701" s="353" t="s">
        <v>285</v>
      </c>
      <c r="C1701" s="263" t="s">
        <v>717</v>
      </c>
      <c r="D1701" s="157" t="s">
        <v>697</v>
      </c>
      <c r="E1701" s="44">
        <f t="shared" si="130"/>
        <v>43301</v>
      </c>
      <c r="F1701" s="146" t="str">
        <f t="shared" si="126"/>
        <v>2018-19</v>
      </c>
      <c r="G1701" s="1"/>
      <c r="H1701" s="161"/>
      <c r="I1701" s="37"/>
      <c r="J1701" s="135">
        <f t="shared" si="127"/>
        <v>0.76382508261777382</v>
      </c>
      <c r="K1701" s="112"/>
      <c r="L1701" s="37">
        <v>66.609406302699995</v>
      </c>
      <c r="M1701" s="37" t="s">
        <v>288</v>
      </c>
      <c r="N1701" s="37">
        <v>812.22926829268283</v>
      </c>
      <c r="O1701" s="130">
        <f t="shared" si="128"/>
        <v>54102.109342652031</v>
      </c>
      <c r="P1701" s="132">
        <f t="shared" si="129"/>
        <v>4070.4242319525961</v>
      </c>
      <c r="Q1701" s="261">
        <v>9.8498941072887508E-2</v>
      </c>
      <c r="R1701" s="92"/>
    </row>
    <row r="1702" spans="1:18" x14ac:dyDescent="0.25">
      <c r="A1702" s="353">
        <v>43301</v>
      </c>
      <c r="B1702" s="353" t="s">
        <v>285</v>
      </c>
      <c r="C1702" s="263" t="s">
        <v>717</v>
      </c>
      <c r="D1702" s="157" t="s">
        <v>697</v>
      </c>
      <c r="E1702" s="44">
        <f t="shared" si="130"/>
        <v>43301</v>
      </c>
      <c r="F1702" s="146" t="str">
        <f t="shared" si="126"/>
        <v>2018-19</v>
      </c>
      <c r="G1702" s="1"/>
      <c r="H1702" s="161"/>
      <c r="I1702" s="37"/>
      <c r="J1702" s="135">
        <f t="shared" si="127"/>
        <v>0.76382508261777382</v>
      </c>
      <c r="K1702" s="112"/>
      <c r="L1702" s="37">
        <v>57.087619223200001</v>
      </c>
      <c r="M1702" s="37" t="s">
        <v>288</v>
      </c>
      <c r="N1702" s="37">
        <v>812.22926829268283</v>
      </c>
      <c r="O1702" s="130">
        <f t="shared" si="128"/>
        <v>46368.235190231033</v>
      </c>
      <c r="P1702" s="132">
        <f t="shared" si="129"/>
        <v>3488.558771633685</v>
      </c>
      <c r="Q1702" s="261">
        <v>9.8498941072887508E-2</v>
      </c>
      <c r="R1702" s="92"/>
    </row>
    <row r="1703" spans="1:18" x14ac:dyDescent="0.25">
      <c r="A1703" s="353">
        <v>43301</v>
      </c>
      <c r="B1703" s="353" t="s">
        <v>285</v>
      </c>
      <c r="C1703" s="263" t="s">
        <v>717</v>
      </c>
      <c r="D1703" s="157" t="s">
        <v>697</v>
      </c>
      <c r="E1703" s="44">
        <f t="shared" si="130"/>
        <v>43301</v>
      </c>
      <c r="F1703" s="146" t="str">
        <f t="shared" si="126"/>
        <v>2018-19</v>
      </c>
      <c r="G1703" s="1"/>
      <c r="H1703" s="161"/>
      <c r="I1703" s="37"/>
      <c r="J1703" s="135">
        <f t="shared" si="127"/>
        <v>0.76382508261777382</v>
      </c>
      <c r="K1703" s="112"/>
      <c r="L1703" s="37">
        <v>64.752932656599995</v>
      </c>
      <c r="M1703" s="37" t="s">
        <v>288</v>
      </c>
      <c r="N1703" s="37">
        <v>812.22926829268283</v>
      </c>
      <c r="O1703" s="130">
        <f t="shared" si="128"/>
        <v>52594.227111475579</v>
      </c>
      <c r="P1703" s="132">
        <f t="shared" si="129"/>
        <v>3956.977262004742</v>
      </c>
      <c r="Q1703" s="261">
        <v>9.8498941072887508E-2</v>
      </c>
      <c r="R1703" s="92"/>
    </row>
    <row r="1704" spans="1:18" x14ac:dyDescent="0.25">
      <c r="A1704" s="353">
        <v>43301</v>
      </c>
      <c r="B1704" s="353" t="s">
        <v>285</v>
      </c>
      <c r="C1704" s="263" t="s">
        <v>717</v>
      </c>
      <c r="D1704" s="157" t="s">
        <v>697</v>
      </c>
      <c r="E1704" s="44">
        <f t="shared" si="130"/>
        <v>43301</v>
      </c>
      <c r="F1704" s="146" t="str">
        <f t="shared" si="126"/>
        <v>2018-19</v>
      </c>
      <c r="G1704" s="1"/>
      <c r="H1704" s="161"/>
      <c r="I1704" s="37"/>
      <c r="J1704" s="135">
        <f t="shared" si="127"/>
        <v>0.76382508261777382</v>
      </c>
      <c r="K1704" s="112"/>
      <c r="L1704" s="37">
        <v>58.091654688399998</v>
      </c>
      <c r="M1704" s="37" t="s">
        <v>288</v>
      </c>
      <c r="N1704" s="37">
        <v>812.22926829268283</v>
      </c>
      <c r="O1704" s="130">
        <f t="shared" si="128"/>
        <v>47183.742181470327</v>
      </c>
      <c r="P1704" s="132">
        <f t="shared" si="129"/>
        <v>3549.9142244764498</v>
      </c>
      <c r="Q1704" s="261">
        <v>9.8498941072887508E-2</v>
      </c>
      <c r="R1704" s="92"/>
    </row>
    <row r="1705" spans="1:18" x14ac:dyDescent="0.25">
      <c r="A1705" s="353">
        <v>43301</v>
      </c>
      <c r="B1705" s="353" t="s">
        <v>285</v>
      </c>
      <c r="C1705" s="263" t="s">
        <v>717</v>
      </c>
      <c r="D1705" s="157" t="s">
        <v>697</v>
      </c>
      <c r="E1705" s="44">
        <f t="shared" si="130"/>
        <v>43301</v>
      </c>
      <c r="F1705" s="146" t="str">
        <f t="shared" si="126"/>
        <v>2018-19</v>
      </c>
      <c r="G1705" s="1"/>
      <c r="H1705" s="161"/>
      <c r="I1705" s="37"/>
      <c r="J1705" s="135">
        <f t="shared" si="127"/>
        <v>0.76382508261777382</v>
      </c>
      <c r="K1705" s="112"/>
      <c r="L1705" s="37">
        <v>43.866302472500003</v>
      </c>
      <c r="M1705" s="37" t="s">
        <v>288</v>
      </c>
      <c r="N1705" s="37">
        <v>812.22926829268283</v>
      </c>
      <c r="O1705" s="130">
        <f t="shared" si="128"/>
        <v>35629.49475994418</v>
      </c>
      <c r="P1705" s="132">
        <f t="shared" si="129"/>
        <v>2680.6193068108528</v>
      </c>
      <c r="Q1705" s="261">
        <v>9.8498941072887508E-2</v>
      </c>
      <c r="R1705" s="92"/>
    </row>
    <row r="1706" spans="1:18" x14ac:dyDescent="0.25">
      <c r="A1706" s="353">
        <v>43301</v>
      </c>
      <c r="B1706" s="353" t="s">
        <v>285</v>
      </c>
      <c r="C1706" s="263" t="s">
        <v>717</v>
      </c>
      <c r="D1706" s="157" t="s">
        <v>697</v>
      </c>
      <c r="E1706" s="44">
        <f t="shared" si="130"/>
        <v>43301</v>
      </c>
      <c r="F1706" s="146" t="str">
        <f t="shared" si="126"/>
        <v>2018-19</v>
      </c>
      <c r="G1706" s="1"/>
      <c r="H1706" s="161"/>
      <c r="I1706" s="37"/>
      <c r="J1706" s="135">
        <f t="shared" si="127"/>
        <v>0.76382508261777382</v>
      </c>
      <c r="K1706" s="112"/>
      <c r="L1706" s="37">
        <v>44.026829243500003</v>
      </c>
      <c r="M1706" s="37" t="s">
        <v>288</v>
      </c>
      <c r="N1706" s="37">
        <v>812.22926829268283</v>
      </c>
      <c r="O1706" s="130">
        <f t="shared" si="128"/>
        <v>35759.879301694898</v>
      </c>
      <c r="P1706" s="132">
        <f t="shared" si="129"/>
        <v>2690.4289132136801</v>
      </c>
      <c r="Q1706" s="261">
        <v>9.8498941072887508E-2</v>
      </c>
      <c r="R1706" s="92"/>
    </row>
    <row r="1707" spans="1:18" x14ac:dyDescent="0.25">
      <c r="A1707" s="353">
        <v>43301</v>
      </c>
      <c r="B1707" s="353" t="s">
        <v>285</v>
      </c>
      <c r="C1707" s="263" t="s">
        <v>717</v>
      </c>
      <c r="D1707" s="157" t="s">
        <v>697</v>
      </c>
      <c r="E1707" s="44">
        <f t="shared" si="130"/>
        <v>43301</v>
      </c>
      <c r="F1707" s="146" t="str">
        <f t="shared" si="126"/>
        <v>2018-19</v>
      </c>
      <c r="G1707" s="1"/>
      <c r="H1707" s="161"/>
      <c r="I1707" s="37"/>
      <c r="J1707" s="135">
        <f t="shared" si="127"/>
        <v>0.76382508261777382</v>
      </c>
      <c r="K1707" s="112"/>
      <c r="L1707" s="37">
        <v>58.938281427900002</v>
      </c>
      <c r="M1707" s="37" t="s">
        <v>288</v>
      </c>
      <c r="N1707" s="37">
        <v>812.22926829268283</v>
      </c>
      <c r="O1707" s="130">
        <f t="shared" si="128"/>
        <v>47871.397198611434</v>
      </c>
      <c r="P1707" s="132">
        <f t="shared" si="129"/>
        <v>3601.6506110795558</v>
      </c>
      <c r="Q1707" s="261">
        <v>9.8498941072887508E-2</v>
      </c>
      <c r="R1707" s="92"/>
    </row>
    <row r="1708" spans="1:18" x14ac:dyDescent="0.25">
      <c r="A1708" s="353">
        <v>43301</v>
      </c>
      <c r="B1708" s="353" t="s">
        <v>285</v>
      </c>
      <c r="C1708" s="263" t="s">
        <v>717</v>
      </c>
      <c r="D1708" s="157" t="s">
        <v>697</v>
      </c>
      <c r="E1708" s="44">
        <f t="shared" si="130"/>
        <v>43301</v>
      </c>
      <c r="F1708" s="146" t="str">
        <f t="shared" si="126"/>
        <v>2018-19</v>
      </c>
      <c r="G1708" s="1"/>
      <c r="H1708" s="161"/>
      <c r="I1708" s="37"/>
      <c r="J1708" s="135">
        <f t="shared" si="127"/>
        <v>0.76382508261777382</v>
      </c>
      <c r="K1708" s="112"/>
      <c r="L1708" s="37">
        <v>54.5779959515</v>
      </c>
      <c r="M1708" s="37" t="s">
        <v>288</v>
      </c>
      <c r="N1708" s="37">
        <v>812.22926829268283</v>
      </c>
      <c r="O1708" s="130">
        <f t="shared" si="128"/>
        <v>44329.845716567848</v>
      </c>
      <c r="P1708" s="132">
        <f t="shared" si="129"/>
        <v>3335.1985790540111</v>
      </c>
      <c r="Q1708" s="261">
        <v>9.8498941072887508E-2</v>
      </c>
      <c r="R1708" s="92"/>
    </row>
    <row r="1709" spans="1:18" x14ac:dyDescent="0.25">
      <c r="A1709" s="353">
        <v>43301</v>
      </c>
      <c r="B1709" s="353" t="s">
        <v>285</v>
      </c>
      <c r="C1709" s="263" t="s">
        <v>717</v>
      </c>
      <c r="D1709" s="157" t="s">
        <v>697</v>
      </c>
      <c r="E1709" s="44">
        <f t="shared" si="130"/>
        <v>43301</v>
      </c>
      <c r="F1709" s="146" t="str">
        <f t="shared" si="126"/>
        <v>2018-19</v>
      </c>
      <c r="G1709" s="1"/>
      <c r="H1709" s="161"/>
      <c r="I1709" s="37"/>
      <c r="J1709" s="135">
        <f t="shared" si="127"/>
        <v>0.76382508261777382</v>
      </c>
      <c r="K1709" s="112"/>
      <c r="L1709" s="37">
        <v>28.963248637100001</v>
      </c>
      <c r="M1709" s="37" t="s">
        <v>288</v>
      </c>
      <c r="N1709" s="37">
        <v>812.22926829268283</v>
      </c>
      <c r="O1709" s="130">
        <f t="shared" si="128"/>
        <v>23524.798247890776</v>
      </c>
      <c r="P1709" s="132">
        <f t="shared" si="129"/>
        <v>1769.910822395982</v>
      </c>
      <c r="Q1709" s="261">
        <v>9.8498941072887508E-2</v>
      </c>
      <c r="R1709" s="92"/>
    </row>
    <row r="1710" spans="1:18" x14ac:dyDescent="0.25">
      <c r="A1710" s="353">
        <v>43301</v>
      </c>
      <c r="B1710" s="353" t="s">
        <v>285</v>
      </c>
      <c r="C1710" s="263" t="s">
        <v>717</v>
      </c>
      <c r="D1710" s="157" t="s">
        <v>697</v>
      </c>
      <c r="E1710" s="44">
        <f t="shared" si="130"/>
        <v>43301</v>
      </c>
      <c r="F1710" s="146" t="str">
        <f t="shared" si="126"/>
        <v>2018-19</v>
      </c>
      <c r="G1710" s="1"/>
      <c r="H1710" s="161"/>
      <c r="I1710" s="37"/>
      <c r="J1710" s="135">
        <f t="shared" si="127"/>
        <v>0.76382508261777382</v>
      </c>
      <c r="K1710" s="112"/>
      <c r="L1710" s="37">
        <v>41.478765789100002</v>
      </c>
      <c r="M1710" s="37" t="s">
        <v>288</v>
      </c>
      <c r="N1710" s="37">
        <v>812.22926829268283</v>
      </c>
      <c r="O1710" s="130">
        <f t="shared" si="128"/>
        <v>33690.26758656426</v>
      </c>
      <c r="P1710" s="132">
        <f t="shared" si="129"/>
        <v>2534.7196852675638</v>
      </c>
      <c r="Q1710" s="261">
        <v>9.8498941072887508E-2</v>
      </c>
      <c r="R1710" s="92"/>
    </row>
    <row r="1711" spans="1:18" x14ac:dyDescent="0.25">
      <c r="A1711" s="353">
        <v>43301</v>
      </c>
      <c r="B1711" s="353" t="s">
        <v>285</v>
      </c>
      <c r="C1711" s="263" t="s">
        <v>717</v>
      </c>
      <c r="D1711" s="157" t="s">
        <v>697</v>
      </c>
      <c r="E1711" s="44">
        <f t="shared" si="130"/>
        <v>43301</v>
      </c>
      <c r="F1711" s="146" t="str">
        <f t="shared" si="126"/>
        <v>2018-19</v>
      </c>
      <c r="G1711" s="1"/>
      <c r="H1711" s="161"/>
      <c r="I1711" s="37"/>
      <c r="J1711" s="135">
        <f t="shared" si="127"/>
        <v>0.76382508261777382</v>
      </c>
      <c r="K1711" s="112"/>
      <c r="L1711" s="37">
        <v>66.120864435300007</v>
      </c>
      <c r="M1711" s="37" t="s">
        <v>288</v>
      </c>
      <c r="N1711" s="37">
        <v>3336.4019512195118</v>
      </c>
      <c r="O1711" s="130">
        <f t="shared" si="128"/>
        <v>220605.78111825578</v>
      </c>
      <c r="P1711" s="132">
        <f t="shared" si="129"/>
        <v>16597.488121681461</v>
      </c>
      <c r="Q1711" s="261">
        <v>9.8498941072887508E-2</v>
      </c>
      <c r="R1711" s="92"/>
    </row>
    <row r="1712" spans="1:18" x14ac:dyDescent="0.25">
      <c r="A1712" s="353">
        <v>43301</v>
      </c>
      <c r="B1712" s="353" t="s">
        <v>285</v>
      </c>
      <c r="C1712" s="263" t="s">
        <v>717</v>
      </c>
      <c r="D1712" s="157" t="s">
        <v>697</v>
      </c>
      <c r="E1712" s="44">
        <f t="shared" si="130"/>
        <v>43301</v>
      </c>
      <c r="F1712" s="146" t="str">
        <f t="shared" si="126"/>
        <v>2018-19</v>
      </c>
      <c r="G1712" s="1"/>
      <c r="H1712" s="161"/>
      <c r="I1712" s="37"/>
      <c r="J1712" s="135">
        <f t="shared" si="127"/>
        <v>0.76382508261777382</v>
      </c>
      <c r="K1712" s="112"/>
      <c r="L1712" s="37">
        <v>39.880961523700002</v>
      </c>
      <c r="M1712" s="37" t="s">
        <v>288</v>
      </c>
      <c r="N1712" s="37">
        <v>3592.3639024390236</v>
      </c>
      <c r="O1712" s="130">
        <f t="shared" si="128"/>
        <v>143266.92657229948</v>
      </c>
      <c r="P1712" s="132">
        <f t="shared" si="129"/>
        <v>10778.825015192564</v>
      </c>
      <c r="Q1712" s="261">
        <v>9.8498941072887508E-2</v>
      </c>
      <c r="R1712" s="92"/>
    </row>
    <row r="1713" spans="1:18" x14ac:dyDescent="0.25">
      <c r="A1713" s="353">
        <v>43301</v>
      </c>
      <c r="B1713" s="353" t="s">
        <v>285</v>
      </c>
      <c r="C1713" s="263" t="s">
        <v>717</v>
      </c>
      <c r="D1713" s="157" t="s">
        <v>697</v>
      </c>
      <c r="E1713" s="44">
        <f t="shared" si="130"/>
        <v>43301</v>
      </c>
      <c r="F1713" s="146" t="str">
        <f t="shared" si="126"/>
        <v>2018-19</v>
      </c>
      <c r="G1713" s="1"/>
      <c r="H1713" s="161"/>
      <c r="I1713" s="37"/>
      <c r="J1713" s="135">
        <f t="shared" si="127"/>
        <v>0.76382508261777382</v>
      </c>
      <c r="K1713" s="112"/>
      <c r="L1713" s="37">
        <v>51.024863844999999</v>
      </c>
      <c r="M1713" s="37" t="s">
        <v>288</v>
      </c>
      <c r="N1713" s="37">
        <v>3592.3639024390236</v>
      </c>
      <c r="O1713" s="130">
        <f t="shared" si="128"/>
        <v>183299.87900364405</v>
      </c>
      <c r="P1713" s="132">
        <f t="shared" si="129"/>
        <v>13790.742695168974</v>
      </c>
      <c r="Q1713" s="261">
        <v>9.8498941072887508E-2</v>
      </c>
      <c r="R1713" s="92"/>
    </row>
    <row r="1714" spans="1:18" x14ac:dyDescent="0.25">
      <c r="A1714" s="353">
        <v>43301</v>
      </c>
      <c r="B1714" s="353" t="s">
        <v>285</v>
      </c>
      <c r="C1714" s="263" t="s">
        <v>717</v>
      </c>
      <c r="D1714" s="157" t="s">
        <v>697</v>
      </c>
      <c r="E1714" s="44">
        <f t="shared" si="130"/>
        <v>43301</v>
      </c>
      <c r="F1714" s="146" t="str">
        <f t="shared" si="126"/>
        <v>2018-19</v>
      </c>
      <c r="G1714" s="1"/>
      <c r="H1714" s="161"/>
      <c r="I1714" s="37"/>
      <c r="J1714" s="135">
        <f t="shared" si="127"/>
        <v>0.76382508261777382</v>
      </c>
      <c r="K1714" s="112"/>
      <c r="L1714" s="37">
        <v>9.1638800870099999</v>
      </c>
      <c r="M1714" s="37" t="s">
        <v>288</v>
      </c>
      <c r="N1714" s="37">
        <v>812.22926829268283</v>
      </c>
      <c r="O1714" s="130">
        <f t="shared" si="128"/>
        <v>7443.1716177940189</v>
      </c>
      <c r="P1714" s="132">
        <f t="shared" si="129"/>
        <v>559.99417552774958</v>
      </c>
      <c r="Q1714" s="261">
        <v>9.8498941072887508E-2</v>
      </c>
      <c r="R1714" s="92"/>
    </row>
    <row r="1715" spans="1:18" x14ac:dyDescent="0.25">
      <c r="A1715" s="353">
        <v>43301</v>
      </c>
      <c r="B1715" s="353" t="s">
        <v>285</v>
      </c>
      <c r="C1715" s="263" t="s">
        <v>717</v>
      </c>
      <c r="D1715" s="157" t="s">
        <v>697</v>
      </c>
      <c r="E1715" s="44">
        <f t="shared" si="130"/>
        <v>43301</v>
      </c>
      <c r="F1715" s="146" t="str">
        <f t="shared" si="126"/>
        <v>2018-19</v>
      </c>
      <c r="G1715" s="1"/>
      <c r="H1715" s="161"/>
      <c r="I1715" s="37"/>
      <c r="J1715" s="135">
        <f t="shared" si="127"/>
        <v>0.76382508261777382</v>
      </c>
      <c r="K1715" s="112"/>
      <c r="L1715" s="37">
        <v>24.939830893500002</v>
      </c>
      <c r="M1715" s="37" t="s">
        <v>288</v>
      </c>
      <c r="N1715" s="37">
        <v>3592.3639024390236</v>
      </c>
      <c r="O1715" s="130">
        <f t="shared" si="128"/>
        <v>89592.948234742988</v>
      </c>
      <c r="P1715" s="132">
        <f t="shared" si="129"/>
        <v>6740.611631185915</v>
      </c>
      <c r="Q1715" s="261">
        <v>9.8498941072887508E-2</v>
      </c>
      <c r="R1715" s="92"/>
    </row>
    <row r="1716" spans="1:18" x14ac:dyDescent="0.25">
      <c r="A1716" s="353">
        <v>43301</v>
      </c>
      <c r="B1716" s="353" t="s">
        <v>285</v>
      </c>
      <c r="C1716" s="263" t="s">
        <v>717</v>
      </c>
      <c r="D1716" s="157" t="s">
        <v>697</v>
      </c>
      <c r="E1716" s="44">
        <f t="shared" si="130"/>
        <v>43301</v>
      </c>
      <c r="F1716" s="146" t="str">
        <f t="shared" si="126"/>
        <v>2018-19</v>
      </c>
      <c r="G1716" s="1"/>
      <c r="H1716" s="161"/>
      <c r="I1716" s="37"/>
      <c r="J1716" s="135">
        <f t="shared" si="127"/>
        <v>0.76382508261777382</v>
      </c>
      <c r="K1716" s="112"/>
      <c r="L1716" s="37">
        <v>22.7455321642</v>
      </c>
      <c r="M1716" s="37" t="s">
        <v>288</v>
      </c>
      <c r="N1716" s="37">
        <v>3592.3639024390236</v>
      </c>
      <c r="O1716" s="130">
        <f t="shared" si="128"/>
        <v>81710.228688437841</v>
      </c>
      <c r="P1716" s="132">
        <f t="shared" si="129"/>
        <v>6147.5476444982196</v>
      </c>
      <c r="Q1716" s="261">
        <v>9.8498941072887508E-2</v>
      </c>
      <c r="R1716" s="92"/>
    </row>
    <row r="1717" spans="1:18" x14ac:dyDescent="0.25">
      <c r="A1717" s="353">
        <v>43301</v>
      </c>
      <c r="B1717" s="353" t="s">
        <v>285</v>
      </c>
      <c r="C1717" s="263" t="s">
        <v>717</v>
      </c>
      <c r="D1717" s="157" t="s">
        <v>697</v>
      </c>
      <c r="E1717" s="44">
        <f t="shared" si="130"/>
        <v>43301</v>
      </c>
      <c r="F1717" s="146" t="str">
        <f t="shared" si="126"/>
        <v>2018-19</v>
      </c>
      <c r="G1717" s="1"/>
      <c r="H1717" s="161"/>
      <c r="I1717" s="37"/>
      <c r="J1717" s="135">
        <f t="shared" si="127"/>
        <v>0.76382508261777382</v>
      </c>
      <c r="K1717" s="112"/>
      <c r="L1717" s="37">
        <v>45.2255787912</v>
      </c>
      <c r="M1717" s="37" t="s">
        <v>288</v>
      </c>
      <c r="N1717" s="37">
        <v>950.87219512195099</v>
      </c>
      <c r="O1717" s="130">
        <f t="shared" si="128"/>
        <v>43003.745380849097</v>
      </c>
      <c r="P1717" s="132">
        <f t="shared" si="129"/>
        <v>3235.4281448492452</v>
      </c>
      <c r="Q1717" s="261">
        <v>9.8498941072887508E-2</v>
      </c>
      <c r="R1717" s="92"/>
    </row>
    <row r="1718" spans="1:18" x14ac:dyDescent="0.25">
      <c r="A1718" s="353">
        <v>43301</v>
      </c>
      <c r="B1718" s="353" t="s">
        <v>285</v>
      </c>
      <c r="C1718" s="263" t="s">
        <v>717</v>
      </c>
      <c r="D1718" s="157" t="s">
        <v>697</v>
      </c>
      <c r="E1718" s="44">
        <f t="shared" si="130"/>
        <v>43301</v>
      </c>
      <c r="F1718" s="146" t="str">
        <f t="shared" si="126"/>
        <v>2018-19</v>
      </c>
      <c r="G1718" s="1"/>
      <c r="H1718" s="161"/>
      <c r="I1718" s="37"/>
      <c r="J1718" s="135">
        <f t="shared" si="127"/>
        <v>0.76382508261777382</v>
      </c>
      <c r="K1718" s="112"/>
      <c r="L1718" s="37">
        <v>21.735678043299998</v>
      </c>
      <c r="M1718" s="37" t="s">
        <v>288</v>
      </c>
      <c r="N1718" s="37">
        <v>3592.3639024390236</v>
      </c>
      <c r="O1718" s="130">
        <f t="shared" si="128"/>
        <v>78082.465197787387</v>
      </c>
      <c r="P1718" s="132">
        <f t="shared" si="129"/>
        <v>5874.609369086189</v>
      </c>
      <c r="Q1718" s="261">
        <v>9.8498941072887508E-2</v>
      </c>
      <c r="R1718" s="92"/>
    </row>
    <row r="1719" spans="1:18" x14ac:dyDescent="0.25">
      <c r="A1719" s="353">
        <v>43301</v>
      </c>
      <c r="B1719" s="353" t="s">
        <v>285</v>
      </c>
      <c r="C1719" s="263" t="s">
        <v>717</v>
      </c>
      <c r="D1719" s="157" t="s">
        <v>697</v>
      </c>
      <c r="E1719" s="44">
        <f t="shared" si="130"/>
        <v>43301</v>
      </c>
      <c r="F1719" s="146" t="str">
        <f t="shared" si="126"/>
        <v>2018-19</v>
      </c>
      <c r="G1719" s="1"/>
      <c r="H1719" s="161"/>
      <c r="I1719" s="37"/>
      <c r="J1719" s="135">
        <f t="shared" si="127"/>
        <v>0.76382508261777382</v>
      </c>
      <c r="K1719" s="112"/>
      <c r="L1719" s="37">
        <v>4.5860599647200004</v>
      </c>
      <c r="M1719" s="37" t="s">
        <v>288</v>
      </c>
      <c r="N1719" s="37">
        <v>950.87219512195099</v>
      </c>
      <c r="O1719" s="130">
        <f t="shared" si="128"/>
        <v>4360.7569056142038</v>
      </c>
      <c r="P1719" s="132">
        <f t="shared" si="129"/>
        <v>328.08573998191883</v>
      </c>
      <c r="Q1719" s="261">
        <v>9.8498941072887508E-2</v>
      </c>
      <c r="R1719" s="92"/>
    </row>
    <row r="1720" spans="1:18" x14ac:dyDescent="0.25">
      <c r="A1720" s="353">
        <v>43301</v>
      </c>
      <c r="B1720" s="353" t="s">
        <v>285</v>
      </c>
      <c r="C1720" s="263" t="s">
        <v>717</v>
      </c>
      <c r="D1720" s="157" t="s">
        <v>697</v>
      </c>
      <c r="E1720" s="44">
        <f t="shared" si="130"/>
        <v>43301</v>
      </c>
      <c r="F1720" s="146" t="str">
        <f t="shared" si="126"/>
        <v>2018-19</v>
      </c>
      <c r="G1720" s="1"/>
      <c r="H1720" s="161"/>
      <c r="I1720" s="37"/>
      <c r="J1720" s="135">
        <f t="shared" si="127"/>
        <v>0.76382508261777382</v>
      </c>
      <c r="K1720" s="112"/>
      <c r="L1720" s="37">
        <v>47.199097684999998</v>
      </c>
      <c r="M1720" s="37" t="s">
        <v>288</v>
      </c>
      <c r="N1720" s="37">
        <v>950.87219512195099</v>
      </c>
      <c r="O1720" s="130">
        <f t="shared" si="128"/>
        <v>44880.309623511341</v>
      </c>
      <c r="P1720" s="132">
        <f t="shared" si="129"/>
        <v>3376.6132605306098</v>
      </c>
      <c r="Q1720" s="261">
        <v>9.8498941072887508E-2</v>
      </c>
      <c r="R1720" s="92"/>
    </row>
    <row r="1721" spans="1:18" x14ac:dyDescent="0.25">
      <c r="A1721" s="353">
        <v>43084</v>
      </c>
      <c r="B1721" s="353" t="s">
        <v>285</v>
      </c>
      <c r="C1721" s="263" t="s">
        <v>718</v>
      </c>
      <c r="D1721" s="157" t="s">
        <v>699</v>
      </c>
      <c r="E1721" s="44">
        <f t="shared" si="130"/>
        <v>43084</v>
      </c>
      <c r="F1721" s="146" t="str">
        <f t="shared" si="126"/>
        <v>2017-18</v>
      </c>
      <c r="G1721" s="1"/>
      <c r="H1721" s="161"/>
      <c r="I1721" s="37"/>
      <c r="J1721" s="135">
        <f t="shared" si="127"/>
        <v>0.76382508261777382</v>
      </c>
      <c r="K1721" s="112"/>
      <c r="L1721" s="37">
        <v>43.487639122499999</v>
      </c>
      <c r="M1721" s="37" t="s">
        <v>288</v>
      </c>
      <c r="N1721" s="37">
        <v>3336.4019512195118</v>
      </c>
      <c r="O1721" s="130">
        <f t="shared" si="128"/>
        <v>145092.24402223897</v>
      </c>
      <c r="P1721" s="132">
        <f t="shared" si="129"/>
        <v>11658.438115951669</v>
      </c>
      <c r="Q1721" s="261">
        <v>0.10519673442879669</v>
      </c>
      <c r="R1721" s="92"/>
    </row>
    <row r="1722" spans="1:18" x14ac:dyDescent="0.25">
      <c r="A1722" s="353">
        <v>43084</v>
      </c>
      <c r="B1722" s="353" t="s">
        <v>285</v>
      </c>
      <c r="C1722" s="263" t="s">
        <v>718</v>
      </c>
      <c r="D1722" s="157" t="s">
        <v>699</v>
      </c>
      <c r="E1722" s="44">
        <f t="shared" si="130"/>
        <v>43084</v>
      </c>
      <c r="F1722" s="146" t="str">
        <f t="shared" si="126"/>
        <v>2017-18</v>
      </c>
      <c r="G1722" s="1"/>
      <c r="H1722" s="161"/>
      <c r="I1722" s="37"/>
      <c r="J1722" s="135">
        <f t="shared" si="127"/>
        <v>0.76382508261777382</v>
      </c>
      <c r="K1722" s="112"/>
      <c r="L1722" s="37">
        <v>10.4945433443</v>
      </c>
      <c r="M1722" s="37" t="s">
        <v>288</v>
      </c>
      <c r="N1722" s="37">
        <v>812.22926829268283</v>
      </c>
      <c r="O1722" s="130">
        <f t="shared" si="128"/>
        <v>8523.9752616066344</v>
      </c>
      <c r="P1722" s="132">
        <f t="shared" si="129"/>
        <v>684.91764504043374</v>
      </c>
      <c r="Q1722" s="261">
        <v>0.10519673442879669</v>
      </c>
      <c r="R1722" s="92"/>
    </row>
    <row r="1723" spans="1:18" x14ac:dyDescent="0.25">
      <c r="A1723" s="353">
        <v>43084</v>
      </c>
      <c r="B1723" s="353" t="s">
        <v>285</v>
      </c>
      <c r="C1723" s="263" t="s">
        <v>718</v>
      </c>
      <c r="D1723" s="157" t="s">
        <v>699</v>
      </c>
      <c r="E1723" s="44">
        <f t="shared" si="130"/>
        <v>43084</v>
      </c>
      <c r="F1723" s="146" t="str">
        <f t="shared" ref="F1723:F1786" si="131">IF(E1723="","-",IF(OR(E1723&lt;$E$15,E1723&gt;$E$16),"ERROR - date outside of range",IF(MONTH(E1723)&gt;=7,YEAR(E1723)&amp;"-"&amp;IF(YEAR(E1723)=1999,"00",IF(AND(YEAR(E1723)&gt;=2000,YEAR(E1723)&lt;2009),"0","")&amp;RIGHT(YEAR(E1723),2)+1),RIGHT(YEAR(E1723),4)-1&amp;"-"&amp;RIGHT(YEAR(E1723),2))))</f>
        <v>2017-18</v>
      </c>
      <c r="G1723" s="1"/>
      <c r="H1723" s="161"/>
      <c r="I1723" s="37"/>
      <c r="J1723" s="135">
        <f t="shared" si="127"/>
        <v>0.76382508261777382</v>
      </c>
      <c r="K1723" s="112"/>
      <c r="L1723" s="37">
        <v>3.5223003846899998</v>
      </c>
      <c r="M1723" s="37" t="s">
        <v>288</v>
      </c>
      <c r="N1723" s="37">
        <v>812.22926829268283</v>
      </c>
      <c r="O1723" s="130">
        <f t="shared" si="128"/>
        <v>2860.9154641637938</v>
      </c>
      <c r="P1723" s="132">
        <f t="shared" si="129"/>
        <v>229.88000577625937</v>
      </c>
      <c r="Q1723" s="261">
        <v>0.10519673442879669</v>
      </c>
      <c r="R1723" s="92"/>
    </row>
    <row r="1724" spans="1:18" x14ac:dyDescent="0.25">
      <c r="A1724" s="353">
        <v>43084</v>
      </c>
      <c r="B1724" s="353" t="s">
        <v>285</v>
      </c>
      <c r="C1724" s="263" t="s">
        <v>718</v>
      </c>
      <c r="D1724" s="157" t="s">
        <v>699</v>
      </c>
      <c r="E1724" s="44">
        <f t="shared" si="130"/>
        <v>43084</v>
      </c>
      <c r="F1724" s="146" t="str">
        <f t="shared" si="131"/>
        <v>2017-18</v>
      </c>
      <c r="G1724" s="1"/>
      <c r="H1724" s="161"/>
      <c r="I1724" s="37"/>
      <c r="J1724" s="135">
        <f t="shared" si="127"/>
        <v>0.76382508261777382</v>
      </c>
      <c r="K1724" s="112"/>
      <c r="L1724" s="37">
        <v>27.987175673300001</v>
      </c>
      <c r="M1724" s="37" t="s">
        <v>288</v>
      </c>
      <c r="N1724" s="37">
        <v>3336.4019512195118</v>
      </c>
      <c r="O1724" s="130">
        <f t="shared" si="128"/>
        <v>93376.467525521381</v>
      </c>
      <c r="P1724" s="132">
        <f t="shared" si="129"/>
        <v>7502.9769886638678</v>
      </c>
      <c r="Q1724" s="261">
        <v>0.10519673442879669</v>
      </c>
      <c r="R1724" s="92"/>
    </row>
    <row r="1725" spans="1:18" x14ac:dyDescent="0.25">
      <c r="A1725" s="353">
        <v>43084</v>
      </c>
      <c r="B1725" s="353" t="s">
        <v>285</v>
      </c>
      <c r="C1725" s="263" t="s">
        <v>718</v>
      </c>
      <c r="D1725" s="157" t="s">
        <v>699</v>
      </c>
      <c r="E1725" s="44">
        <f t="shared" si="130"/>
        <v>43084</v>
      </c>
      <c r="F1725" s="146" t="str">
        <f t="shared" si="131"/>
        <v>2017-18</v>
      </c>
      <c r="G1725" s="1"/>
      <c r="H1725" s="161"/>
      <c r="I1725" s="37"/>
      <c r="J1725" s="135">
        <f t="shared" si="127"/>
        <v>0.76382508261777382</v>
      </c>
      <c r="K1725" s="112"/>
      <c r="L1725" s="37">
        <v>41.3884118665</v>
      </c>
      <c r="M1725" s="37" t="s">
        <v>288</v>
      </c>
      <c r="N1725" s="37">
        <v>812.22926829268283</v>
      </c>
      <c r="O1725" s="130">
        <f t="shared" si="128"/>
        <v>33616.879486123486</v>
      </c>
      <c r="P1725" s="132">
        <f t="shared" si="129"/>
        <v>2701.1802855589185</v>
      </c>
      <c r="Q1725" s="261">
        <v>0.10519673442879669</v>
      </c>
      <c r="R1725" s="92"/>
    </row>
    <row r="1726" spans="1:18" x14ac:dyDescent="0.25">
      <c r="A1726" s="353">
        <v>43084</v>
      </c>
      <c r="B1726" s="353" t="s">
        <v>285</v>
      </c>
      <c r="C1726" s="263" t="s">
        <v>718</v>
      </c>
      <c r="D1726" s="157" t="s">
        <v>699</v>
      </c>
      <c r="E1726" s="44">
        <f t="shared" si="130"/>
        <v>43084</v>
      </c>
      <c r="F1726" s="146" t="str">
        <f t="shared" si="131"/>
        <v>2017-18</v>
      </c>
      <c r="G1726" s="1"/>
      <c r="H1726" s="161"/>
      <c r="I1726" s="37"/>
      <c r="J1726" s="135">
        <f t="shared" si="127"/>
        <v>0.76382508261777382</v>
      </c>
      <c r="K1726" s="112"/>
      <c r="L1726" s="37">
        <v>2.6315083127399999</v>
      </c>
      <c r="M1726" s="37" t="s">
        <v>288</v>
      </c>
      <c r="N1726" s="37">
        <v>812.22926829268283</v>
      </c>
      <c r="O1726" s="130">
        <f t="shared" si="128"/>
        <v>2137.3880713629223</v>
      </c>
      <c r="P1726" s="132">
        <f t="shared" si="129"/>
        <v>171.74320190360089</v>
      </c>
      <c r="Q1726" s="261">
        <v>0.10519673442879669</v>
      </c>
      <c r="R1726" s="92"/>
    </row>
    <row r="1727" spans="1:18" x14ac:dyDescent="0.25">
      <c r="A1727" s="353">
        <v>43084</v>
      </c>
      <c r="B1727" s="353" t="s">
        <v>285</v>
      </c>
      <c r="C1727" s="263" t="s">
        <v>718</v>
      </c>
      <c r="D1727" s="157" t="s">
        <v>699</v>
      </c>
      <c r="E1727" s="44">
        <f t="shared" si="130"/>
        <v>43084</v>
      </c>
      <c r="F1727" s="146" t="str">
        <f t="shared" si="131"/>
        <v>2017-18</v>
      </c>
      <c r="G1727" s="1"/>
      <c r="H1727" s="161"/>
      <c r="I1727" s="37"/>
      <c r="J1727" s="135">
        <f t="shared" si="127"/>
        <v>0.76382508261777382</v>
      </c>
      <c r="K1727" s="112"/>
      <c r="L1727" s="37">
        <v>22.988637850100002</v>
      </c>
      <c r="M1727" s="37" t="s">
        <v>288</v>
      </c>
      <c r="N1727" s="37">
        <v>812.22926829268283</v>
      </c>
      <c r="O1727" s="130">
        <f t="shared" si="128"/>
        <v>18672.044500032196</v>
      </c>
      <c r="P1727" s="132">
        <f t="shared" si="129"/>
        <v>1500.3343339879364</v>
      </c>
      <c r="Q1727" s="261">
        <v>0.10519673442879669</v>
      </c>
      <c r="R1727" s="92"/>
    </row>
    <row r="1728" spans="1:18" x14ac:dyDescent="0.25">
      <c r="A1728" s="353">
        <v>43084</v>
      </c>
      <c r="B1728" s="353" t="s">
        <v>285</v>
      </c>
      <c r="C1728" s="263" t="s">
        <v>718</v>
      </c>
      <c r="D1728" s="157" t="s">
        <v>699</v>
      </c>
      <c r="E1728" s="44">
        <f t="shared" si="130"/>
        <v>43084</v>
      </c>
      <c r="F1728" s="146" t="str">
        <f t="shared" si="131"/>
        <v>2017-18</v>
      </c>
      <c r="G1728" s="1"/>
      <c r="H1728" s="161"/>
      <c r="I1728" s="37"/>
      <c r="J1728" s="135">
        <f t="shared" si="127"/>
        <v>0.76382508261777382</v>
      </c>
      <c r="K1728" s="112"/>
      <c r="L1728" s="37">
        <v>26.4874691371</v>
      </c>
      <c r="M1728" s="37" t="s">
        <v>288</v>
      </c>
      <c r="N1728" s="37">
        <v>3336.4019512195118</v>
      </c>
      <c r="O1728" s="130">
        <f t="shared" si="128"/>
        <v>88372.843711887035</v>
      </c>
      <c r="P1728" s="132">
        <f t="shared" si="129"/>
        <v>7100.9262865063019</v>
      </c>
      <c r="Q1728" s="261">
        <v>0.10519673442879669</v>
      </c>
      <c r="R1728" s="92"/>
    </row>
    <row r="1729" spans="1:18" x14ac:dyDescent="0.25">
      <c r="A1729" s="353">
        <v>43084</v>
      </c>
      <c r="B1729" s="353" t="s">
        <v>285</v>
      </c>
      <c r="C1729" s="263" t="s">
        <v>718</v>
      </c>
      <c r="D1729" s="157" t="s">
        <v>699</v>
      </c>
      <c r="E1729" s="44">
        <f t="shared" si="130"/>
        <v>43084</v>
      </c>
      <c r="F1729" s="146" t="str">
        <f t="shared" si="131"/>
        <v>2017-18</v>
      </c>
      <c r="G1729" s="1"/>
      <c r="H1729" s="161"/>
      <c r="I1729" s="37"/>
      <c r="J1729" s="135">
        <f t="shared" si="127"/>
        <v>0.76382508261777382</v>
      </c>
      <c r="K1729" s="112"/>
      <c r="L1729" s="37">
        <v>20.630251210299999</v>
      </c>
      <c r="M1729" s="37" t="s">
        <v>288</v>
      </c>
      <c r="N1729" s="37">
        <v>3336.4019512195118</v>
      </c>
      <c r="O1729" s="130">
        <f t="shared" si="128"/>
        <v>68830.810392193613</v>
      </c>
      <c r="P1729" s="132">
        <f t="shared" si="129"/>
        <v>5530.686694081287</v>
      </c>
      <c r="Q1729" s="261">
        <v>0.10519673442879669</v>
      </c>
      <c r="R1729" s="92"/>
    </row>
    <row r="1730" spans="1:18" x14ac:dyDescent="0.25">
      <c r="A1730" s="353">
        <v>43084</v>
      </c>
      <c r="B1730" s="353" t="s">
        <v>285</v>
      </c>
      <c r="C1730" s="263" t="s">
        <v>718</v>
      </c>
      <c r="D1730" s="157" t="s">
        <v>699</v>
      </c>
      <c r="E1730" s="44">
        <f t="shared" si="130"/>
        <v>43084</v>
      </c>
      <c r="F1730" s="146" t="str">
        <f t="shared" si="131"/>
        <v>2017-18</v>
      </c>
      <c r="G1730" s="1"/>
      <c r="H1730" s="161"/>
      <c r="I1730" s="37"/>
      <c r="J1730" s="135">
        <f t="shared" si="127"/>
        <v>0.76382508261777382</v>
      </c>
      <c r="K1730" s="112"/>
      <c r="L1730" s="37">
        <v>21.794737921799999</v>
      </c>
      <c r="M1730" s="37" t="s">
        <v>288</v>
      </c>
      <c r="N1730" s="37">
        <v>3336.4019512195118</v>
      </c>
      <c r="O1730" s="130">
        <f t="shared" si="128"/>
        <v>72716.006128611407</v>
      </c>
      <c r="P1730" s="132">
        <f t="shared" si="129"/>
        <v>5842.8695703378808</v>
      </c>
      <c r="Q1730" s="261">
        <v>0.10519673442879669</v>
      </c>
      <c r="R1730" s="92"/>
    </row>
    <row r="1731" spans="1:18" x14ac:dyDescent="0.25">
      <c r="A1731" s="353">
        <v>43084</v>
      </c>
      <c r="B1731" s="353" t="s">
        <v>285</v>
      </c>
      <c r="C1731" s="263" t="s">
        <v>718</v>
      </c>
      <c r="D1731" s="157" t="s">
        <v>699</v>
      </c>
      <c r="E1731" s="44">
        <f t="shared" si="130"/>
        <v>43084</v>
      </c>
      <c r="F1731" s="146" t="str">
        <f t="shared" si="131"/>
        <v>2017-18</v>
      </c>
      <c r="G1731" s="1"/>
      <c r="H1731" s="161"/>
      <c r="I1731" s="37"/>
      <c r="J1731" s="135">
        <f t="shared" si="127"/>
        <v>0.76382508261777382</v>
      </c>
      <c r="K1731" s="112"/>
      <c r="L1731" s="37">
        <v>28.7650341322</v>
      </c>
      <c r="M1731" s="37" t="s">
        <v>288</v>
      </c>
      <c r="N1731" s="37">
        <v>3336.4019512195118</v>
      </c>
      <c r="O1731" s="130">
        <f t="shared" si="128"/>
        <v>95971.716005567941</v>
      </c>
      <c r="P1731" s="132">
        <f t="shared" si="129"/>
        <v>7711.5101463390838</v>
      </c>
      <c r="Q1731" s="261">
        <v>0.10519673442879669</v>
      </c>
      <c r="R1731" s="92"/>
    </row>
    <row r="1732" spans="1:18" x14ac:dyDescent="0.25">
      <c r="A1732" s="353">
        <v>43084</v>
      </c>
      <c r="B1732" s="353" t="s">
        <v>285</v>
      </c>
      <c r="C1732" s="263" t="s">
        <v>718</v>
      </c>
      <c r="D1732" s="157" t="s">
        <v>699</v>
      </c>
      <c r="E1732" s="44">
        <f t="shared" si="130"/>
        <v>43084</v>
      </c>
      <c r="F1732" s="146" t="str">
        <f t="shared" si="131"/>
        <v>2017-18</v>
      </c>
      <c r="G1732" s="1"/>
      <c r="H1732" s="161"/>
      <c r="I1732" s="37"/>
      <c r="J1732" s="135">
        <f t="shared" si="127"/>
        <v>0.76382508261777382</v>
      </c>
      <c r="K1732" s="112"/>
      <c r="L1732" s="37">
        <v>2.9941083814699998</v>
      </c>
      <c r="M1732" s="37" t="s">
        <v>288</v>
      </c>
      <c r="N1732" s="37">
        <v>3336.4019512195118</v>
      </c>
      <c r="O1732" s="130">
        <f t="shared" si="128"/>
        <v>9989.5490460992023</v>
      </c>
      <c r="P1732" s="132">
        <f t="shared" si="129"/>
        <v>802.67928961358405</v>
      </c>
      <c r="Q1732" s="261">
        <v>0.10519673442879669</v>
      </c>
      <c r="R1732" s="92"/>
    </row>
    <row r="1733" spans="1:18" x14ac:dyDescent="0.25">
      <c r="A1733" s="353">
        <v>43084</v>
      </c>
      <c r="B1733" s="353" t="s">
        <v>285</v>
      </c>
      <c r="C1733" s="263" t="s">
        <v>718</v>
      </c>
      <c r="D1733" s="157" t="s">
        <v>699</v>
      </c>
      <c r="E1733" s="44">
        <f t="shared" si="130"/>
        <v>43084</v>
      </c>
      <c r="F1733" s="146" t="str">
        <f t="shared" si="131"/>
        <v>2017-18</v>
      </c>
      <c r="G1733" s="1"/>
      <c r="H1733" s="161"/>
      <c r="I1733" s="37"/>
      <c r="J1733" s="135">
        <f t="shared" si="127"/>
        <v>0.76382508261777382</v>
      </c>
      <c r="K1733" s="112"/>
      <c r="L1733" s="37">
        <v>48.676806605700001</v>
      </c>
      <c r="M1733" s="37" t="s">
        <v>288</v>
      </c>
      <c r="N1733" s="37">
        <v>3336.4019512195118</v>
      </c>
      <c r="O1733" s="130">
        <f t="shared" si="128"/>
        <v>162405.39253839231</v>
      </c>
      <c r="P1733" s="132">
        <f t="shared" si="129"/>
        <v>13049.582569799362</v>
      </c>
      <c r="Q1733" s="261">
        <v>0.10519673442879669</v>
      </c>
      <c r="R1733" s="92"/>
    </row>
    <row r="1734" spans="1:18" x14ac:dyDescent="0.25">
      <c r="A1734" s="353">
        <v>43084</v>
      </c>
      <c r="B1734" s="353" t="s">
        <v>285</v>
      </c>
      <c r="C1734" s="263" t="s">
        <v>718</v>
      </c>
      <c r="D1734" s="157" t="s">
        <v>699</v>
      </c>
      <c r="E1734" s="44">
        <f t="shared" si="130"/>
        <v>43084</v>
      </c>
      <c r="F1734" s="146" t="str">
        <f t="shared" si="131"/>
        <v>2017-18</v>
      </c>
      <c r="G1734" s="1"/>
      <c r="H1734" s="161"/>
      <c r="I1734" s="37"/>
      <c r="J1734" s="135">
        <f t="shared" si="127"/>
        <v>0.76382508261777382</v>
      </c>
      <c r="K1734" s="112"/>
      <c r="L1734" s="37">
        <v>43.467872712899997</v>
      </c>
      <c r="M1734" s="37" t="s">
        <v>288</v>
      </c>
      <c r="N1734" s="37">
        <v>3336.4019512195118</v>
      </c>
      <c r="O1734" s="130">
        <f t="shared" si="128"/>
        <v>145026.29533468094</v>
      </c>
      <c r="P1734" s="132">
        <f t="shared" si="129"/>
        <v>11653.139013315929</v>
      </c>
      <c r="Q1734" s="261">
        <v>0.10519673442879669</v>
      </c>
      <c r="R1734" s="92"/>
    </row>
    <row r="1735" spans="1:18" x14ac:dyDescent="0.25">
      <c r="A1735" s="353">
        <v>43084</v>
      </c>
      <c r="B1735" s="353" t="s">
        <v>285</v>
      </c>
      <c r="C1735" s="263" t="s">
        <v>718</v>
      </c>
      <c r="D1735" s="157" t="s">
        <v>699</v>
      </c>
      <c r="E1735" s="44">
        <f t="shared" si="130"/>
        <v>43084</v>
      </c>
      <c r="F1735" s="146" t="str">
        <f t="shared" si="131"/>
        <v>2017-18</v>
      </c>
      <c r="G1735" s="1"/>
      <c r="H1735" s="161"/>
      <c r="I1735" s="37"/>
      <c r="J1735" s="135">
        <f t="shared" si="127"/>
        <v>0.76382508261777382</v>
      </c>
      <c r="K1735" s="112"/>
      <c r="L1735" s="37">
        <v>46.477493703900002</v>
      </c>
      <c r="M1735" s="37" t="s">
        <v>288</v>
      </c>
      <c r="N1735" s="37">
        <v>3336.4019512195118</v>
      </c>
      <c r="O1735" s="130">
        <f t="shared" si="128"/>
        <v>155067.60068148453</v>
      </c>
      <c r="P1735" s="132">
        <f t="shared" si="129"/>
        <v>12459.97702025406</v>
      </c>
      <c r="Q1735" s="261">
        <v>0.10519673442879669</v>
      </c>
      <c r="R1735" s="92"/>
    </row>
    <row r="1736" spans="1:18" x14ac:dyDescent="0.25">
      <c r="A1736" s="353">
        <v>43084</v>
      </c>
      <c r="B1736" s="353" t="s">
        <v>285</v>
      </c>
      <c r="C1736" s="263" t="s">
        <v>718</v>
      </c>
      <c r="D1736" s="157" t="s">
        <v>699</v>
      </c>
      <c r="E1736" s="44">
        <f t="shared" si="130"/>
        <v>43084</v>
      </c>
      <c r="F1736" s="146" t="str">
        <f t="shared" si="131"/>
        <v>2017-18</v>
      </c>
      <c r="G1736" s="1"/>
      <c r="H1736" s="161"/>
      <c r="I1736" s="37"/>
      <c r="J1736" s="135">
        <f t="shared" si="127"/>
        <v>0.76382508261777382</v>
      </c>
      <c r="K1736" s="112"/>
      <c r="L1736" s="37">
        <v>13.497177396</v>
      </c>
      <c r="M1736" s="37" t="s">
        <v>288</v>
      </c>
      <c r="N1736" s="37">
        <v>812.22926829268283</v>
      </c>
      <c r="O1736" s="130">
        <f t="shared" si="128"/>
        <v>10962.802520369618</v>
      </c>
      <c r="P1736" s="132">
        <f t="shared" si="129"/>
        <v>880.88205970222816</v>
      </c>
      <c r="Q1736" s="261">
        <v>0.10519673442879669</v>
      </c>
      <c r="R1736" s="92"/>
    </row>
    <row r="1737" spans="1:18" x14ac:dyDescent="0.25">
      <c r="A1737" s="353">
        <v>43084</v>
      </c>
      <c r="B1737" s="353" t="s">
        <v>285</v>
      </c>
      <c r="C1737" s="263" t="s">
        <v>718</v>
      </c>
      <c r="D1737" s="157" t="s">
        <v>699</v>
      </c>
      <c r="E1737" s="44">
        <f t="shared" si="130"/>
        <v>43084</v>
      </c>
      <c r="F1737" s="146" t="str">
        <f t="shared" si="131"/>
        <v>2017-18</v>
      </c>
      <c r="G1737" s="1"/>
      <c r="H1737" s="161"/>
      <c r="I1737" s="37"/>
      <c r="J1737" s="135">
        <f t="shared" si="127"/>
        <v>0.76382508261777382</v>
      </c>
      <c r="K1737" s="112"/>
      <c r="L1737" s="37">
        <v>31.485531994900001</v>
      </c>
      <c r="M1737" s="37" t="s">
        <v>288</v>
      </c>
      <c r="N1737" s="37">
        <v>3336.4019512195118</v>
      </c>
      <c r="O1737" s="130">
        <f t="shared" si="128"/>
        <v>105048.39038296873</v>
      </c>
      <c r="P1737" s="132">
        <f t="shared" si="129"/>
        <v>8440.8382178750908</v>
      </c>
      <c r="Q1737" s="261">
        <v>0.10519673442879669</v>
      </c>
      <c r="R1737" s="92"/>
    </row>
    <row r="1738" spans="1:18" x14ac:dyDescent="0.25">
      <c r="A1738" s="353">
        <v>43084</v>
      </c>
      <c r="B1738" s="353" t="s">
        <v>285</v>
      </c>
      <c r="C1738" s="263" t="s">
        <v>718</v>
      </c>
      <c r="D1738" s="157" t="s">
        <v>699</v>
      </c>
      <c r="E1738" s="44">
        <f t="shared" si="130"/>
        <v>43084</v>
      </c>
      <c r="F1738" s="146" t="str">
        <f t="shared" si="131"/>
        <v>2017-18</v>
      </c>
      <c r="G1738" s="1"/>
      <c r="H1738" s="161"/>
      <c r="I1738" s="37"/>
      <c r="J1738" s="135">
        <f t="shared" si="127"/>
        <v>0.76382508261777382</v>
      </c>
      <c r="K1738" s="112"/>
      <c r="L1738" s="37">
        <v>26.691162842099999</v>
      </c>
      <c r="M1738" s="37" t="s">
        <v>288</v>
      </c>
      <c r="N1738" s="37">
        <v>3336.4019512195118</v>
      </c>
      <c r="O1738" s="130">
        <f t="shared" si="128"/>
        <v>89052.44778670017</v>
      </c>
      <c r="P1738" s="132">
        <f t="shared" si="129"/>
        <v>7155.5337681325636</v>
      </c>
      <c r="Q1738" s="261">
        <v>0.10519673442879669</v>
      </c>
      <c r="R1738" s="92"/>
    </row>
    <row r="1739" spans="1:18" x14ac:dyDescent="0.25">
      <c r="A1739" s="353">
        <v>43084</v>
      </c>
      <c r="B1739" s="353" t="s">
        <v>285</v>
      </c>
      <c r="C1739" s="263" t="s">
        <v>718</v>
      </c>
      <c r="D1739" s="157" t="s">
        <v>699</v>
      </c>
      <c r="E1739" s="44">
        <f t="shared" si="130"/>
        <v>43084</v>
      </c>
      <c r="F1739" s="146" t="str">
        <f t="shared" si="131"/>
        <v>2017-18</v>
      </c>
      <c r="G1739" s="1"/>
      <c r="H1739" s="161"/>
      <c r="I1739" s="37"/>
      <c r="J1739" s="135">
        <f t="shared" si="127"/>
        <v>0.76382508261777382</v>
      </c>
      <c r="K1739" s="112"/>
      <c r="L1739" s="37">
        <v>15.3318575848</v>
      </c>
      <c r="M1739" s="37" t="s">
        <v>288</v>
      </c>
      <c r="N1739" s="37">
        <v>1162.6195121951216</v>
      </c>
      <c r="O1739" s="130">
        <f t="shared" si="128"/>
        <v>17825.116786285253</v>
      </c>
      <c r="P1739" s="132">
        <f t="shared" si="129"/>
        <v>1432.2820793278613</v>
      </c>
      <c r="Q1739" s="261">
        <v>0.10519673442879669</v>
      </c>
      <c r="R1739" s="92"/>
    </row>
    <row r="1740" spans="1:18" x14ac:dyDescent="0.25">
      <c r="A1740" s="353">
        <v>43084</v>
      </c>
      <c r="B1740" s="353" t="s">
        <v>285</v>
      </c>
      <c r="C1740" s="263" t="s">
        <v>718</v>
      </c>
      <c r="D1740" s="157" t="s">
        <v>699</v>
      </c>
      <c r="E1740" s="44">
        <f t="shared" si="130"/>
        <v>43084</v>
      </c>
      <c r="F1740" s="146" t="str">
        <f t="shared" si="131"/>
        <v>2017-18</v>
      </c>
      <c r="G1740" s="1"/>
      <c r="H1740" s="161"/>
      <c r="I1740" s="37"/>
      <c r="J1740" s="135">
        <f t="shared" si="127"/>
        <v>0.76382508261777382</v>
      </c>
      <c r="K1740" s="112"/>
      <c r="L1740" s="37">
        <v>31.524164332600002</v>
      </c>
      <c r="M1740" s="37" t="s">
        <v>288</v>
      </c>
      <c r="N1740" s="37">
        <v>3875.3912195121943</v>
      </c>
      <c r="O1740" s="130">
        <f t="shared" si="128"/>
        <v>122168.46965701754</v>
      </c>
      <c r="P1740" s="132">
        <f t="shared" si="129"/>
        <v>9816.4691904451483</v>
      </c>
      <c r="Q1740" s="261">
        <v>0.10519673442879669</v>
      </c>
      <c r="R1740" s="92"/>
    </row>
    <row r="1741" spans="1:18" x14ac:dyDescent="0.25">
      <c r="A1741" s="353">
        <v>43084</v>
      </c>
      <c r="B1741" s="353" t="s">
        <v>285</v>
      </c>
      <c r="C1741" s="263" t="s">
        <v>718</v>
      </c>
      <c r="D1741" s="157" t="s">
        <v>699</v>
      </c>
      <c r="E1741" s="44">
        <f t="shared" si="130"/>
        <v>43084</v>
      </c>
      <c r="F1741" s="146" t="str">
        <f t="shared" si="131"/>
        <v>2017-18</v>
      </c>
      <c r="G1741" s="1"/>
      <c r="H1741" s="161"/>
      <c r="I1741" s="37"/>
      <c r="J1741" s="135">
        <f t="shared" si="127"/>
        <v>0.76382508261777382</v>
      </c>
      <c r="K1741" s="112"/>
      <c r="L1741" s="37">
        <v>65.468131250200003</v>
      </c>
      <c r="M1741" s="37" t="s">
        <v>288</v>
      </c>
      <c r="N1741" s="37">
        <v>812.22926829268283</v>
      </c>
      <c r="O1741" s="130">
        <f t="shared" si="128"/>
        <v>53175.132341839271</v>
      </c>
      <c r="P1741" s="132">
        <f t="shared" si="129"/>
        <v>4272.7231485912662</v>
      </c>
      <c r="Q1741" s="261">
        <v>0.10519673442879669</v>
      </c>
      <c r="R1741" s="92"/>
    </row>
    <row r="1742" spans="1:18" x14ac:dyDescent="0.25">
      <c r="A1742" s="353">
        <v>43084</v>
      </c>
      <c r="B1742" s="353" t="s">
        <v>285</v>
      </c>
      <c r="C1742" s="263" t="s">
        <v>718</v>
      </c>
      <c r="D1742" s="157" t="s">
        <v>699</v>
      </c>
      <c r="E1742" s="44">
        <f t="shared" si="130"/>
        <v>43084</v>
      </c>
      <c r="F1742" s="146" t="str">
        <f t="shared" si="131"/>
        <v>2017-18</v>
      </c>
      <c r="G1742" s="1"/>
      <c r="H1742" s="161"/>
      <c r="I1742" s="37"/>
      <c r="J1742" s="135">
        <f t="shared" si="127"/>
        <v>0.76382508261777382</v>
      </c>
      <c r="K1742" s="112"/>
      <c r="L1742" s="37">
        <v>32.979196314399999</v>
      </c>
      <c r="M1742" s="37" t="s">
        <v>288</v>
      </c>
      <c r="N1742" s="37">
        <v>812.22926829268283</v>
      </c>
      <c r="O1742" s="130">
        <f t="shared" si="128"/>
        <v>26786.668491325854</v>
      </c>
      <c r="P1742" s="132">
        <f t="shared" si="129"/>
        <v>2152.3598249040015</v>
      </c>
      <c r="Q1742" s="261">
        <v>0.10519673442879669</v>
      </c>
      <c r="R1742" s="92"/>
    </row>
    <row r="1743" spans="1:18" x14ac:dyDescent="0.25">
      <c r="A1743" s="353">
        <v>43084</v>
      </c>
      <c r="B1743" s="353" t="s">
        <v>285</v>
      </c>
      <c r="C1743" s="263" t="s">
        <v>718</v>
      </c>
      <c r="D1743" s="157" t="s">
        <v>699</v>
      </c>
      <c r="E1743" s="44">
        <f t="shared" si="130"/>
        <v>43084</v>
      </c>
      <c r="F1743" s="146" t="str">
        <f t="shared" si="131"/>
        <v>2017-18</v>
      </c>
      <c r="G1743" s="1"/>
      <c r="H1743" s="161"/>
      <c r="I1743" s="37"/>
      <c r="J1743" s="135">
        <f t="shared" si="127"/>
        <v>0.76382508261777382</v>
      </c>
      <c r="K1743" s="112"/>
      <c r="L1743" s="37">
        <v>15.136106145899999</v>
      </c>
      <c r="M1743" s="37" t="s">
        <v>288</v>
      </c>
      <c r="N1743" s="37">
        <v>1162.6195121951216</v>
      </c>
      <c r="O1743" s="130">
        <f t="shared" si="128"/>
        <v>17597.53234387984</v>
      </c>
      <c r="P1743" s="132">
        <f t="shared" si="129"/>
        <v>1413.9952359764677</v>
      </c>
      <c r="Q1743" s="261">
        <v>0.10519673442879669</v>
      </c>
      <c r="R1743" s="92"/>
    </row>
    <row r="1744" spans="1:18" x14ac:dyDescent="0.25">
      <c r="A1744" s="353">
        <v>43084</v>
      </c>
      <c r="B1744" s="353" t="s">
        <v>285</v>
      </c>
      <c r="C1744" s="263" t="s">
        <v>718</v>
      </c>
      <c r="D1744" s="157" t="s">
        <v>699</v>
      </c>
      <c r="E1744" s="44">
        <f t="shared" si="130"/>
        <v>43084</v>
      </c>
      <c r="F1744" s="146" t="str">
        <f t="shared" si="131"/>
        <v>2017-18</v>
      </c>
      <c r="G1744" s="1"/>
      <c r="H1744" s="161"/>
      <c r="I1744" s="37"/>
      <c r="J1744" s="135">
        <f t="shared" si="127"/>
        <v>0.76382508261777382</v>
      </c>
      <c r="K1744" s="112"/>
      <c r="L1744" s="37">
        <v>15.035231874700001</v>
      </c>
      <c r="M1744" s="37" t="s">
        <v>288</v>
      </c>
      <c r="N1744" s="37">
        <v>812.22926829268283</v>
      </c>
      <c r="O1744" s="130">
        <f t="shared" si="128"/>
        <v>12212.055384198404</v>
      </c>
      <c r="P1744" s="132">
        <f t="shared" si="129"/>
        <v>981.26190634579484</v>
      </c>
      <c r="Q1744" s="261">
        <v>0.10519673442879669</v>
      </c>
      <c r="R1744" s="92"/>
    </row>
    <row r="1745" spans="1:18" x14ac:dyDescent="0.25">
      <c r="A1745" s="353">
        <v>43084</v>
      </c>
      <c r="B1745" s="353" t="s">
        <v>285</v>
      </c>
      <c r="C1745" s="263" t="s">
        <v>718</v>
      </c>
      <c r="D1745" s="157" t="s">
        <v>699</v>
      </c>
      <c r="E1745" s="44">
        <f t="shared" si="130"/>
        <v>43084</v>
      </c>
      <c r="F1745" s="146" t="str">
        <f t="shared" si="131"/>
        <v>2017-18</v>
      </c>
      <c r="G1745" s="1"/>
      <c r="H1745" s="161"/>
      <c r="I1745" s="37"/>
      <c r="J1745" s="135">
        <f t="shared" si="127"/>
        <v>0.76382508261777382</v>
      </c>
      <c r="K1745" s="112"/>
      <c r="L1745" s="37">
        <v>15.717288742299999</v>
      </c>
      <c r="M1745" s="37" t="s">
        <v>288</v>
      </c>
      <c r="N1745" s="37">
        <v>812.22926829268283</v>
      </c>
      <c r="O1745" s="130">
        <f t="shared" si="128"/>
        <v>12766.041934703149</v>
      </c>
      <c r="P1745" s="132">
        <f t="shared" si="129"/>
        <v>1025.7757806721108</v>
      </c>
      <c r="Q1745" s="261">
        <v>0.10519673442879669</v>
      </c>
      <c r="R1745" s="92"/>
    </row>
    <row r="1746" spans="1:18" x14ac:dyDescent="0.25">
      <c r="A1746" s="353">
        <v>43084</v>
      </c>
      <c r="B1746" s="353" t="s">
        <v>285</v>
      </c>
      <c r="C1746" s="263" t="s">
        <v>718</v>
      </c>
      <c r="D1746" s="157" t="s">
        <v>699</v>
      </c>
      <c r="E1746" s="44">
        <f t="shared" si="130"/>
        <v>43084</v>
      </c>
      <c r="F1746" s="146" t="str">
        <f t="shared" si="131"/>
        <v>2017-18</v>
      </c>
      <c r="G1746" s="1"/>
      <c r="H1746" s="161"/>
      <c r="I1746" s="37"/>
      <c r="J1746" s="135">
        <f t="shared" si="127"/>
        <v>0.76382508261777382</v>
      </c>
      <c r="K1746" s="112"/>
      <c r="L1746" s="37">
        <v>17.5776164631</v>
      </c>
      <c r="M1746" s="37" t="s">
        <v>288</v>
      </c>
      <c r="N1746" s="37">
        <v>1162.6195121951216</v>
      </c>
      <c r="O1746" s="130">
        <f t="shared" si="128"/>
        <v>20436.079877882261</v>
      </c>
      <c r="P1746" s="132">
        <f t="shared" si="129"/>
        <v>1642.0779359675307</v>
      </c>
      <c r="Q1746" s="261">
        <v>0.10519673442879669</v>
      </c>
      <c r="R1746" s="92"/>
    </row>
    <row r="1747" spans="1:18" x14ac:dyDescent="0.25">
      <c r="A1747" s="353">
        <v>43084</v>
      </c>
      <c r="B1747" s="353" t="s">
        <v>285</v>
      </c>
      <c r="C1747" s="263" t="s">
        <v>718</v>
      </c>
      <c r="D1747" s="157" t="s">
        <v>699</v>
      </c>
      <c r="E1747" s="44">
        <f t="shared" si="130"/>
        <v>43084</v>
      </c>
      <c r="F1747" s="146" t="str">
        <f t="shared" si="131"/>
        <v>2017-18</v>
      </c>
      <c r="G1747" s="1"/>
      <c r="H1747" s="161"/>
      <c r="I1747" s="37"/>
      <c r="J1747" s="135">
        <f t="shared" si="127"/>
        <v>0.76382508261777382</v>
      </c>
      <c r="K1747" s="112"/>
      <c r="L1747" s="37">
        <v>20.101266229899998</v>
      </c>
      <c r="M1747" s="37" t="s">
        <v>288</v>
      </c>
      <c r="N1747" s="37">
        <v>3336.4019512195118</v>
      </c>
      <c r="O1747" s="130">
        <f t="shared" si="128"/>
        <v>67065.903871421237</v>
      </c>
      <c r="P1747" s="132">
        <f t="shared" si="129"/>
        <v>5388.8730941089088</v>
      </c>
      <c r="Q1747" s="261">
        <v>0.10519673442879669</v>
      </c>
      <c r="R1747" s="92"/>
    </row>
    <row r="1748" spans="1:18" x14ac:dyDescent="0.25">
      <c r="A1748" s="353">
        <v>43084</v>
      </c>
      <c r="B1748" s="353" t="s">
        <v>285</v>
      </c>
      <c r="C1748" s="263" t="s">
        <v>718</v>
      </c>
      <c r="D1748" s="157" t="s">
        <v>699</v>
      </c>
      <c r="E1748" s="44">
        <f t="shared" si="130"/>
        <v>43084</v>
      </c>
      <c r="F1748" s="146" t="str">
        <f t="shared" si="131"/>
        <v>2017-18</v>
      </c>
      <c r="G1748" s="1"/>
      <c r="H1748" s="161"/>
      <c r="I1748" s="37"/>
      <c r="J1748" s="135">
        <f t="shared" si="127"/>
        <v>0.76382508261777382</v>
      </c>
      <c r="K1748" s="112"/>
      <c r="L1748" s="37">
        <v>26.4986043595</v>
      </c>
      <c r="M1748" s="37" t="s">
        <v>288</v>
      </c>
      <c r="N1748" s="37">
        <v>3336.4019512195118</v>
      </c>
      <c r="O1748" s="130">
        <f t="shared" si="128"/>
        <v>88409.99528962966</v>
      </c>
      <c r="P1748" s="132">
        <f t="shared" si="129"/>
        <v>7103.9114865281299</v>
      </c>
      <c r="Q1748" s="261">
        <v>0.10519673442879669</v>
      </c>
      <c r="R1748" s="92"/>
    </row>
    <row r="1749" spans="1:18" x14ac:dyDescent="0.25">
      <c r="A1749" s="353">
        <v>43084</v>
      </c>
      <c r="B1749" s="353" t="s">
        <v>285</v>
      </c>
      <c r="C1749" s="263" t="s">
        <v>718</v>
      </c>
      <c r="D1749" s="157" t="s">
        <v>699</v>
      </c>
      <c r="E1749" s="44">
        <f t="shared" si="130"/>
        <v>43084</v>
      </c>
      <c r="F1749" s="146" t="str">
        <f t="shared" si="131"/>
        <v>2017-18</v>
      </c>
      <c r="G1749" s="1"/>
      <c r="H1749" s="161"/>
      <c r="I1749" s="37"/>
      <c r="J1749" s="135">
        <f t="shared" si="127"/>
        <v>0.76382508261777382</v>
      </c>
      <c r="K1749" s="112"/>
      <c r="L1749" s="37">
        <v>10.9946623825</v>
      </c>
      <c r="M1749" s="37" t="s">
        <v>288</v>
      </c>
      <c r="N1749" s="37">
        <v>812.22926829268283</v>
      </c>
      <c r="O1749" s="130">
        <f t="shared" si="128"/>
        <v>8930.1865820630592</v>
      </c>
      <c r="P1749" s="132">
        <f t="shared" si="129"/>
        <v>717.55749821421443</v>
      </c>
      <c r="Q1749" s="261">
        <v>0.10519673442879669</v>
      </c>
      <c r="R1749" s="92"/>
    </row>
    <row r="1750" spans="1:18" x14ac:dyDescent="0.25">
      <c r="A1750" s="353">
        <v>43084</v>
      </c>
      <c r="B1750" s="353" t="s">
        <v>285</v>
      </c>
      <c r="C1750" s="263" t="s">
        <v>718</v>
      </c>
      <c r="D1750" s="157" t="s">
        <v>699</v>
      </c>
      <c r="E1750" s="44">
        <f t="shared" si="130"/>
        <v>43084</v>
      </c>
      <c r="F1750" s="146" t="str">
        <f t="shared" si="131"/>
        <v>2017-18</v>
      </c>
      <c r="G1750" s="1"/>
      <c r="H1750" s="161"/>
      <c r="I1750" s="37"/>
      <c r="J1750" s="135">
        <f t="shared" si="127"/>
        <v>0.76382508261777382</v>
      </c>
      <c r="K1750" s="112"/>
      <c r="L1750" s="37">
        <v>20.373534437299998</v>
      </c>
      <c r="M1750" s="37" t="s">
        <v>288</v>
      </c>
      <c r="N1750" s="37">
        <v>3336.4019512195118</v>
      </c>
      <c r="O1750" s="130">
        <f t="shared" si="128"/>
        <v>67974.300049845639</v>
      </c>
      <c r="P1750" s="132">
        <f t="shared" si="129"/>
        <v>5461.8644569642847</v>
      </c>
      <c r="Q1750" s="261">
        <v>0.10519673442879669</v>
      </c>
      <c r="R1750" s="92"/>
    </row>
    <row r="1751" spans="1:18" x14ac:dyDescent="0.25">
      <c r="A1751" s="353">
        <v>43084</v>
      </c>
      <c r="B1751" s="353" t="s">
        <v>285</v>
      </c>
      <c r="C1751" s="263" t="s">
        <v>718</v>
      </c>
      <c r="D1751" s="157" t="s">
        <v>699</v>
      </c>
      <c r="E1751" s="44">
        <f t="shared" si="130"/>
        <v>43084</v>
      </c>
      <c r="F1751" s="146" t="str">
        <f t="shared" si="131"/>
        <v>2017-18</v>
      </c>
      <c r="G1751" s="1"/>
      <c r="H1751" s="161"/>
      <c r="I1751" s="37"/>
      <c r="J1751" s="135">
        <f t="shared" si="127"/>
        <v>0.76382508261777382</v>
      </c>
      <c r="K1751" s="112"/>
      <c r="L1751" s="37">
        <v>5.40104008502</v>
      </c>
      <c r="M1751" s="37" t="s">
        <v>288</v>
      </c>
      <c r="N1751" s="37">
        <v>1162.6195121951216</v>
      </c>
      <c r="O1751" s="130">
        <f t="shared" si="128"/>
        <v>6279.3545889922507</v>
      </c>
      <c r="P1751" s="132">
        <f t="shared" si="129"/>
        <v>504.55809941613711</v>
      </c>
      <c r="Q1751" s="261">
        <v>0.10519673442879669</v>
      </c>
      <c r="R1751" s="92"/>
    </row>
    <row r="1752" spans="1:18" x14ac:dyDescent="0.25">
      <c r="A1752" s="353">
        <v>43084</v>
      </c>
      <c r="B1752" s="353" t="s">
        <v>285</v>
      </c>
      <c r="C1752" s="263" t="s">
        <v>718</v>
      </c>
      <c r="D1752" s="157" t="s">
        <v>699</v>
      </c>
      <c r="E1752" s="44">
        <f t="shared" si="130"/>
        <v>43084</v>
      </c>
      <c r="F1752" s="146" t="str">
        <f t="shared" si="131"/>
        <v>2017-18</v>
      </c>
      <c r="G1752" s="1"/>
      <c r="H1752" s="161"/>
      <c r="I1752" s="37"/>
      <c r="J1752" s="135">
        <f t="shared" si="127"/>
        <v>0.76382508261777382</v>
      </c>
      <c r="K1752" s="112"/>
      <c r="L1752" s="37">
        <v>31.485006374400001</v>
      </c>
      <c r="M1752" s="37" t="s">
        <v>288</v>
      </c>
      <c r="N1752" s="37">
        <v>3336.4019512195118</v>
      </c>
      <c r="O1752" s="130">
        <f t="shared" si="128"/>
        <v>105046.63670170693</v>
      </c>
      <c r="P1752" s="132">
        <f t="shared" si="129"/>
        <v>8440.6973062460529</v>
      </c>
      <c r="Q1752" s="261">
        <v>0.10519673442879669</v>
      </c>
      <c r="R1752" s="92"/>
    </row>
    <row r="1753" spans="1:18" x14ac:dyDescent="0.25">
      <c r="A1753" s="353">
        <v>43084</v>
      </c>
      <c r="B1753" s="353" t="s">
        <v>285</v>
      </c>
      <c r="C1753" s="263" t="s">
        <v>718</v>
      </c>
      <c r="D1753" s="157" t="s">
        <v>699</v>
      </c>
      <c r="E1753" s="44">
        <f t="shared" si="130"/>
        <v>43084</v>
      </c>
      <c r="F1753" s="146" t="str">
        <f t="shared" si="131"/>
        <v>2017-18</v>
      </c>
      <c r="G1753" s="1"/>
      <c r="H1753" s="161"/>
      <c r="I1753" s="37"/>
      <c r="J1753" s="135">
        <f t="shared" si="127"/>
        <v>0.76382508261777382</v>
      </c>
      <c r="K1753" s="112"/>
      <c r="L1753" s="37">
        <v>21.989525074599999</v>
      </c>
      <c r="M1753" s="37" t="s">
        <v>288</v>
      </c>
      <c r="N1753" s="37">
        <v>812.22926829268283</v>
      </c>
      <c r="O1753" s="130">
        <f t="shared" si="128"/>
        <v>17860.535861445958</v>
      </c>
      <c r="P1753" s="132">
        <f t="shared" si="129"/>
        <v>1435.1280694679135</v>
      </c>
      <c r="Q1753" s="261">
        <v>0.10519673442879669</v>
      </c>
      <c r="R1753" s="92"/>
    </row>
    <row r="1754" spans="1:18" x14ac:dyDescent="0.25">
      <c r="A1754" s="353">
        <v>43084</v>
      </c>
      <c r="B1754" s="353" t="s">
        <v>285</v>
      </c>
      <c r="C1754" s="263" t="s">
        <v>718</v>
      </c>
      <c r="D1754" s="157" t="s">
        <v>699</v>
      </c>
      <c r="E1754" s="44">
        <f t="shared" si="130"/>
        <v>43084</v>
      </c>
      <c r="F1754" s="146" t="str">
        <f t="shared" si="131"/>
        <v>2017-18</v>
      </c>
      <c r="G1754" s="1"/>
      <c r="H1754" s="161"/>
      <c r="I1754" s="37"/>
      <c r="J1754" s="135">
        <f t="shared" ref="J1754:J1817" si="132">J1753</f>
        <v>0.76382508261777382</v>
      </c>
      <c r="K1754" s="112"/>
      <c r="L1754" s="37">
        <v>20.606145752900002</v>
      </c>
      <c r="M1754" s="37" t="s">
        <v>288</v>
      </c>
      <c r="N1754" s="37">
        <v>3336.4019512195118</v>
      </c>
      <c r="O1754" s="130">
        <f t="shared" ref="O1754:O1817" si="133">IF(N1754="","-",L1754*N1754)</f>
        <v>68750.384897089229</v>
      </c>
      <c r="P1754" s="132">
        <f t="shared" ref="P1754:P1817" si="134">IF(O1754="-","-",IF(OR(E1754&lt;$E$15,E1754&gt;$E$16),0,O1754*J1754))*Q1754</f>
        <v>5524.2243523900552</v>
      </c>
      <c r="Q1754" s="261">
        <v>0.10519673442879669</v>
      </c>
      <c r="R1754" s="92"/>
    </row>
    <row r="1755" spans="1:18" x14ac:dyDescent="0.25">
      <c r="A1755" s="353">
        <v>43084</v>
      </c>
      <c r="B1755" s="353" t="s">
        <v>285</v>
      </c>
      <c r="C1755" s="263" t="s">
        <v>718</v>
      </c>
      <c r="D1755" s="157" t="s">
        <v>699</v>
      </c>
      <c r="E1755" s="44">
        <f t="shared" ref="E1755:E1818" si="135">IF(VALUE(A1755)&lt;2022,DATEVALUE("30 Jun "&amp;A1755),A1755)</f>
        <v>43084</v>
      </c>
      <c r="F1755" s="146" t="str">
        <f t="shared" si="131"/>
        <v>2017-18</v>
      </c>
      <c r="G1755" s="1"/>
      <c r="H1755" s="161"/>
      <c r="I1755" s="37"/>
      <c r="J1755" s="135">
        <f t="shared" si="132"/>
        <v>0.76382508261777382</v>
      </c>
      <c r="K1755" s="112"/>
      <c r="L1755" s="37">
        <v>29.764357801900001</v>
      </c>
      <c r="M1755" s="37" t="s">
        <v>288</v>
      </c>
      <c r="N1755" s="37">
        <v>3875.3912195121943</v>
      </c>
      <c r="O1755" s="130">
        <f t="shared" si="133"/>
        <v>115348.53087990254</v>
      </c>
      <c r="P1755" s="132">
        <f t="shared" si="134"/>
        <v>9268.4741220430933</v>
      </c>
      <c r="Q1755" s="261">
        <v>0.10519673442879669</v>
      </c>
      <c r="R1755" s="92"/>
    </row>
    <row r="1756" spans="1:18" x14ac:dyDescent="0.25">
      <c r="A1756" s="353">
        <v>43084</v>
      </c>
      <c r="B1756" s="353" t="s">
        <v>285</v>
      </c>
      <c r="C1756" s="263" t="s">
        <v>718</v>
      </c>
      <c r="D1756" s="157" t="s">
        <v>699</v>
      </c>
      <c r="E1756" s="44">
        <f t="shared" si="135"/>
        <v>43084</v>
      </c>
      <c r="F1756" s="146" t="str">
        <f t="shared" si="131"/>
        <v>2017-18</v>
      </c>
      <c r="G1756" s="1"/>
      <c r="H1756" s="161"/>
      <c r="I1756" s="37"/>
      <c r="J1756" s="135">
        <f t="shared" si="132"/>
        <v>0.76382508261777382</v>
      </c>
      <c r="K1756" s="112"/>
      <c r="L1756" s="37">
        <v>3.7586600005899999</v>
      </c>
      <c r="M1756" s="37" t="s">
        <v>288</v>
      </c>
      <c r="N1756" s="37">
        <v>1162.6195121951216</v>
      </c>
      <c r="O1756" s="130">
        <f t="shared" si="133"/>
        <v>4369.8914563932613</v>
      </c>
      <c r="P1756" s="132">
        <f t="shared" si="134"/>
        <v>351.12910039476674</v>
      </c>
      <c r="Q1756" s="261">
        <v>0.10519673442879669</v>
      </c>
      <c r="R1756" s="92"/>
    </row>
    <row r="1757" spans="1:18" x14ac:dyDescent="0.25">
      <c r="A1757" s="353">
        <v>43084</v>
      </c>
      <c r="B1757" s="353" t="s">
        <v>285</v>
      </c>
      <c r="C1757" s="263" t="s">
        <v>718</v>
      </c>
      <c r="D1757" s="157" t="s">
        <v>699</v>
      </c>
      <c r="E1757" s="44">
        <f t="shared" si="135"/>
        <v>43084</v>
      </c>
      <c r="F1757" s="146" t="str">
        <f t="shared" si="131"/>
        <v>2017-18</v>
      </c>
      <c r="G1757" s="1"/>
      <c r="H1757" s="161"/>
      <c r="I1757" s="37"/>
      <c r="J1757" s="135">
        <f t="shared" si="132"/>
        <v>0.76382508261777382</v>
      </c>
      <c r="K1757" s="112"/>
      <c r="L1757" s="37">
        <v>36.093853216299998</v>
      </c>
      <c r="M1757" s="37" t="s">
        <v>288</v>
      </c>
      <c r="N1757" s="37">
        <v>1162.6195121951216</v>
      </c>
      <c r="O1757" s="130">
        <f t="shared" si="133"/>
        <v>41963.418019577024</v>
      </c>
      <c r="P1757" s="132">
        <f t="shared" si="134"/>
        <v>3371.8405515877439</v>
      </c>
      <c r="Q1757" s="261">
        <v>0.10519673442879669</v>
      </c>
      <c r="R1757" s="92"/>
    </row>
    <row r="1758" spans="1:18" x14ac:dyDescent="0.25">
      <c r="A1758" s="353">
        <v>43084</v>
      </c>
      <c r="B1758" s="353" t="s">
        <v>285</v>
      </c>
      <c r="C1758" s="263" t="s">
        <v>718</v>
      </c>
      <c r="D1758" s="157" t="s">
        <v>699</v>
      </c>
      <c r="E1758" s="44">
        <f t="shared" si="135"/>
        <v>43084</v>
      </c>
      <c r="F1758" s="146" t="str">
        <f t="shared" si="131"/>
        <v>2017-18</v>
      </c>
      <c r="G1758" s="1"/>
      <c r="H1758" s="161"/>
      <c r="I1758" s="37"/>
      <c r="J1758" s="135">
        <f t="shared" si="132"/>
        <v>0.76382508261777382</v>
      </c>
      <c r="K1758" s="112"/>
      <c r="L1758" s="37">
        <v>111.26685346399999</v>
      </c>
      <c r="M1758" s="37" t="s">
        <v>288</v>
      </c>
      <c r="N1758" s="37">
        <v>3336.4019512195118</v>
      </c>
      <c r="O1758" s="130">
        <f t="shared" si="133"/>
        <v>371230.94700334506</v>
      </c>
      <c r="P1758" s="132">
        <f t="shared" si="134"/>
        <v>29829.113551385028</v>
      </c>
      <c r="Q1758" s="261">
        <v>0.10519673442879669</v>
      </c>
      <c r="R1758" s="92"/>
    </row>
    <row r="1759" spans="1:18" x14ac:dyDescent="0.25">
      <c r="A1759" s="353">
        <v>43084</v>
      </c>
      <c r="B1759" s="353" t="s">
        <v>285</v>
      </c>
      <c r="C1759" s="263" t="s">
        <v>718</v>
      </c>
      <c r="D1759" s="157" t="s">
        <v>699</v>
      </c>
      <c r="E1759" s="44">
        <f t="shared" si="135"/>
        <v>43084</v>
      </c>
      <c r="F1759" s="146" t="str">
        <f t="shared" si="131"/>
        <v>2017-18</v>
      </c>
      <c r="G1759" s="1"/>
      <c r="H1759" s="161"/>
      <c r="I1759" s="37"/>
      <c r="J1759" s="135">
        <f t="shared" si="132"/>
        <v>0.76382508261777382</v>
      </c>
      <c r="K1759" s="112"/>
      <c r="L1759" s="37">
        <v>94.432628473600005</v>
      </c>
      <c r="M1759" s="37" t="s">
        <v>288</v>
      </c>
      <c r="N1759" s="37">
        <v>812.22926829268283</v>
      </c>
      <c r="O1759" s="130">
        <f t="shared" si="133"/>
        <v>76700.944728066897</v>
      </c>
      <c r="P1759" s="132">
        <f t="shared" si="134"/>
        <v>6163.0669755864892</v>
      </c>
      <c r="Q1759" s="261">
        <v>0.10519673442879669</v>
      </c>
      <c r="R1759" s="92"/>
    </row>
    <row r="1760" spans="1:18" x14ac:dyDescent="0.25">
      <c r="A1760" s="353">
        <v>43084</v>
      </c>
      <c r="B1760" s="353" t="s">
        <v>285</v>
      </c>
      <c r="C1760" s="263" t="s">
        <v>718</v>
      </c>
      <c r="D1760" s="157" t="s">
        <v>699</v>
      </c>
      <c r="E1760" s="44">
        <f t="shared" si="135"/>
        <v>43084</v>
      </c>
      <c r="F1760" s="146" t="str">
        <f t="shared" si="131"/>
        <v>2017-18</v>
      </c>
      <c r="G1760" s="1"/>
      <c r="H1760" s="161"/>
      <c r="I1760" s="37"/>
      <c r="J1760" s="135">
        <f t="shared" si="132"/>
        <v>0.76382508261777382</v>
      </c>
      <c r="K1760" s="112"/>
      <c r="L1760" s="37">
        <v>115.66825155399999</v>
      </c>
      <c r="M1760" s="37" t="s">
        <v>288</v>
      </c>
      <c r="N1760" s="37">
        <v>812.22926829268283</v>
      </c>
      <c r="O1760" s="130">
        <f t="shared" si="133"/>
        <v>93949.139324399395</v>
      </c>
      <c r="P1760" s="132">
        <f t="shared" si="134"/>
        <v>7548.9922582805311</v>
      </c>
      <c r="Q1760" s="261">
        <v>0.10519673442879669</v>
      </c>
      <c r="R1760" s="92"/>
    </row>
    <row r="1761" spans="1:18" x14ac:dyDescent="0.25">
      <c r="A1761" s="353">
        <v>43084</v>
      </c>
      <c r="B1761" s="353" t="s">
        <v>285</v>
      </c>
      <c r="C1761" s="263" t="s">
        <v>718</v>
      </c>
      <c r="D1761" s="157" t="s">
        <v>699</v>
      </c>
      <c r="E1761" s="44">
        <f t="shared" si="135"/>
        <v>43084</v>
      </c>
      <c r="F1761" s="146" t="str">
        <f t="shared" si="131"/>
        <v>2017-18</v>
      </c>
      <c r="G1761" s="1"/>
      <c r="H1761" s="161"/>
      <c r="I1761" s="37"/>
      <c r="J1761" s="135">
        <f t="shared" si="132"/>
        <v>0.76382508261777382</v>
      </c>
      <c r="K1761" s="112"/>
      <c r="L1761" s="37">
        <v>25.163205727299999</v>
      </c>
      <c r="M1761" s="37" t="s">
        <v>288</v>
      </c>
      <c r="N1761" s="37">
        <v>3875.3912195121943</v>
      </c>
      <c r="O1761" s="130">
        <f t="shared" si="133"/>
        <v>97517.266530357374</v>
      </c>
      <c r="P1761" s="132">
        <f t="shared" si="134"/>
        <v>7835.6980743000877</v>
      </c>
      <c r="Q1761" s="261">
        <v>0.10519673442879669</v>
      </c>
      <c r="R1761" s="92"/>
    </row>
    <row r="1762" spans="1:18" x14ac:dyDescent="0.25">
      <c r="A1762" s="353">
        <v>43084</v>
      </c>
      <c r="B1762" s="353" t="s">
        <v>285</v>
      </c>
      <c r="C1762" s="263" t="s">
        <v>718</v>
      </c>
      <c r="D1762" s="157" t="s">
        <v>699</v>
      </c>
      <c r="E1762" s="44">
        <f t="shared" si="135"/>
        <v>43084</v>
      </c>
      <c r="F1762" s="146" t="str">
        <f t="shared" si="131"/>
        <v>2017-18</v>
      </c>
      <c r="G1762" s="1"/>
      <c r="H1762" s="161"/>
      <c r="I1762" s="37"/>
      <c r="J1762" s="135">
        <f t="shared" si="132"/>
        <v>0.76382508261777382</v>
      </c>
      <c r="K1762" s="112"/>
      <c r="L1762" s="37">
        <v>43.401363834599998</v>
      </c>
      <c r="M1762" s="37" t="s">
        <v>288</v>
      </c>
      <c r="N1762" s="37">
        <v>812.22926829268283</v>
      </c>
      <c r="O1762" s="130">
        <f t="shared" si="133"/>
        <v>35251.857990281664</v>
      </c>
      <c r="P1762" s="132">
        <f t="shared" si="134"/>
        <v>2832.5539219658222</v>
      </c>
      <c r="Q1762" s="261">
        <v>0.10519673442879669</v>
      </c>
      <c r="R1762" s="92"/>
    </row>
    <row r="1763" spans="1:18" x14ac:dyDescent="0.25">
      <c r="A1763" s="353">
        <v>43084</v>
      </c>
      <c r="B1763" s="353" t="s">
        <v>285</v>
      </c>
      <c r="C1763" s="263" t="s">
        <v>718</v>
      </c>
      <c r="D1763" s="157" t="s">
        <v>699</v>
      </c>
      <c r="E1763" s="44">
        <f t="shared" si="135"/>
        <v>43084</v>
      </c>
      <c r="F1763" s="146" t="str">
        <f t="shared" si="131"/>
        <v>2017-18</v>
      </c>
      <c r="G1763" s="1"/>
      <c r="H1763" s="161"/>
      <c r="I1763" s="37"/>
      <c r="J1763" s="135">
        <f t="shared" si="132"/>
        <v>0.76382508261777382</v>
      </c>
      <c r="K1763" s="112"/>
      <c r="L1763" s="37">
        <v>23.074868168599998</v>
      </c>
      <c r="M1763" s="37" t="s">
        <v>288</v>
      </c>
      <c r="N1763" s="37">
        <v>3875.3912195121943</v>
      </c>
      <c r="O1763" s="130">
        <f t="shared" si="133"/>
        <v>89424.141491993854</v>
      </c>
      <c r="P1763" s="132">
        <f t="shared" si="134"/>
        <v>7185.4000651938386</v>
      </c>
      <c r="Q1763" s="261">
        <v>0.10519673442879669</v>
      </c>
      <c r="R1763" s="92"/>
    </row>
    <row r="1764" spans="1:18" x14ac:dyDescent="0.25">
      <c r="A1764" s="353">
        <v>43084</v>
      </c>
      <c r="B1764" s="353" t="s">
        <v>285</v>
      </c>
      <c r="C1764" s="263" t="s">
        <v>718</v>
      </c>
      <c r="D1764" s="157" t="s">
        <v>699</v>
      </c>
      <c r="E1764" s="44">
        <f t="shared" si="135"/>
        <v>43084</v>
      </c>
      <c r="F1764" s="146" t="str">
        <f t="shared" si="131"/>
        <v>2017-18</v>
      </c>
      <c r="G1764" s="1"/>
      <c r="H1764" s="161"/>
      <c r="I1764" s="37"/>
      <c r="J1764" s="135">
        <f t="shared" si="132"/>
        <v>0.76382508261777382</v>
      </c>
      <c r="K1764" s="112"/>
      <c r="L1764" s="37">
        <v>25.467142941100001</v>
      </c>
      <c r="M1764" s="37" t="s">
        <v>288</v>
      </c>
      <c r="N1764" s="37">
        <v>812.22926829268283</v>
      </c>
      <c r="O1764" s="130">
        <f t="shared" si="133"/>
        <v>20685.158876554815</v>
      </c>
      <c r="P1764" s="132">
        <f t="shared" si="134"/>
        <v>1662.0919078484956</v>
      </c>
      <c r="Q1764" s="261">
        <v>0.10519673442879669</v>
      </c>
      <c r="R1764" s="92"/>
    </row>
    <row r="1765" spans="1:18" x14ac:dyDescent="0.25">
      <c r="A1765" s="353">
        <v>43084</v>
      </c>
      <c r="B1765" s="353" t="s">
        <v>285</v>
      </c>
      <c r="C1765" s="263" t="s">
        <v>718</v>
      </c>
      <c r="D1765" s="157" t="s">
        <v>699</v>
      </c>
      <c r="E1765" s="44">
        <f t="shared" si="135"/>
        <v>43084</v>
      </c>
      <c r="F1765" s="146" t="str">
        <f t="shared" si="131"/>
        <v>2017-18</v>
      </c>
      <c r="G1765" s="1"/>
      <c r="H1765" s="161"/>
      <c r="I1765" s="37"/>
      <c r="J1765" s="135">
        <f t="shared" si="132"/>
        <v>0.76382508261777382</v>
      </c>
      <c r="K1765" s="112"/>
      <c r="L1765" s="37">
        <v>90.954961394799994</v>
      </c>
      <c r="M1765" s="37" t="s">
        <v>288</v>
      </c>
      <c r="N1765" s="37">
        <v>3336.4019512195118</v>
      </c>
      <c r="O1765" s="130">
        <f t="shared" si="133"/>
        <v>303462.31067070609</v>
      </c>
      <c r="P1765" s="132">
        <f t="shared" si="134"/>
        <v>24383.774565757329</v>
      </c>
      <c r="Q1765" s="261">
        <v>0.10519673442879669</v>
      </c>
      <c r="R1765" s="92"/>
    </row>
    <row r="1766" spans="1:18" x14ac:dyDescent="0.25">
      <c r="A1766" s="353">
        <v>43084</v>
      </c>
      <c r="B1766" s="353" t="s">
        <v>285</v>
      </c>
      <c r="C1766" s="263" t="s">
        <v>718</v>
      </c>
      <c r="D1766" s="157" t="s">
        <v>699</v>
      </c>
      <c r="E1766" s="44">
        <f t="shared" si="135"/>
        <v>43084</v>
      </c>
      <c r="F1766" s="146" t="str">
        <f t="shared" si="131"/>
        <v>2017-18</v>
      </c>
      <c r="G1766" s="1"/>
      <c r="H1766" s="161"/>
      <c r="I1766" s="37"/>
      <c r="J1766" s="135">
        <f t="shared" si="132"/>
        <v>0.76382508261777382</v>
      </c>
      <c r="K1766" s="112"/>
      <c r="L1766" s="37">
        <v>84.960589583800001</v>
      </c>
      <c r="M1766" s="37" t="s">
        <v>288</v>
      </c>
      <c r="N1766" s="37">
        <v>812.22926829268283</v>
      </c>
      <c r="O1766" s="130">
        <f t="shared" si="133"/>
        <v>69007.477511364807</v>
      </c>
      <c r="P1766" s="132">
        <f t="shared" si="134"/>
        <v>5544.8822335455816</v>
      </c>
      <c r="Q1766" s="261">
        <v>0.10519673442879669</v>
      </c>
      <c r="R1766" s="92"/>
    </row>
    <row r="1767" spans="1:18" x14ac:dyDescent="0.25">
      <c r="A1767" s="353">
        <v>43084</v>
      </c>
      <c r="B1767" s="353" t="s">
        <v>285</v>
      </c>
      <c r="C1767" s="263" t="s">
        <v>718</v>
      </c>
      <c r="D1767" s="157" t="s">
        <v>699</v>
      </c>
      <c r="E1767" s="44">
        <f t="shared" si="135"/>
        <v>43084</v>
      </c>
      <c r="F1767" s="146" t="str">
        <f t="shared" si="131"/>
        <v>2017-18</v>
      </c>
      <c r="G1767" s="1"/>
      <c r="H1767" s="161"/>
      <c r="I1767" s="37"/>
      <c r="J1767" s="135">
        <f t="shared" si="132"/>
        <v>0.76382508261777382</v>
      </c>
      <c r="K1767" s="112"/>
      <c r="L1767" s="37">
        <v>12.5843526061</v>
      </c>
      <c r="M1767" s="37" t="s">
        <v>288</v>
      </c>
      <c r="N1767" s="37">
        <v>812.22926829268283</v>
      </c>
      <c r="O1767" s="130">
        <f t="shared" si="133"/>
        <v>10221.379509189719</v>
      </c>
      <c r="P1767" s="132">
        <f t="shared" si="134"/>
        <v>821.30730881300417</v>
      </c>
      <c r="Q1767" s="261">
        <v>0.10519673442879669</v>
      </c>
      <c r="R1767" s="92"/>
    </row>
    <row r="1768" spans="1:18" x14ac:dyDescent="0.25">
      <c r="A1768" s="353">
        <v>43084</v>
      </c>
      <c r="B1768" s="353" t="s">
        <v>285</v>
      </c>
      <c r="C1768" s="263" t="s">
        <v>718</v>
      </c>
      <c r="D1768" s="157" t="s">
        <v>699</v>
      </c>
      <c r="E1768" s="44">
        <f t="shared" si="135"/>
        <v>43084</v>
      </c>
      <c r="F1768" s="146" t="str">
        <f t="shared" si="131"/>
        <v>2017-18</v>
      </c>
      <c r="G1768" s="1"/>
      <c r="H1768" s="161"/>
      <c r="I1768" s="37"/>
      <c r="J1768" s="135">
        <f t="shared" si="132"/>
        <v>0.76382508261777382</v>
      </c>
      <c r="K1768" s="112"/>
      <c r="L1768" s="37">
        <v>43.480632716199999</v>
      </c>
      <c r="M1768" s="37" t="s">
        <v>288</v>
      </c>
      <c r="N1768" s="37">
        <v>812.22926829268283</v>
      </c>
      <c r="O1768" s="130">
        <f t="shared" si="133"/>
        <v>35316.242495982013</v>
      </c>
      <c r="P1768" s="132">
        <f t="shared" si="134"/>
        <v>2837.7273396105215</v>
      </c>
      <c r="Q1768" s="261">
        <v>0.10519673442879669</v>
      </c>
      <c r="R1768" s="92"/>
    </row>
    <row r="1769" spans="1:18" x14ac:dyDescent="0.25">
      <c r="A1769" s="353">
        <v>43084</v>
      </c>
      <c r="B1769" s="353" t="s">
        <v>285</v>
      </c>
      <c r="C1769" s="263" t="s">
        <v>718</v>
      </c>
      <c r="D1769" s="157" t="s">
        <v>699</v>
      </c>
      <c r="E1769" s="44">
        <f t="shared" si="135"/>
        <v>43084</v>
      </c>
      <c r="F1769" s="146" t="str">
        <f t="shared" si="131"/>
        <v>2017-18</v>
      </c>
      <c r="G1769" s="1"/>
      <c r="H1769" s="161"/>
      <c r="I1769" s="37"/>
      <c r="J1769" s="135">
        <f t="shared" si="132"/>
        <v>0.76382508261777382</v>
      </c>
      <c r="K1769" s="112"/>
      <c r="L1769" s="37">
        <v>11.9933993366</v>
      </c>
      <c r="M1769" s="37" t="s">
        <v>288</v>
      </c>
      <c r="N1769" s="37">
        <v>812.22926829268283</v>
      </c>
      <c r="O1769" s="130">
        <f t="shared" si="133"/>
        <v>9741.389967508565</v>
      </c>
      <c r="P1769" s="132">
        <f t="shared" si="134"/>
        <v>782.73923506306585</v>
      </c>
      <c r="Q1769" s="261">
        <v>0.10519673442879669</v>
      </c>
      <c r="R1769" s="92"/>
    </row>
    <row r="1770" spans="1:18" x14ac:dyDescent="0.25">
      <c r="A1770" s="353">
        <v>43084</v>
      </c>
      <c r="B1770" s="353" t="s">
        <v>285</v>
      </c>
      <c r="C1770" s="263" t="s">
        <v>718</v>
      </c>
      <c r="D1770" s="157" t="s">
        <v>699</v>
      </c>
      <c r="E1770" s="44">
        <f t="shared" si="135"/>
        <v>43084</v>
      </c>
      <c r="F1770" s="146" t="str">
        <f t="shared" si="131"/>
        <v>2017-18</v>
      </c>
      <c r="G1770" s="1"/>
      <c r="H1770" s="161"/>
      <c r="I1770" s="37"/>
      <c r="J1770" s="135">
        <f t="shared" si="132"/>
        <v>0.76382508261777382</v>
      </c>
      <c r="K1770" s="112"/>
      <c r="L1770" s="37">
        <v>27.862510462700001</v>
      </c>
      <c r="M1770" s="37" t="s">
        <v>288</v>
      </c>
      <c r="N1770" s="37">
        <v>812.22926829268283</v>
      </c>
      <c r="O1770" s="130">
        <f t="shared" si="133"/>
        <v>22630.746485916043</v>
      </c>
      <c r="P1770" s="132">
        <f t="shared" si="134"/>
        <v>1818.4235773719438</v>
      </c>
      <c r="Q1770" s="261">
        <v>0.10519673442879669</v>
      </c>
      <c r="R1770" s="92"/>
    </row>
    <row r="1771" spans="1:18" x14ac:dyDescent="0.25">
      <c r="A1771" s="353">
        <v>43084</v>
      </c>
      <c r="B1771" s="353" t="s">
        <v>285</v>
      </c>
      <c r="C1771" s="263" t="s">
        <v>718</v>
      </c>
      <c r="D1771" s="157" t="s">
        <v>699</v>
      </c>
      <c r="E1771" s="44">
        <f t="shared" si="135"/>
        <v>43084</v>
      </c>
      <c r="F1771" s="146" t="str">
        <f t="shared" si="131"/>
        <v>2017-18</v>
      </c>
      <c r="G1771" s="1"/>
      <c r="H1771" s="161"/>
      <c r="I1771" s="37"/>
      <c r="J1771" s="135">
        <f t="shared" si="132"/>
        <v>0.76382508261777382</v>
      </c>
      <c r="K1771" s="112"/>
      <c r="L1771" s="37">
        <v>79.785238048799997</v>
      </c>
      <c r="M1771" s="37" t="s">
        <v>288</v>
      </c>
      <c r="N1771" s="37">
        <v>3336.4019512195118</v>
      </c>
      <c r="O1771" s="130">
        <f t="shared" si="133"/>
        <v>266195.62390452955</v>
      </c>
      <c r="P1771" s="132">
        <f t="shared" si="134"/>
        <v>21389.325314676542</v>
      </c>
      <c r="Q1771" s="261">
        <v>0.10519673442879669</v>
      </c>
      <c r="R1771" s="92"/>
    </row>
    <row r="1772" spans="1:18" x14ac:dyDescent="0.25">
      <c r="A1772" s="353">
        <v>43084</v>
      </c>
      <c r="B1772" s="353" t="s">
        <v>285</v>
      </c>
      <c r="C1772" s="263" t="s">
        <v>718</v>
      </c>
      <c r="D1772" s="157" t="s">
        <v>699</v>
      </c>
      <c r="E1772" s="44">
        <f t="shared" si="135"/>
        <v>43084</v>
      </c>
      <c r="F1772" s="146" t="str">
        <f t="shared" si="131"/>
        <v>2017-18</v>
      </c>
      <c r="G1772" s="1"/>
      <c r="H1772" s="161"/>
      <c r="I1772" s="37"/>
      <c r="J1772" s="135">
        <f t="shared" si="132"/>
        <v>0.76382508261777382</v>
      </c>
      <c r="K1772" s="112"/>
      <c r="L1772" s="37">
        <v>41.080532305699997</v>
      </c>
      <c r="M1772" s="37" t="s">
        <v>288</v>
      </c>
      <c r="N1772" s="37">
        <v>812.22926829268283</v>
      </c>
      <c r="O1772" s="130">
        <f t="shared" si="133"/>
        <v>33366.810695732624</v>
      </c>
      <c r="P1772" s="132">
        <f t="shared" si="134"/>
        <v>2681.086782028462</v>
      </c>
      <c r="Q1772" s="261">
        <v>0.10519673442879669</v>
      </c>
      <c r="R1772" s="92"/>
    </row>
    <row r="1773" spans="1:18" x14ac:dyDescent="0.25">
      <c r="A1773" s="353">
        <v>43084</v>
      </c>
      <c r="B1773" s="353" t="s">
        <v>285</v>
      </c>
      <c r="C1773" s="263" t="s">
        <v>718</v>
      </c>
      <c r="D1773" s="157" t="s">
        <v>699</v>
      </c>
      <c r="E1773" s="44">
        <f t="shared" si="135"/>
        <v>43084</v>
      </c>
      <c r="F1773" s="146" t="str">
        <f t="shared" si="131"/>
        <v>2017-18</v>
      </c>
      <c r="G1773" s="1"/>
      <c r="H1773" s="161"/>
      <c r="I1773" s="37"/>
      <c r="J1773" s="135">
        <f t="shared" si="132"/>
        <v>0.76382508261777382</v>
      </c>
      <c r="K1773" s="112"/>
      <c r="L1773" s="37">
        <v>11.6876412256</v>
      </c>
      <c r="M1773" s="37" t="s">
        <v>288</v>
      </c>
      <c r="N1773" s="37">
        <v>3336.4019512195118</v>
      </c>
      <c r="O1773" s="130">
        <f t="shared" si="133"/>
        <v>38994.668990245445</v>
      </c>
      <c r="P1773" s="132">
        <f t="shared" si="134"/>
        <v>3133.2959134956568</v>
      </c>
      <c r="Q1773" s="261">
        <v>0.10519673442879669</v>
      </c>
      <c r="R1773" s="92"/>
    </row>
    <row r="1774" spans="1:18" x14ac:dyDescent="0.25">
      <c r="A1774" s="353">
        <v>43084</v>
      </c>
      <c r="B1774" s="353" t="s">
        <v>285</v>
      </c>
      <c r="C1774" s="263" t="s">
        <v>718</v>
      </c>
      <c r="D1774" s="157" t="s">
        <v>699</v>
      </c>
      <c r="E1774" s="44">
        <f t="shared" si="135"/>
        <v>43084</v>
      </c>
      <c r="F1774" s="146" t="str">
        <f t="shared" si="131"/>
        <v>2017-18</v>
      </c>
      <c r="G1774" s="1"/>
      <c r="H1774" s="161"/>
      <c r="I1774" s="37"/>
      <c r="J1774" s="135">
        <f t="shared" si="132"/>
        <v>0.76382508261777382</v>
      </c>
      <c r="K1774" s="112"/>
      <c r="L1774" s="37">
        <v>13.5506199524</v>
      </c>
      <c r="M1774" s="37" t="s">
        <v>288</v>
      </c>
      <c r="N1774" s="37">
        <v>812.22926829268283</v>
      </c>
      <c r="O1774" s="130">
        <f t="shared" si="133"/>
        <v>11006.21012885008</v>
      </c>
      <c r="P1774" s="132">
        <f t="shared" si="134"/>
        <v>884.36994370761556</v>
      </c>
      <c r="Q1774" s="261">
        <v>0.10519673442879669</v>
      </c>
      <c r="R1774" s="92"/>
    </row>
    <row r="1775" spans="1:18" x14ac:dyDescent="0.25">
      <c r="A1775" s="353">
        <v>43084</v>
      </c>
      <c r="B1775" s="353" t="s">
        <v>285</v>
      </c>
      <c r="C1775" s="263" t="s">
        <v>718</v>
      </c>
      <c r="D1775" s="157" t="s">
        <v>699</v>
      </c>
      <c r="E1775" s="44">
        <f t="shared" si="135"/>
        <v>43084</v>
      </c>
      <c r="F1775" s="146" t="str">
        <f t="shared" si="131"/>
        <v>2017-18</v>
      </c>
      <c r="G1775" s="1"/>
      <c r="H1775" s="161"/>
      <c r="I1775" s="37"/>
      <c r="J1775" s="135">
        <f t="shared" si="132"/>
        <v>0.76382508261777382</v>
      </c>
      <c r="K1775" s="112"/>
      <c r="L1775" s="37">
        <v>12.5135244036</v>
      </c>
      <c r="M1775" s="37" t="s">
        <v>288</v>
      </c>
      <c r="N1775" s="37">
        <v>812.22926829268283</v>
      </c>
      <c r="O1775" s="130">
        <f t="shared" si="133"/>
        <v>10163.850770098657</v>
      </c>
      <c r="P1775" s="132">
        <f t="shared" si="134"/>
        <v>816.68476507125126</v>
      </c>
      <c r="Q1775" s="261">
        <v>0.10519673442879669</v>
      </c>
      <c r="R1775" s="92"/>
    </row>
    <row r="1776" spans="1:18" x14ac:dyDescent="0.25">
      <c r="A1776" s="353">
        <v>43084</v>
      </c>
      <c r="B1776" s="353" t="s">
        <v>285</v>
      </c>
      <c r="C1776" s="263" t="s">
        <v>718</v>
      </c>
      <c r="D1776" s="157" t="s">
        <v>699</v>
      </c>
      <c r="E1776" s="44">
        <f t="shared" si="135"/>
        <v>43084</v>
      </c>
      <c r="F1776" s="146" t="str">
        <f t="shared" si="131"/>
        <v>2017-18</v>
      </c>
      <c r="G1776" s="1"/>
      <c r="H1776" s="161"/>
      <c r="I1776" s="37"/>
      <c r="J1776" s="135">
        <f t="shared" si="132"/>
        <v>0.76382508261777382</v>
      </c>
      <c r="K1776" s="112"/>
      <c r="L1776" s="37">
        <v>8.1914630318700006</v>
      </c>
      <c r="M1776" s="37" t="s">
        <v>288</v>
      </c>
      <c r="N1776" s="37">
        <v>812.22926829268283</v>
      </c>
      <c r="O1776" s="130">
        <f t="shared" si="133"/>
        <v>6653.3460246223322</v>
      </c>
      <c r="P1776" s="132">
        <f t="shared" si="134"/>
        <v>534.60902348566162</v>
      </c>
      <c r="Q1776" s="261">
        <v>0.10519673442879669</v>
      </c>
      <c r="R1776" s="92"/>
    </row>
    <row r="1777" spans="1:18" x14ac:dyDescent="0.25">
      <c r="A1777" s="353">
        <v>43084</v>
      </c>
      <c r="B1777" s="353" t="s">
        <v>285</v>
      </c>
      <c r="C1777" s="263" t="s">
        <v>718</v>
      </c>
      <c r="D1777" s="157" t="s">
        <v>699</v>
      </c>
      <c r="E1777" s="44">
        <f t="shared" si="135"/>
        <v>43084</v>
      </c>
      <c r="F1777" s="146" t="str">
        <f t="shared" si="131"/>
        <v>2017-18</v>
      </c>
      <c r="G1777" s="1"/>
      <c r="H1777" s="161"/>
      <c r="I1777" s="37"/>
      <c r="J1777" s="135">
        <f t="shared" si="132"/>
        <v>0.76382508261777382</v>
      </c>
      <c r="K1777" s="112"/>
      <c r="L1777" s="37">
        <v>47.4787828495</v>
      </c>
      <c r="M1777" s="37" t="s">
        <v>288</v>
      </c>
      <c r="N1777" s="37">
        <v>3336.4019512195118</v>
      </c>
      <c r="O1777" s="130">
        <f t="shared" si="133"/>
        <v>158408.30374059928</v>
      </c>
      <c r="P1777" s="132">
        <f t="shared" si="134"/>
        <v>12728.408872975906</v>
      </c>
      <c r="Q1777" s="261">
        <v>0.10519673442879669</v>
      </c>
      <c r="R1777" s="92"/>
    </row>
    <row r="1778" spans="1:18" x14ac:dyDescent="0.25">
      <c r="A1778" s="353">
        <v>43084</v>
      </c>
      <c r="B1778" s="353" t="s">
        <v>285</v>
      </c>
      <c r="C1778" s="263" t="s">
        <v>718</v>
      </c>
      <c r="D1778" s="157" t="s">
        <v>699</v>
      </c>
      <c r="E1778" s="44">
        <f t="shared" si="135"/>
        <v>43084</v>
      </c>
      <c r="F1778" s="146" t="str">
        <f t="shared" si="131"/>
        <v>2017-18</v>
      </c>
      <c r="G1778" s="1"/>
      <c r="H1778" s="161"/>
      <c r="I1778" s="37"/>
      <c r="J1778" s="135">
        <f t="shared" si="132"/>
        <v>0.76382508261777382</v>
      </c>
      <c r="K1778" s="112"/>
      <c r="L1778" s="37">
        <v>25.040397601799999</v>
      </c>
      <c r="M1778" s="37" t="s">
        <v>288</v>
      </c>
      <c r="N1778" s="37">
        <v>812.22926829268283</v>
      </c>
      <c r="O1778" s="130">
        <f t="shared" si="133"/>
        <v>20338.543821867865</v>
      </c>
      <c r="P1778" s="132">
        <f t="shared" si="134"/>
        <v>1634.2407281224059</v>
      </c>
      <c r="Q1778" s="261">
        <v>0.10519673442879669</v>
      </c>
      <c r="R1778" s="92"/>
    </row>
    <row r="1779" spans="1:18" x14ac:dyDescent="0.25">
      <c r="A1779" s="353">
        <v>43084</v>
      </c>
      <c r="B1779" s="353" t="s">
        <v>285</v>
      </c>
      <c r="C1779" s="263" t="s">
        <v>718</v>
      </c>
      <c r="D1779" s="157" t="s">
        <v>699</v>
      </c>
      <c r="E1779" s="44">
        <f t="shared" si="135"/>
        <v>43084</v>
      </c>
      <c r="F1779" s="146" t="str">
        <f t="shared" si="131"/>
        <v>2017-18</v>
      </c>
      <c r="G1779" s="1"/>
      <c r="H1779" s="161"/>
      <c r="I1779" s="37"/>
      <c r="J1779" s="135">
        <f t="shared" si="132"/>
        <v>0.76382508261777382</v>
      </c>
      <c r="K1779" s="112"/>
      <c r="L1779" s="37">
        <v>27.714212616600001</v>
      </c>
      <c r="M1779" s="37" t="s">
        <v>288</v>
      </c>
      <c r="N1779" s="37">
        <v>812.22926829268283</v>
      </c>
      <c r="O1779" s="130">
        <f t="shared" si="133"/>
        <v>22510.294634888858</v>
      </c>
      <c r="P1779" s="132">
        <f t="shared" si="134"/>
        <v>1808.7450417574762</v>
      </c>
      <c r="Q1779" s="261">
        <v>0.10519673442879669</v>
      </c>
      <c r="R1779" s="92"/>
    </row>
    <row r="1780" spans="1:18" x14ac:dyDescent="0.25">
      <c r="A1780" s="353">
        <v>43084</v>
      </c>
      <c r="B1780" s="353" t="s">
        <v>285</v>
      </c>
      <c r="C1780" s="263" t="s">
        <v>718</v>
      </c>
      <c r="D1780" s="157" t="s">
        <v>699</v>
      </c>
      <c r="E1780" s="44">
        <f t="shared" si="135"/>
        <v>43084</v>
      </c>
      <c r="F1780" s="146" t="str">
        <f t="shared" si="131"/>
        <v>2017-18</v>
      </c>
      <c r="G1780" s="1"/>
      <c r="H1780" s="161"/>
      <c r="I1780" s="37"/>
      <c r="J1780" s="135">
        <f t="shared" si="132"/>
        <v>0.76382508261777382</v>
      </c>
      <c r="K1780" s="112"/>
      <c r="L1780" s="37">
        <v>37.482216039100003</v>
      </c>
      <c r="M1780" s="37" t="s">
        <v>288</v>
      </c>
      <c r="N1780" s="37">
        <v>812.22926829268283</v>
      </c>
      <c r="O1780" s="130">
        <f t="shared" si="133"/>
        <v>30444.152907426454</v>
      </c>
      <c r="P1780" s="132">
        <f t="shared" si="134"/>
        <v>2446.2456629273679</v>
      </c>
      <c r="Q1780" s="261">
        <v>0.10519673442879669</v>
      </c>
      <c r="R1780" s="92"/>
    </row>
    <row r="1781" spans="1:18" x14ac:dyDescent="0.25">
      <c r="A1781" s="353">
        <v>43084</v>
      </c>
      <c r="B1781" s="353" t="s">
        <v>285</v>
      </c>
      <c r="C1781" s="263" t="s">
        <v>718</v>
      </c>
      <c r="D1781" s="157" t="s">
        <v>699</v>
      </c>
      <c r="E1781" s="44">
        <f t="shared" si="135"/>
        <v>43084</v>
      </c>
      <c r="F1781" s="146" t="str">
        <f t="shared" si="131"/>
        <v>2017-18</v>
      </c>
      <c r="G1781" s="1"/>
      <c r="H1781" s="161"/>
      <c r="I1781" s="37"/>
      <c r="J1781" s="135">
        <f t="shared" si="132"/>
        <v>0.76382508261777382</v>
      </c>
      <c r="K1781" s="112"/>
      <c r="L1781" s="37">
        <v>82.4627637599</v>
      </c>
      <c r="M1781" s="37" t="s">
        <v>288</v>
      </c>
      <c r="N1781" s="37">
        <v>1162.6195121951216</v>
      </c>
      <c r="O1781" s="130">
        <f t="shared" si="133"/>
        <v>95872.818176796485</v>
      </c>
      <c r="P1781" s="132">
        <f t="shared" si="134"/>
        <v>7703.5635174596146</v>
      </c>
      <c r="Q1781" s="261">
        <v>0.10519673442879669</v>
      </c>
      <c r="R1781" s="92"/>
    </row>
    <row r="1782" spans="1:18" x14ac:dyDescent="0.25">
      <c r="A1782" s="353">
        <v>43084</v>
      </c>
      <c r="B1782" s="353" t="s">
        <v>285</v>
      </c>
      <c r="C1782" s="263" t="s">
        <v>718</v>
      </c>
      <c r="D1782" s="157" t="s">
        <v>699</v>
      </c>
      <c r="E1782" s="44">
        <f t="shared" si="135"/>
        <v>43084</v>
      </c>
      <c r="F1782" s="146" t="str">
        <f t="shared" si="131"/>
        <v>2017-18</v>
      </c>
      <c r="G1782" s="1"/>
      <c r="H1782" s="161"/>
      <c r="I1782" s="37"/>
      <c r="J1782" s="135">
        <f t="shared" si="132"/>
        <v>0.76382508261777382</v>
      </c>
      <c r="K1782" s="112"/>
      <c r="L1782" s="37">
        <v>73.444337881699994</v>
      </c>
      <c r="M1782" s="37" t="s">
        <v>288</v>
      </c>
      <c r="N1782" s="37">
        <v>1162.6195121951216</v>
      </c>
      <c r="O1782" s="130">
        <f t="shared" si="133"/>
        <v>85387.820281515742</v>
      </c>
      <c r="P1782" s="132">
        <f t="shared" si="134"/>
        <v>6861.0739692982543</v>
      </c>
      <c r="Q1782" s="261">
        <v>0.10519673442879669</v>
      </c>
      <c r="R1782" s="92"/>
    </row>
    <row r="1783" spans="1:18" x14ac:dyDescent="0.25">
      <c r="A1783" s="353">
        <v>43084</v>
      </c>
      <c r="B1783" s="353" t="s">
        <v>285</v>
      </c>
      <c r="C1783" s="263" t="s">
        <v>718</v>
      </c>
      <c r="D1783" s="157" t="s">
        <v>699</v>
      </c>
      <c r="E1783" s="44">
        <f t="shared" si="135"/>
        <v>43084</v>
      </c>
      <c r="F1783" s="146" t="str">
        <f t="shared" si="131"/>
        <v>2017-18</v>
      </c>
      <c r="G1783" s="1"/>
      <c r="H1783" s="161"/>
      <c r="I1783" s="37"/>
      <c r="J1783" s="135">
        <f t="shared" si="132"/>
        <v>0.76382508261777382</v>
      </c>
      <c r="K1783" s="112"/>
      <c r="L1783" s="37">
        <v>50.210090655999998</v>
      </c>
      <c r="M1783" s="37" t="s">
        <v>288</v>
      </c>
      <c r="N1783" s="37">
        <v>812.22926829268283</v>
      </c>
      <c r="O1783" s="130">
        <f t="shared" si="133"/>
        <v>40782.105194432152</v>
      </c>
      <c r="P1783" s="132">
        <f t="shared" si="134"/>
        <v>3276.9198164351428</v>
      </c>
      <c r="Q1783" s="261">
        <v>0.10519673442879669</v>
      </c>
      <c r="R1783" s="92"/>
    </row>
    <row r="1784" spans="1:18" x14ac:dyDescent="0.25">
      <c r="A1784" s="353">
        <v>43084</v>
      </c>
      <c r="B1784" s="353" t="s">
        <v>285</v>
      </c>
      <c r="C1784" s="263" t="s">
        <v>718</v>
      </c>
      <c r="D1784" s="157" t="s">
        <v>699</v>
      </c>
      <c r="E1784" s="44">
        <f t="shared" si="135"/>
        <v>43084</v>
      </c>
      <c r="F1784" s="146" t="str">
        <f t="shared" si="131"/>
        <v>2017-18</v>
      </c>
      <c r="G1784" s="1"/>
      <c r="H1784" s="161"/>
      <c r="I1784" s="37"/>
      <c r="J1784" s="135">
        <f t="shared" si="132"/>
        <v>0.76382508261777382</v>
      </c>
      <c r="K1784" s="112"/>
      <c r="L1784" s="37">
        <v>26.925680033799999</v>
      </c>
      <c r="M1784" s="37" t="s">
        <v>288</v>
      </c>
      <c r="N1784" s="37">
        <v>3875.3912195121943</v>
      </c>
      <c r="O1784" s="130">
        <f t="shared" si="133"/>
        <v>104347.54398238331</v>
      </c>
      <c r="P1784" s="132">
        <f t="shared" si="134"/>
        <v>8384.5238749198579</v>
      </c>
      <c r="Q1784" s="261">
        <v>0.10519673442879669</v>
      </c>
      <c r="R1784" s="92"/>
    </row>
    <row r="1785" spans="1:18" x14ac:dyDescent="0.25">
      <c r="A1785" s="353">
        <v>43084</v>
      </c>
      <c r="B1785" s="353" t="s">
        <v>285</v>
      </c>
      <c r="C1785" s="263" t="s">
        <v>718</v>
      </c>
      <c r="D1785" s="157" t="s">
        <v>699</v>
      </c>
      <c r="E1785" s="44">
        <f t="shared" si="135"/>
        <v>43084</v>
      </c>
      <c r="F1785" s="146" t="str">
        <f t="shared" si="131"/>
        <v>2017-18</v>
      </c>
      <c r="G1785" s="1"/>
      <c r="H1785" s="161"/>
      <c r="I1785" s="37"/>
      <c r="J1785" s="135">
        <f t="shared" si="132"/>
        <v>0.76382508261777382</v>
      </c>
      <c r="K1785" s="112"/>
      <c r="L1785" s="37">
        <v>24.688631795100001</v>
      </c>
      <c r="M1785" s="37" t="s">
        <v>288</v>
      </c>
      <c r="N1785" s="37">
        <v>1162.6195121951216</v>
      </c>
      <c r="O1785" s="130">
        <f t="shared" si="133"/>
        <v>28703.485054384131</v>
      </c>
      <c r="P1785" s="132">
        <f t="shared" si="134"/>
        <v>2306.3796860663997</v>
      </c>
      <c r="Q1785" s="261">
        <v>0.10519673442879669</v>
      </c>
      <c r="R1785" s="92"/>
    </row>
    <row r="1786" spans="1:18" x14ac:dyDescent="0.25">
      <c r="A1786" s="353">
        <v>43084</v>
      </c>
      <c r="B1786" s="353" t="s">
        <v>285</v>
      </c>
      <c r="C1786" s="263" t="s">
        <v>718</v>
      </c>
      <c r="D1786" s="157" t="s">
        <v>699</v>
      </c>
      <c r="E1786" s="44">
        <f t="shared" si="135"/>
        <v>43084</v>
      </c>
      <c r="F1786" s="146" t="str">
        <f t="shared" si="131"/>
        <v>2017-18</v>
      </c>
      <c r="G1786" s="1"/>
      <c r="H1786" s="161"/>
      <c r="I1786" s="37"/>
      <c r="J1786" s="135">
        <f t="shared" si="132"/>
        <v>0.76382508261777382</v>
      </c>
      <c r="K1786" s="112"/>
      <c r="L1786" s="37">
        <v>24.775916158800001</v>
      </c>
      <c r="M1786" s="37" t="s">
        <v>288</v>
      </c>
      <c r="N1786" s="37">
        <v>3875.3912195121943</v>
      </c>
      <c r="O1786" s="130">
        <f t="shared" si="133"/>
        <v>96016.367937183823</v>
      </c>
      <c r="P1786" s="132">
        <f t="shared" si="134"/>
        <v>7715.0980140780484</v>
      </c>
      <c r="Q1786" s="261">
        <v>0.10519673442879669</v>
      </c>
      <c r="R1786" s="92"/>
    </row>
    <row r="1787" spans="1:18" x14ac:dyDescent="0.25">
      <c r="A1787" s="353">
        <v>43084</v>
      </c>
      <c r="B1787" s="353" t="s">
        <v>285</v>
      </c>
      <c r="C1787" s="263" t="s">
        <v>718</v>
      </c>
      <c r="D1787" s="157" t="s">
        <v>699</v>
      </c>
      <c r="E1787" s="44">
        <f t="shared" si="135"/>
        <v>43084</v>
      </c>
      <c r="F1787" s="146" t="str">
        <f t="shared" ref="F1787:F1850" si="136">IF(E1787="","-",IF(OR(E1787&lt;$E$15,E1787&gt;$E$16),"ERROR - date outside of range",IF(MONTH(E1787)&gt;=7,YEAR(E1787)&amp;"-"&amp;IF(YEAR(E1787)=1999,"00",IF(AND(YEAR(E1787)&gt;=2000,YEAR(E1787)&lt;2009),"0","")&amp;RIGHT(YEAR(E1787),2)+1),RIGHT(YEAR(E1787),4)-1&amp;"-"&amp;RIGHT(YEAR(E1787),2))))</f>
        <v>2017-18</v>
      </c>
      <c r="G1787" s="1"/>
      <c r="H1787" s="161"/>
      <c r="I1787" s="37"/>
      <c r="J1787" s="135">
        <f t="shared" si="132"/>
        <v>0.76382508261777382</v>
      </c>
      <c r="K1787" s="112"/>
      <c r="L1787" s="37">
        <v>29.0508229625</v>
      </c>
      <c r="M1787" s="37" t="s">
        <v>288</v>
      </c>
      <c r="N1787" s="37">
        <v>3336.4019512195118</v>
      </c>
      <c r="O1787" s="130">
        <f t="shared" si="133"/>
        <v>96925.222416617602</v>
      </c>
      <c r="P1787" s="132">
        <f t="shared" si="134"/>
        <v>7788.1262022922992</v>
      </c>
      <c r="Q1787" s="261">
        <v>0.10519673442879669</v>
      </c>
      <c r="R1787" s="92"/>
    </row>
    <row r="1788" spans="1:18" x14ac:dyDescent="0.25">
      <c r="A1788" s="353">
        <v>43084</v>
      </c>
      <c r="B1788" s="353" t="s">
        <v>285</v>
      </c>
      <c r="C1788" s="263" t="s">
        <v>718</v>
      </c>
      <c r="D1788" s="157" t="s">
        <v>699</v>
      </c>
      <c r="E1788" s="44">
        <f t="shared" si="135"/>
        <v>43084</v>
      </c>
      <c r="F1788" s="146" t="str">
        <f t="shared" si="136"/>
        <v>2017-18</v>
      </c>
      <c r="G1788" s="1"/>
      <c r="H1788" s="161"/>
      <c r="I1788" s="37"/>
      <c r="J1788" s="135">
        <f t="shared" si="132"/>
        <v>0.76382508261777382</v>
      </c>
      <c r="K1788" s="112"/>
      <c r="L1788" s="37">
        <v>5.14845034938</v>
      </c>
      <c r="M1788" s="37" t="s">
        <v>288</v>
      </c>
      <c r="N1788" s="37">
        <v>812.22926829268283</v>
      </c>
      <c r="O1788" s="130">
        <f t="shared" si="133"/>
        <v>4181.7220601181243</v>
      </c>
      <c r="P1788" s="132">
        <f t="shared" si="134"/>
        <v>336.00933106062217</v>
      </c>
      <c r="Q1788" s="261">
        <v>0.10519673442879669</v>
      </c>
      <c r="R1788" s="92"/>
    </row>
    <row r="1789" spans="1:18" x14ac:dyDescent="0.25">
      <c r="A1789" s="353">
        <v>43084</v>
      </c>
      <c r="B1789" s="353" t="s">
        <v>285</v>
      </c>
      <c r="C1789" s="263" t="s">
        <v>718</v>
      </c>
      <c r="D1789" s="157" t="s">
        <v>699</v>
      </c>
      <c r="E1789" s="44">
        <f t="shared" si="135"/>
        <v>43084</v>
      </c>
      <c r="F1789" s="146" t="str">
        <f t="shared" si="136"/>
        <v>2017-18</v>
      </c>
      <c r="G1789" s="1"/>
      <c r="H1789" s="161"/>
      <c r="I1789" s="37"/>
      <c r="J1789" s="135">
        <f t="shared" si="132"/>
        <v>0.76382508261777382</v>
      </c>
      <c r="K1789" s="112"/>
      <c r="L1789" s="37">
        <v>44.169468241499999</v>
      </c>
      <c r="M1789" s="37" t="s">
        <v>288</v>
      </c>
      <c r="N1789" s="37">
        <v>3875.3912195121943</v>
      </c>
      <c r="O1789" s="130">
        <f t="shared" si="133"/>
        <v>171173.96939363182</v>
      </c>
      <c r="P1789" s="132">
        <f t="shared" si="134"/>
        <v>13754.154418699205</v>
      </c>
      <c r="Q1789" s="261">
        <v>0.10519673442879669</v>
      </c>
      <c r="R1789" s="92"/>
    </row>
    <row r="1790" spans="1:18" x14ac:dyDescent="0.25">
      <c r="A1790" s="353">
        <v>43084</v>
      </c>
      <c r="B1790" s="353" t="s">
        <v>285</v>
      </c>
      <c r="C1790" s="263" t="s">
        <v>718</v>
      </c>
      <c r="D1790" s="157" t="s">
        <v>699</v>
      </c>
      <c r="E1790" s="44">
        <f t="shared" si="135"/>
        <v>43084</v>
      </c>
      <c r="F1790" s="146" t="str">
        <f t="shared" si="136"/>
        <v>2017-18</v>
      </c>
      <c r="G1790" s="1"/>
      <c r="H1790" s="161"/>
      <c r="I1790" s="37"/>
      <c r="J1790" s="135">
        <f t="shared" si="132"/>
        <v>0.76382508261777382</v>
      </c>
      <c r="K1790" s="112"/>
      <c r="L1790" s="37">
        <v>120.05971433000001</v>
      </c>
      <c r="M1790" s="37" t="s">
        <v>288</v>
      </c>
      <c r="N1790" s="37">
        <v>812.22926829268283</v>
      </c>
      <c r="O1790" s="130">
        <f t="shared" si="133"/>
        <v>97516.013921684425</v>
      </c>
      <c r="P1790" s="132">
        <f t="shared" si="134"/>
        <v>7835.5974248077891</v>
      </c>
      <c r="Q1790" s="261">
        <v>0.10519673442879669</v>
      </c>
      <c r="R1790" s="92"/>
    </row>
    <row r="1791" spans="1:18" x14ac:dyDescent="0.25">
      <c r="A1791" s="353">
        <v>43084</v>
      </c>
      <c r="B1791" s="353" t="s">
        <v>285</v>
      </c>
      <c r="C1791" s="263" t="s">
        <v>718</v>
      </c>
      <c r="D1791" s="157" t="s">
        <v>699</v>
      </c>
      <c r="E1791" s="44">
        <f t="shared" si="135"/>
        <v>43084</v>
      </c>
      <c r="F1791" s="146" t="str">
        <f t="shared" si="136"/>
        <v>2017-18</v>
      </c>
      <c r="G1791" s="1"/>
      <c r="H1791" s="161"/>
      <c r="I1791" s="37"/>
      <c r="J1791" s="135">
        <f t="shared" si="132"/>
        <v>0.76382508261777382</v>
      </c>
      <c r="K1791" s="112"/>
      <c r="L1791" s="37">
        <v>35.690935390900002</v>
      </c>
      <c r="M1791" s="37" t="s">
        <v>288</v>
      </c>
      <c r="N1791" s="37">
        <v>1162.6195121951216</v>
      </c>
      <c r="O1791" s="130">
        <f t="shared" si="133"/>
        <v>41494.977893955765</v>
      </c>
      <c r="P1791" s="132">
        <f t="shared" si="134"/>
        <v>3334.2004954125364</v>
      </c>
      <c r="Q1791" s="261">
        <v>0.10519673442879669</v>
      </c>
      <c r="R1791" s="92"/>
    </row>
    <row r="1792" spans="1:18" x14ac:dyDescent="0.25">
      <c r="A1792" s="353">
        <v>43084</v>
      </c>
      <c r="B1792" s="353" t="s">
        <v>285</v>
      </c>
      <c r="C1792" s="263" t="s">
        <v>718</v>
      </c>
      <c r="D1792" s="157" t="s">
        <v>699</v>
      </c>
      <c r="E1792" s="44">
        <f t="shared" si="135"/>
        <v>43084</v>
      </c>
      <c r="F1792" s="146" t="str">
        <f t="shared" si="136"/>
        <v>2017-18</v>
      </c>
      <c r="G1792" s="1"/>
      <c r="H1792" s="161"/>
      <c r="I1792" s="37"/>
      <c r="J1792" s="135">
        <f t="shared" si="132"/>
        <v>0.76382508261777382</v>
      </c>
      <c r="K1792" s="112"/>
      <c r="L1792" s="37">
        <v>21.2040109886</v>
      </c>
      <c r="M1792" s="37" t="s">
        <v>288</v>
      </c>
      <c r="N1792" s="37">
        <v>1162.6195121951216</v>
      </c>
      <c r="O1792" s="130">
        <f t="shared" si="133"/>
        <v>24652.19691214613</v>
      </c>
      <c r="P1792" s="132">
        <f t="shared" si="134"/>
        <v>1980.8509687013895</v>
      </c>
      <c r="Q1792" s="261">
        <v>0.10519673442879669</v>
      </c>
      <c r="R1792" s="92"/>
    </row>
    <row r="1793" spans="1:18" x14ac:dyDescent="0.25">
      <c r="A1793" s="353">
        <v>43084</v>
      </c>
      <c r="B1793" s="353" t="s">
        <v>285</v>
      </c>
      <c r="C1793" s="263" t="s">
        <v>718</v>
      </c>
      <c r="D1793" s="157" t="s">
        <v>699</v>
      </c>
      <c r="E1793" s="44">
        <f t="shared" si="135"/>
        <v>43084</v>
      </c>
      <c r="F1793" s="146" t="str">
        <f t="shared" si="136"/>
        <v>2017-18</v>
      </c>
      <c r="G1793" s="1"/>
      <c r="H1793" s="161"/>
      <c r="I1793" s="37"/>
      <c r="J1793" s="135">
        <f t="shared" si="132"/>
        <v>0.76382508261777382</v>
      </c>
      <c r="K1793" s="112"/>
      <c r="L1793" s="37">
        <v>62.151800880800003</v>
      </c>
      <c r="M1793" s="37" t="s">
        <v>288</v>
      </c>
      <c r="N1793" s="37">
        <v>812.22926829268283</v>
      </c>
      <c r="O1793" s="130">
        <f t="shared" si="133"/>
        <v>50481.511752484708</v>
      </c>
      <c r="P1793" s="132">
        <f t="shared" si="134"/>
        <v>4056.2856045966328</v>
      </c>
      <c r="Q1793" s="261">
        <v>0.10519673442879669</v>
      </c>
      <c r="R1793" s="92"/>
    </row>
    <row r="1794" spans="1:18" x14ac:dyDescent="0.25">
      <c r="A1794" s="353">
        <v>43084</v>
      </c>
      <c r="B1794" s="353" t="s">
        <v>285</v>
      </c>
      <c r="C1794" s="263" t="s">
        <v>718</v>
      </c>
      <c r="D1794" s="157" t="s">
        <v>699</v>
      </c>
      <c r="E1794" s="44">
        <f t="shared" si="135"/>
        <v>43084</v>
      </c>
      <c r="F1794" s="146" t="str">
        <f t="shared" si="136"/>
        <v>2017-18</v>
      </c>
      <c r="G1794" s="1"/>
      <c r="H1794" s="161"/>
      <c r="I1794" s="37"/>
      <c r="J1794" s="135">
        <f t="shared" si="132"/>
        <v>0.76382508261777382</v>
      </c>
      <c r="K1794" s="112"/>
      <c r="L1794" s="37">
        <v>31.7740558528</v>
      </c>
      <c r="M1794" s="37" t="s">
        <v>288</v>
      </c>
      <c r="N1794" s="37">
        <v>1162.6195121951216</v>
      </c>
      <c r="O1794" s="130">
        <f t="shared" si="133"/>
        <v>36941.137316042885</v>
      </c>
      <c r="P1794" s="132">
        <f t="shared" si="134"/>
        <v>2968.2907327971793</v>
      </c>
      <c r="Q1794" s="261">
        <v>0.10519673442879669</v>
      </c>
      <c r="R1794" s="92"/>
    </row>
    <row r="1795" spans="1:18" x14ac:dyDescent="0.25">
      <c r="A1795" s="353">
        <v>43084</v>
      </c>
      <c r="B1795" s="353" t="s">
        <v>285</v>
      </c>
      <c r="C1795" s="263" t="s">
        <v>718</v>
      </c>
      <c r="D1795" s="157" t="s">
        <v>699</v>
      </c>
      <c r="E1795" s="44">
        <f t="shared" si="135"/>
        <v>43084</v>
      </c>
      <c r="F1795" s="146" t="str">
        <f t="shared" si="136"/>
        <v>2017-18</v>
      </c>
      <c r="G1795" s="1"/>
      <c r="H1795" s="161"/>
      <c r="I1795" s="37"/>
      <c r="J1795" s="135">
        <f t="shared" si="132"/>
        <v>0.76382508261777382</v>
      </c>
      <c r="K1795" s="112"/>
      <c r="L1795" s="37">
        <v>10.999530697899999</v>
      </c>
      <c r="M1795" s="37" t="s">
        <v>288</v>
      </c>
      <c r="N1795" s="37">
        <v>812.22926829268283</v>
      </c>
      <c r="O1795" s="130">
        <f t="shared" si="133"/>
        <v>8934.1407703182194</v>
      </c>
      <c r="P1795" s="132">
        <f t="shared" si="134"/>
        <v>717.87522477073901</v>
      </c>
      <c r="Q1795" s="261">
        <v>0.10519673442879669</v>
      </c>
      <c r="R1795" s="92"/>
    </row>
    <row r="1796" spans="1:18" x14ac:dyDescent="0.25">
      <c r="A1796" s="353">
        <v>43084</v>
      </c>
      <c r="B1796" s="353" t="s">
        <v>285</v>
      </c>
      <c r="C1796" s="263" t="s">
        <v>718</v>
      </c>
      <c r="D1796" s="157" t="s">
        <v>699</v>
      </c>
      <c r="E1796" s="44">
        <f t="shared" si="135"/>
        <v>43084</v>
      </c>
      <c r="F1796" s="146" t="str">
        <f t="shared" si="136"/>
        <v>2017-18</v>
      </c>
      <c r="G1796" s="1"/>
      <c r="H1796" s="161"/>
      <c r="I1796" s="37"/>
      <c r="J1796" s="135">
        <f t="shared" si="132"/>
        <v>0.76382508261777382</v>
      </c>
      <c r="K1796" s="112"/>
      <c r="L1796" s="37">
        <v>16.992838556100001</v>
      </c>
      <c r="M1796" s="37" t="s">
        <v>288</v>
      </c>
      <c r="N1796" s="37">
        <v>812.22926829268283</v>
      </c>
      <c r="O1796" s="130">
        <f t="shared" si="133"/>
        <v>13802.080826636793</v>
      </c>
      <c r="P1796" s="132">
        <f t="shared" si="134"/>
        <v>1109.0234786364219</v>
      </c>
      <c r="Q1796" s="261">
        <v>0.10519673442879669</v>
      </c>
      <c r="R1796" s="92"/>
    </row>
    <row r="1797" spans="1:18" x14ac:dyDescent="0.25">
      <c r="A1797" s="353">
        <v>43084</v>
      </c>
      <c r="B1797" s="353" t="s">
        <v>285</v>
      </c>
      <c r="C1797" s="263" t="s">
        <v>718</v>
      </c>
      <c r="D1797" s="157" t="s">
        <v>699</v>
      </c>
      <c r="E1797" s="44">
        <f t="shared" si="135"/>
        <v>43084</v>
      </c>
      <c r="F1797" s="146" t="str">
        <f t="shared" si="136"/>
        <v>2017-18</v>
      </c>
      <c r="G1797" s="1"/>
      <c r="H1797" s="161"/>
      <c r="I1797" s="37"/>
      <c r="J1797" s="135">
        <f t="shared" si="132"/>
        <v>0.76382508261777382</v>
      </c>
      <c r="K1797" s="112"/>
      <c r="L1797" s="37">
        <v>30.549931754900001</v>
      </c>
      <c r="M1797" s="37" t="s">
        <v>288</v>
      </c>
      <c r="N1797" s="37">
        <v>1162.6195121951216</v>
      </c>
      <c r="O1797" s="130">
        <f t="shared" si="133"/>
        <v>35517.946754476092</v>
      </c>
      <c r="P1797" s="132">
        <f t="shared" si="134"/>
        <v>2853.9346608992919</v>
      </c>
      <c r="Q1797" s="261">
        <v>0.10519673442879669</v>
      </c>
      <c r="R1797" s="92"/>
    </row>
    <row r="1798" spans="1:18" x14ac:dyDescent="0.25">
      <c r="A1798" s="353">
        <v>43084</v>
      </c>
      <c r="B1798" s="353" t="s">
        <v>285</v>
      </c>
      <c r="C1798" s="263" t="s">
        <v>718</v>
      </c>
      <c r="D1798" s="157" t="s">
        <v>699</v>
      </c>
      <c r="E1798" s="44">
        <f t="shared" si="135"/>
        <v>43084</v>
      </c>
      <c r="F1798" s="146" t="str">
        <f t="shared" si="136"/>
        <v>2017-18</v>
      </c>
      <c r="G1798" s="1"/>
      <c r="H1798" s="161"/>
      <c r="I1798" s="37"/>
      <c r="J1798" s="135">
        <f t="shared" si="132"/>
        <v>0.76382508261777382</v>
      </c>
      <c r="K1798" s="112"/>
      <c r="L1798" s="37">
        <v>46.826972812699999</v>
      </c>
      <c r="M1798" s="37" t="s">
        <v>288</v>
      </c>
      <c r="N1798" s="37">
        <v>1162.6195121951216</v>
      </c>
      <c r="O1798" s="130">
        <f t="shared" si="133"/>
        <v>54441.952289075496</v>
      </c>
      <c r="P1798" s="132">
        <f t="shared" si="134"/>
        <v>4374.5145438407808</v>
      </c>
      <c r="Q1798" s="261">
        <v>0.10519673442879669</v>
      </c>
      <c r="R1798" s="92"/>
    </row>
    <row r="1799" spans="1:18" x14ac:dyDescent="0.25">
      <c r="A1799" s="353">
        <v>43084</v>
      </c>
      <c r="B1799" s="353" t="s">
        <v>285</v>
      </c>
      <c r="C1799" s="263" t="s">
        <v>718</v>
      </c>
      <c r="D1799" s="157" t="s">
        <v>699</v>
      </c>
      <c r="E1799" s="44">
        <f t="shared" si="135"/>
        <v>43084</v>
      </c>
      <c r="F1799" s="146" t="str">
        <f t="shared" si="136"/>
        <v>2017-18</v>
      </c>
      <c r="G1799" s="1"/>
      <c r="H1799" s="161"/>
      <c r="I1799" s="37"/>
      <c r="J1799" s="135">
        <f t="shared" si="132"/>
        <v>0.76382508261777382</v>
      </c>
      <c r="K1799" s="112"/>
      <c r="L1799" s="37">
        <v>38.4576497754</v>
      </c>
      <c r="M1799" s="37" t="s">
        <v>288</v>
      </c>
      <c r="N1799" s="37">
        <v>3336.4019512195118</v>
      </c>
      <c r="O1799" s="130">
        <f t="shared" si="133"/>
        <v>128310.17774996118</v>
      </c>
      <c r="P1799" s="132">
        <f t="shared" si="134"/>
        <v>10309.967131774445</v>
      </c>
      <c r="Q1799" s="261">
        <v>0.10519673442879669</v>
      </c>
      <c r="R1799" s="92"/>
    </row>
    <row r="1800" spans="1:18" x14ac:dyDescent="0.25">
      <c r="A1800" s="353">
        <v>43084</v>
      </c>
      <c r="B1800" s="353" t="s">
        <v>285</v>
      </c>
      <c r="C1800" s="263" t="s">
        <v>718</v>
      </c>
      <c r="D1800" s="157" t="s">
        <v>699</v>
      </c>
      <c r="E1800" s="44">
        <f t="shared" si="135"/>
        <v>43084</v>
      </c>
      <c r="F1800" s="146" t="str">
        <f t="shared" si="136"/>
        <v>2017-18</v>
      </c>
      <c r="G1800" s="1"/>
      <c r="H1800" s="161"/>
      <c r="I1800" s="37"/>
      <c r="J1800" s="135">
        <f t="shared" si="132"/>
        <v>0.76382508261777382</v>
      </c>
      <c r="K1800" s="112"/>
      <c r="L1800" s="37">
        <v>33.988866368300002</v>
      </c>
      <c r="M1800" s="37" t="s">
        <v>288</v>
      </c>
      <c r="N1800" s="37">
        <v>812.22926829268283</v>
      </c>
      <c r="O1800" s="130">
        <f t="shared" si="133"/>
        <v>27606.752060422088</v>
      </c>
      <c r="P1800" s="132">
        <f t="shared" si="134"/>
        <v>2218.2551014203104</v>
      </c>
      <c r="Q1800" s="261">
        <v>0.10519673442879669</v>
      </c>
      <c r="R1800" s="92"/>
    </row>
    <row r="1801" spans="1:18" x14ac:dyDescent="0.25">
      <c r="A1801" s="353">
        <v>43084</v>
      </c>
      <c r="B1801" s="353" t="s">
        <v>285</v>
      </c>
      <c r="C1801" s="263" t="s">
        <v>718</v>
      </c>
      <c r="D1801" s="157" t="s">
        <v>699</v>
      </c>
      <c r="E1801" s="44">
        <f t="shared" si="135"/>
        <v>43084</v>
      </c>
      <c r="F1801" s="146" t="str">
        <f t="shared" si="136"/>
        <v>2017-18</v>
      </c>
      <c r="G1801" s="1"/>
      <c r="H1801" s="161"/>
      <c r="I1801" s="37"/>
      <c r="J1801" s="135">
        <f t="shared" si="132"/>
        <v>0.76382508261777382</v>
      </c>
      <c r="K1801" s="112"/>
      <c r="L1801" s="37">
        <v>4.09075103129</v>
      </c>
      <c r="M1801" s="37" t="s">
        <v>288</v>
      </c>
      <c r="N1801" s="37">
        <v>812.22926829268283</v>
      </c>
      <c r="O1801" s="130">
        <f t="shared" si="133"/>
        <v>3322.6277169122145</v>
      </c>
      <c r="P1801" s="132">
        <f t="shared" si="134"/>
        <v>266.97946455380122</v>
      </c>
      <c r="Q1801" s="261">
        <v>0.10519673442879669</v>
      </c>
      <c r="R1801" s="92"/>
    </row>
    <row r="1802" spans="1:18" x14ac:dyDescent="0.25">
      <c r="A1802" s="353">
        <v>43084</v>
      </c>
      <c r="B1802" s="353" t="s">
        <v>285</v>
      </c>
      <c r="C1802" s="263" t="s">
        <v>718</v>
      </c>
      <c r="D1802" s="157" t="s">
        <v>699</v>
      </c>
      <c r="E1802" s="44">
        <f t="shared" si="135"/>
        <v>43084</v>
      </c>
      <c r="F1802" s="146" t="str">
        <f t="shared" si="136"/>
        <v>2017-18</v>
      </c>
      <c r="G1802" s="1"/>
      <c r="H1802" s="161"/>
      <c r="I1802" s="37"/>
      <c r="J1802" s="135">
        <f t="shared" si="132"/>
        <v>0.76382508261777382</v>
      </c>
      <c r="K1802" s="112"/>
      <c r="L1802" s="37">
        <v>13.6542146876</v>
      </c>
      <c r="M1802" s="37" t="s">
        <v>288</v>
      </c>
      <c r="N1802" s="37">
        <v>3336.4019512195118</v>
      </c>
      <c r="O1802" s="130">
        <f t="shared" si="133"/>
        <v>45555.948526078755</v>
      </c>
      <c r="P1802" s="132">
        <f t="shared" si="134"/>
        <v>3660.5072192788116</v>
      </c>
      <c r="Q1802" s="261">
        <v>0.10519673442879669</v>
      </c>
      <c r="R1802" s="92"/>
    </row>
    <row r="1803" spans="1:18" x14ac:dyDescent="0.25">
      <c r="A1803" s="353">
        <v>43084</v>
      </c>
      <c r="B1803" s="353" t="s">
        <v>285</v>
      </c>
      <c r="C1803" s="263" t="s">
        <v>718</v>
      </c>
      <c r="D1803" s="157" t="s">
        <v>699</v>
      </c>
      <c r="E1803" s="44">
        <f t="shared" si="135"/>
        <v>43084</v>
      </c>
      <c r="F1803" s="146" t="str">
        <f t="shared" si="136"/>
        <v>2017-18</v>
      </c>
      <c r="G1803" s="1"/>
      <c r="H1803" s="161"/>
      <c r="I1803" s="37"/>
      <c r="J1803" s="135">
        <f t="shared" si="132"/>
        <v>0.76382508261777382</v>
      </c>
      <c r="K1803" s="112"/>
      <c r="L1803" s="37">
        <v>13.234448476900001</v>
      </c>
      <c r="M1803" s="37" t="s">
        <v>288</v>
      </c>
      <c r="N1803" s="37">
        <v>3336.4019512195118</v>
      </c>
      <c r="O1803" s="130">
        <f t="shared" si="133"/>
        <v>44155.439721643263</v>
      </c>
      <c r="P1803" s="132">
        <f t="shared" si="134"/>
        <v>3547.9736697607959</v>
      </c>
      <c r="Q1803" s="261">
        <v>0.10519673442879669</v>
      </c>
      <c r="R1803" s="92"/>
    </row>
    <row r="1804" spans="1:18" x14ac:dyDescent="0.25">
      <c r="A1804" s="353">
        <v>43084</v>
      </c>
      <c r="B1804" s="353" t="s">
        <v>285</v>
      </c>
      <c r="C1804" s="263" t="s">
        <v>718</v>
      </c>
      <c r="D1804" s="157" t="s">
        <v>699</v>
      </c>
      <c r="E1804" s="44">
        <f t="shared" si="135"/>
        <v>43084</v>
      </c>
      <c r="F1804" s="146" t="str">
        <f t="shared" si="136"/>
        <v>2017-18</v>
      </c>
      <c r="G1804" s="1"/>
      <c r="H1804" s="161"/>
      <c r="I1804" s="37"/>
      <c r="J1804" s="135">
        <f t="shared" si="132"/>
        <v>0.76382508261777382</v>
      </c>
      <c r="K1804" s="112"/>
      <c r="L1804" s="37">
        <v>24.875185482199999</v>
      </c>
      <c r="M1804" s="37" t="s">
        <v>288</v>
      </c>
      <c r="N1804" s="37">
        <v>812.22926829268283</v>
      </c>
      <c r="O1804" s="130">
        <f t="shared" si="133"/>
        <v>20204.353702852073</v>
      </c>
      <c r="P1804" s="132">
        <f t="shared" si="134"/>
        <v>1623.4582965123607</v>
      </c>
      <c r="Q1804" s="261">
        <v>0.10519673442879669</v>
      </c>
      <c r="R1804" s="92"/>
    </row>
    <row r="1805" spans="1:18" x14ac:dyDescent="0.25">
      <c r="A1805" s="353">
        <v>43084</v>
      </c>
      <c r="B1805" s="353" t="s">
        <v>285</v>
      </c>
      <c r="C1805" s="263" t="s">
        <v>718</v>
      </c>
      <c r="D1805" s="157" t="s">
        <v>699</v>
      </c>
      <c r="E1805" s="44">
        <f t="shared" si="135"/>
        <v>43084</v>
      </c>
      <c r="F1805" s="146" t="str">
        <f t="shared" si="136"/>
        <v>2017-18</v>
      </c>
      <c r="G1805" s="1"/>
      <c r="H1805" s="161"/>
      <c r="I1805" s="37"/>
      <c r="J1805" s="135">
        <f t="shared" si="132"/>
        <v>0.76382508261777382</v>
      </c>
      <c r="K1805" s="112"/>
      <c r="L1805" s="37">
        <v>16.211628954999998</v>
      </c>
      <c r="M1805" s="37" t="s">
        <v>288</v>
      </c>
      <c r="N1805" s="37">
        <v>3875.3912195121943</v>
      </c>
      <c r="O1805" s="130">
        <f t="shared" si="133"/>
        <v>62826.404506196646</v>
      </c>
      <c r="P1805" s="132">
        <f t="shared" si="134"/>
        <v>5048.221246553836</v>
      </c>
      <c r="Q1805" s="261">
        <v>0.10519673442879669</v>
      </c>
      <c r="R1805" s="92"/>
    </row>
    <row r="1806" spans="1:18" x14ac:dyDescent="0.25">
      <c r="A1806" s="353">
        <v>43084</v>
      </c>
      <c r="B1806" s="353" t="s">
        <v>285</v>
      </c>
      <c r="C1806" s="263" t="s">
        <v>718</v>
      </c>
      <c r="D1806" s="157" t="s">
        <v>699</v>
      </c>
      <c r="E1806" s="44">
        <f t="shared" si="135"/>
        <v>43084</v>
      </c>
      <c r="F1806" s="146" t="str">
        <f t="shared" si="136"/>
        <v>2017-18</v>
      </c>
      <c r="G1806" s="1"/>
      <c r="H1806" s="161"/>
      <c r="I1806" s="37"/>
      <c r="J1806" s="135">
        <f t="shared" si="132"/>
        <v>0.76382508261777382</v>
      </c>
      <c r="K1806" s="112"/>
      <c r="L1806" s="37">
        <v>31.943111953300001</v>
      </c>
      <c r="M1806" s="37" t="s">
        <v>288</v>
      </c>
      <c r="N1806" s="37">
        <v>1162.6195121951216</v>
      </c>
      <c r="O1806" s="130">
        <f t="shared" si="133"/>
        <v>37137.685237139805</v>
      </c>
      <c r="P1806" s="132">
        <f t="shared" si="134"/>
        <v>2984.0837325565335</v>
      </c>
      <c r="Q1806" s="261">
        <v>0.10519673442879669</v>
      </c>
      <c r="R1806" s="92"/>
    </row>
    <row r="1807" spans="1:18" x14ac:dyDescent="0.25">
      <c r="A1807" s="353">
        <v>43084</v>
      </c>
      <c r="B1807" s="353" t="s">
        <v>285</v>
      </c>
      <c r="C1807" s="263" t="s">
        <v>718</v>
      </c>
      <c r="D1807" s="157" t="s">
        <v>699</v>
      </c>
      <c r="E1807" s="44">
        <f t="shared" si="135"/>
        <v>43084</v>
      </c>
      <c r="F1807" s="146" t="str">
        <f t="shared" si="136"/>
        <v>2017-18</v>
      </c>
      <c r="G1807" s="1"/>
      <c r="H1807" s="161"/>
      <c r="I1807" s="37"/>
      <c r="J1807" s="135">
        <f t="shared" si="132"/>
        <v>0.76382508261777382</v>
      </c>
      <c r="K1807" s="112"/>
      <c r="L1807" s="37">
        <v>52.692642189899999</v>
      </c>
      <c r="M1807" s="37" t="s">
        <v>288</v>
      </c>
      <c r="N1807" s="37">
        <v>3875.3912195121943</v>
      </c>
      <c r="O1807" s="130">
        <f t="shared" si="133"/>
        <v>204204.60287563625</v>
      </c>
      <c r="P1807" s="132">
        <f t="shared" si="134"/>
        <v>16408.228721400086</v>
      </c>
      <c r="Q1807" s="261">
        <v>0.10519673442879669</v>
      </c>
      <c r="R1807" s="92"/>
    </row>
    <row r="1808" spans="1:18" x14ac:dyDescent="0.25">
      <c r="A1808" s="353">
        <v>43084</v>
      </c>
      <c r="B1808" s="353" t="s">
        <v>285</v>
      </c>
      <c r="C1808" s="263" t="s">
        <v>718</v>
      </c>
      <c r="D1808" s="157" t="s">
        <v>699</v>
      </c>
      <c r="E1808" s="44">
        <f t="shared" si="135"/>
        <v>43084</v>
      </c>
      <c r="F1808" s="146" t="str">
        <f t="shared" si="136"/>
        <v>2017-18</v>
      </c>
      <c r="G1808" s="1"/>
      <c r="H1808" s="161"/>
      <c r="I1808" s="37"/>
      <c r="J1808" s="135">
        <f t="shared" si="132"/>
        <v>0.76382508261777382</v>
      </c>
      <c r="K1808" s="112"/>
      <c r="L1808" s="37">
        <v>19.990466377800001</v>
      </c>
      <c r="M1808" s="37" t="s">
        <v>288</v>
      </c>
      <c r="N1808" s="37">
        <v>1162.6195121951216</v>
      </c>
      <c r="O1808" s="130">
        <f t="shared" si="133"/>
        <v>23241.306268710818</v>
      </c>
      <c r="P1808" s="132">
        <f t="shared" si="134"/>
        <v>1867.4832186489148</v>
      </c>
      <c r="Q1808" s="261">
        <v>0.10519673442879669</v>
      </c>
      <c r="R1808" s="92"/>
    </row>
    <row r="1809" spans="1:18" x14ac:dyDescent="0.25">
      <c r="A1809" s="353">
        <v>43084</v>
      </c>
      <c r="B1809" s="353" t="s">
        <v>285</v>
      </c>
      <c r="C1809" s="263" t="s">
        <v>718</v>
      </c>
      <c r="D1809" s="157" t="s">
        <v>699</v>
      </c>
      <c r="E1809" s="44">
        <f t="shared" si="135"/>
        <v>43084</v>
      </c>
      <c r="F1809" s="146" t="str">
        <f t="shared" si="136"/>
        <v>2017-18</v>
      </c>
      <c r="G1809" s="1"/>
      <c r="H1809" s="161"/>
      <c r="I1809" s="37"/>
      <c r="J1809" s="135">
        <f t="shared" si="132"/>
        <v>0.76382508261777382</v>
      </c>
      <c r="K1809" s="112"/>
      <c r="L1809" s="37">
        <v>12.728069531599999</v>
      </c>
      <c r="M1809" s="37" t="s">
        <v>288</v>
      </c>
      <c r="N1809" s="37">
        <v>3336.4019512195118</v>
      </c>
      <c r="O1809" s="130">
        <f t="shared" si="133"/>
        <v>42465.956020487858</v>
      </c>
      <c r="P1809" s="132">
        <f t="shared" si="134"/>
        <v>3412.2204369773108</v>
      </c>
      <c r="Q1809" s="261">
        <v>0.10519673442879669</v>
      </c>
      <c r="R1809" s="92"/>
    </row>
    <row r="1810" spans="1:18" x14ac:dyDescent="0.25">
      <c r="A1810" s="353">
        <v>43084</v>
      </c>
      <c r="B1810" s="353" t="s">
        <v>285</v>
      </c>
      <c r="C1810" s="263" t="s">
        <v>718</v>
      </c>
      <c r="D1810" s="157" t="s">
        <v>699</v>
      </c>
      <c r="E1810" s="44">
        <f t="shared" si="135"/>
        <v>43084</v>
      </c>
      <c r="F1810" s="146" t="str">
        <f t="shared" si="136"/>
        <v>2017-18</v>
      </c>
      <c r="G1810" s="1"/>
      <c r="H1810" s="161"/>
      <c r="I1810" s="37"/>
      <c r="J1810" s="135">
        <f t="shared" si="132"/>
        <v>0.76382508261777382</v>
      </c>
      <c r="K1810" s="112"/>
      <c r="L1810" s="37">
        <v>4.7646906510299996</v>
      </c>
      <c r="M1810" s="37" t="s">
        <v>288</v>
      </c>
      <c r="N1810" s="37">
        <v>1162.6195121951216</v>
      </c>
      <c r="O1810" s="130">
        <f t="shared" si="133"/>
        <v>5539.5223204611548</v>
      </c>
      <c r="P1810" s="132">
        <f t="shared" si="134"/>
        <v>445.1111677281009</v>
      </c>
      <c r="Q1810" s="261">
        <v>0.10519673442879669</v>
      </c>
      <c r="R1810" s="92"/>
    </row>
    <row r="1811" spans="1:18" x14ac:dyDescent="0.25">
      <c r="A1811" s="353">
        <v>43084</v>
      </c>
      <c r="B1811" s="353" t="s">
        <v>285</v>
      </c>
      <c r="C1811" s="263" t="s">
        <v>718</v>
      </c>
      <c r="D1811" s="157" t="s">
        <v>699</v>
      </c>
      <c r="E1811" s="44">
        <f t="shared" si="135"/>
        <v>43084</v>
      </c>
      <c r="F1811" s="146" t="str">
        <f t="shared" si="136"/>
        <v>2017-18</v>
      </c>
      <c r="G1811" s="1"/>
      <c r="H1811" s="161"/>
      <c r="I1811" s="37"/>
      <c r="J1811" s="135">
        <f t="shared" si="132"/>
        <v>0.76382508261777382</v>
      </c>
      <c r="K1811" s="112"/>
      <c r="L1811" s="37">
        <v>16.7120186991</v>
      </c>
      <c r="M1811" s="37" t="s">
        <v>288</v>
      </c>
      <c r="N1811" s="37">
        <v>812.22926829268283</v>
      </c>
      <c r="O1811" s="130">
        <f t="shared" si="133"/>
        <v>13573.990719663627</v>
      </c>
      <c r="P1811" s="132">
        <f t="shared" si="134"/>
        <v>1090.696004174039</v>
      </c>
      <c r="Q1811" s="261">
        <v>0.10519673442879669</v>
      </c>
      <c r="R1811" s="92"/>
    </row>
    <row r="1812" spans="1:18" x14ac:dyDescent="0.25">
      <c r="A1812" s="353">
        <v>43084</v>
      </c>
      <c r="B1812" s="353" t="s">
        <v>285</v>
      </c>
      <c r="C1812" s="263" t="s">
        <v>718</v>
      </c>
      <c r="D1812" s="157" t="s">
        <v>699</v>
      </c>
      <c r="E1812" s="44">
        <f t="shared" si="135"/>
        <v>43084</v>
      </c>
      <c r="F1812" s="146" t="str">
        <f t="shared" si="136"/>
        <v>2017-18</v>
      </c>
      <c r="G1812" s="1"/>
      <c r="H1812" s="161"/>
      <c r="I1812" s="37"/>
      <c r="J1812" s="135">
        <f t="shared" si="132"/>
        <v>0.76382508261777382</v>
      </c>
      <c r="K1812" s="112"/>
      <c r="L1812" s="37">
        <v>4.6553974051599996</v>
      </c>
      <c r="M1812" s="37" t="s">
        <v>288</v>
      </c>
      <c r="N1812" s="37">
        <v>1162.6195121951216</v>
      </c>
      <c r="O1812" s="130">
        <f t="shared" si="133"/>
        <v>5412.4558602615534</v>
      </c>
      <c r="P1812" s="132">
        <f t="shared" si="134"/>
        <v>434.9011356699915</v>
      </c>
      <c r="Q1812" s="261">
        <v>0.10519673442879669</v>
      </c>
      <c r="R1812" s="92"/>
    </row>
    <row r="1813" spans="1:18" x14ac:dyDescent="0.25">
      <c r="A1813" s="353">
        <v>43084</v>
      </c>
      <c r="B1813" s="353" t="s">
        <v>285</v>
      </c>
      <c r="C1813" s="263" t="s">
        <v>718</v>
      </c>
      <c r="D1813" s="157" t="s">
        <v>699</v>
      </c>
      <c r="E1813" s="44">
        <f t="shared" si="135"/>
        <v>43084</v>
      </c>
      <c r="F1813" s="146" t="str">
        <f t="shared" si="136"/>
        <v>2017-18</v>
      </c>
      <c r="G1813" s="1"/>
      <c r="H1813" s="161"/>
      <c r="I1813" s="37"/>
      <c r="J1813" s="135">
        <f t="shared" si="132"/>
        <v>0.76382508261777382</v>
      </c>
      <c r="K1813" s="112"/>
      <c r="L1813" s="37">
        <v>4.7066387156899996</v>
      </c>
      <c r="M1813" s="37" t="s">
        <v>288</v>
      </c>
      <c r="N1813" s="37">
        <v>1162.6195121951216</v>
      </c>
      <c r="O1813" s="130">
        <f t="shared" si="133"/>
        <v>5472.030007714181</v>
      </c>
      <c r="P1813" s="132">
        <f t="shared" si="134"/>
        <v>439.68803186880274</v>
      </c>
      <c r="Q1813" s="261">
        <v>0.10519673442879669</v>
      </c>
      <c r="R1813" s="92"/>
    </row>
    <row r="1814" spans="1:18" x14ac:dyDescent="0.25">
      <c r="A1814" s="353">
        <v>43521</v>
      </c>
      <c r="B1814" s="353" t="s">
        <v>285</v>
      </c>
      <c r="C1814" s="263" t="s">
        <v>719</v>
      </c>
      <c r="D1814" s="157" t="s">
        <v>699</v>
      </c>
      <c r="E1814" s="44">
        <f t="shared" si="135"/>
        <v>43521</v>
      </c>
      <c r="F1814" s="146" t="str">
        <f t="shared" si="136"/>
        <v>2018-19</v>
      </c>
      <c r="G1814" s="1"/>
      <c r="H1814" s="161"/>
      <c r="I1814" s="37"/>
      <c r="J1814" s="135">
        <f t="shared" si="132"/>
        <v>0.76382508261777382</v>
      </c>
      <c r="K1814" s="112"/>
      <c r="L1814" s="37">
        <v>74.093095402900005</v>
      </c>
      <c r="M1814" s="37" t="s">
        <v>288</v>
      </c>
      <c r="N1814" s="37">
        <v>812.22926829268283</v>
      </c>
      <c r="O1814" s="130">
        <f t="shared" si="133"/>
        <v>60180.580664637411</v>
      </c>
      <c r="P1814" s="132">
        <f t="shared" si="134"/>
        <v>4991.469074203218</v>
      </c>
      <c r="Q1814" s="261">
        <v>0.10858706510880424</v>
      </c>
      <c r="R1814" s="92"/>
    </row>
    <row r="1815" spans="1:18" x14ac:dyDescent="0.25">
      <c r="A1815" s="353">
        <v>43521</v>
      </c>
      <c r="B1815" s="353" t="s">
        <v>285</v>
      </c>
      <c r="C1815" s="263" t="s">
        <v>719</v>
      </c>
      <c r="D1815" s="157" t="s">
        <v>699</v>
      </c>
      <c r="E1815" s="44">
        <f t="shared" si="135"/>
        <v>43521</v>
      </c>
      <c r="F1815" s="146" t="str">
        <f t="shared" si="136"/>
        <v>2018-19</v>
      </c>
      <c r="G1815" s="1"/>
      <c r="H1815" s="161"/>
      <c r="I1815" s="37"/>
      <c r="J1815" s="135">
        <f t="shared" si="132"/>
        <v>0.76382508261777382</v>
      </c>
      <c r="K1815" s="112"/>
      <c r="L1815" s="37">
        <v>53.4224218544</v>
      </c>
      <c r="M1815" s="37" t="s">
        <v>288</v>
      </c>
      <c r="N1815" s="37">
        <v>3592.3639024390236</v>
      </c>
      <c r="O1815" s="130">
        <f t="shared" si="133"/>
        <v>191912.77985061615</v>
      </c>
      <c r="P1815" s="132">
        <f t="shared" si="134"/>
        <v>15917.538431655683</v>
      </c>
      <c r="Q1815" s="261">
        <v>0.10858706510880424</v>
      </c>
      <c r="R1815" s="92"/>
    </row>
    <row r="1816" spans="1:18" x14ac:dyDescent="0.25">
      <c r="A1816" s="353">
        <v>43521</v>
      </c>
      <c r="B1816" s="353" t="s">
        <v>285</v>
      </c>
      <c r="C1816" s="263" t="s">
        <v>719</v>
      </c>
      <c r="D1816" s="157" t="s">
        <v>699</v>
      </c>
      <c r="E1816" s="44">
        <f t="shared" si="135"/>
        <v>43521</v>
      </c>
      <c r="F1816" s="146" t="str">
        <f t="shared" si="136"/>
        <v>2018-19</v>
      </c>
      <c r="G1816" s="1"/>
      <c r="H1816" s="161"/>
      <c r="I1816" s="37"/>
      <c r="J1816" s="135">
        <f t="shared" si="132"/>
        <v>0.76382508261777382</v>
      </c>
      <c r="K1816" s="112"/>
      <c r="L1816" s="37">
        <v>63.133852858300003</v>
      </c>
      <c r="M1816" s="37" t="s">
        <v>288</v>
      </c>
      <c r="N1816" s="37">
        <v>3336.4019512195118</v>
      </c>
      <c r="O1816" s="130">
        <f t="shared" si="133"/>
        <v>210639.90986443768</v>
      </c>
      <c r="P1816" s="132">
        <f t="shared" si="134"/>
        <v>17470.795134735323</v>
      </c>
      <c r="Q1816" s="261">
        <v>0.10858706510880424</v>
      </c>
      <c r="R1816" s="92"/>
    </row>
    <row r="1817" spans="1:18" x14ac:dyDescent="0.25">
      <c r="A1817" s="353">
        <v>43521</v>
      </c>
      <c r="B1817" s="353" t="s">
        <v>285</v>
      </c>
      <c r="C1817" s="263" t="s">
        <v>719</v>
      </c>
      <c r="D1817" s="157" t="s">
        <v>699</v>
      </c>
      <c r="E1817" s="44">
        <f t="shared" si="135"/>
        <v>43521</v>
      </c>
      <c r="F1817" s="146" t="str">
        <f t="shared" si="136"/>
        <v>2018-19</v>
      </c>
      <c r="G1817" s="1"/>
      <c r="H1817" s="161"/>
      <c r="I1817" s="37"/>
      <c r="J1817" s="135">
        <f t="shared" si="132"/>
        <v>0.76382508261777382</v>
      </c>
      <c r="K1817" s="112"/>
      <c r="L1817" s="37">
        <v>37.401875283000003</v>
      </c>
      <c r="M1817" s="37" t="s">
        <v>288</v>
      </c>
      <c r="N1817" s="37">
        <v>950.87219512195099</v>
      </c>
      <c r="O1817" s="130">
        <f t="shared" si="133"/>
        <v>35564.403252023658</v>
      </c>
      <c r="P1817" s="132">
        <f t="shared" si="134"/>
        <v>2949.7658050893447</v>
      </c>
      <c r="Q1817" s="261">
        <v>0.10858706510880424</v>
      </c>
      <c r="R1817" s="92"/>
    </row>
    <row r="1818" spans="1:18" x14ac:dyDescent="0.25">
      <c r="A1818" s="353">
        <v>43521</v>
      </c>
      <c r="B1818" s="353" t="s">
        <v>285</v>
      </c>
      <c r="C1818" s="263" t="s">
        <v>719</v>
      </c>
      <c r="D1818" s="157" t="s">
        <v>699</v>
      </c>
      <c r="E1818" s="44">
        <f t="shared" si="135"/>
        <v>43521</v>
      </c>
      <c r="F1818" s="146" t="str">
        <f t="shared" si="136"/>
        <v>2018-19</v>
      </c>
      <c r="G1818" s="1"/>
      <c r="H1818" s="161"/>
      <c r="I1818" s="37"/>
      <c r="J1818" s="135">
        <f t="shared" ref="J1818:J1881" si="137">J1817</f>
        <v>0.76382508261777382</v>
      </c>
      <c r="K1818" s="112"/>
      <c r="L1818" s="37">
        <v>48.121185465400004</v>
      </c>
      <c r="M1818" s="37" t="s">
        <v>288</v>
      </c>
      <c r="N1818" s="37">
        <v>3592.3639024390236</v>
      </c>
      <c r="O1818" s="130">
        <f t="shared" ref="O1818:O1881" si="138">IF(N1818="","-",L1818*N1818)</f>
        <v>172868.80960847638</v>
      </c>
      <c r="P1818" s="132">
        <f t="shared" ref="P1818:P1881" si="139">IF(O1818="-","-",IF(OR(E1818&lt;$E$15,E1818&gt;$E$16),0,O1818*J1818))*Q1818</f>
        <v>14338.002517181807</v>
      </c>
      <c r="Q1818" s="261">
        <v>0.10858706510880424</v>
      </c>
      <c r="R1818" s="92"/>
    </row>
    <row r="1819" spans="1:18" x14ac:dyDescent="0.25">
      <c r="A1819" s="353">
        <v>43521</v>
      </c>
      <c r="B1819" s="353" t="s">
        <v>285</v>
      </c>
      <c r="C1819" s="263" t="s">
        <v>719</v>
      </c>
      <c r="D1819" s="157" t="s">
        <v>699</v>
      </c>
      <c r="E1819" s="44">
        <f t="shared" ref="E1819:E1882" si="140">IF(VALUE(A1819)&lt;2022,DATEVALUE("30 Jun "&amp;A1819),A1819)</f>
        <v>43521</v>
      </c>
      <c r="F1819" s="146" t="str">
        <f t="shared" si="136"/>
        <v>2018-19</v>
      </c>
      <c r="G1819" s="1"/>
      <c r="H1819" s="161"/>
      <c r="I1819" s="37"/>
      <c r="J1819" s="135">
        <f t="shared" si="137"/>
        <v>0.76382508261777382</v>
      </c>
      <c r="K1819" s="112"/>
      <c r="L1819" s="37">
        <v>11.0514753849</v>
      </c>
      <c r="M1819" s="37" t="s">
        <v>288</v>
      </c>
      <c r="N1819" s="37">
        <v>3592.3639024390236</v>
      </c>
      <c r="O1819" s="130">
        <f t="shared" si="138"/>
        <v>39700.92124140817</v>
      </c>
      <c r="P1819" s="132">
        <f t="shared" si="139"/>
        <v>3292.8549110911181</v>
      </c>
      <c r="Q1819" s="261">
        <v>0.10858706510880424</v>
      </c>
      <c r="R1819" s="92"/>
    </row>
    <row r="1820" spans="1:18" x14ac:dyDescent="0.25">
      <c r="A1820" s="353">
        <v>43521</v>
      </c>
      <c r="B1820" s="353" t="s">
        <v>285</v>
      </c>
      <c r="C1820" s="263" t="s">
        <v>719</v>
      </c>
      <c r="D1820" s="157" t="s">
        <v>699</v>
      </c>
      <c r="E1820" s="44">
        <f t="shared" si="140"/>
        <v>43521</v>
      </c>
      <c r="F1820" s="146" t="str">
        <f t="shared" si="136"/>
        <v>2018-19</v>
      </c>
      <c r="G1820" s="1"/>
      <c r="H1820" s="161"/>
      <c r="I1820" s="37"/>
      <c r="J1820" s="135">
        <f t="shared" si="137"/>
        <v>0.76382508261777382</v>
      </c>
      <c r="K1820" s="112"/>
      <c r="L1820" s="37">
        <v>31.082593892799999</v>
      </c>
      <c r="M1820" s="37" t="s">
        <v>288</v>
      </c>
      <c r="N1820" s="37">
        <v>3592.3639024390236</v>
      </c>
      <c r="O1820" s="130">
        <f t="shared" si="138"/>
        <v>111659.98829466637</v>
      </c>
      <c r="P1820" s="132">
        <f t="shared" si="139"/>
        <v>9261.2495965201306</v>
      </c>
      <c r="Q1820" s="261">
        <v>0.10858706510880424</v>
      </c>
      <c r="R1820" s="92"/>
    </row>
    <row r="1821" spans="1:18" x14ac:dyDescent="0.25">
      <c r="A1821" s="353">
        <v>43521</v>
      </c>
      <c r="B1821" s="353" t="s">
        <v>285</v>
      </c>
      <c r="C1821" s="263" t="s">
        <v>719</v>
      </c>
      <c r="D1821" s="157" t="s">
        <v>699</v>
      </c>
      <c r="E1821" s="44">
        <f t="shared" si="140"/>
        <v>43521</v>
      </c>
      <c r="F1821" s="146" t="str">
        <f t="shared" si="136"/>
        <v>2018-19</v>
      </c>
      <c r="G1821" s="1"/>
      <c r="H1821" s="161"/>
      <c r="I1821" s="37"/>
      <c r="J1821" s="135">
        <f t="shared" si="137"/>
        <v>0.76382508261777382</v>
      </c>
      <c r="K1821" s="112"/>
      <c r="L1821" s="37">
        <v>9.9171066887400006</v>
      </c>
      <c r="M1821" s="37" t="s">
        <v>288</v>
      </c>
      <c r="N1821" s="37">
        <v>950.87219512195099</v>
      </c>
      <c r="O1821" s="130">
        <f t="shared" si="138"/>
        <v>9429.9010063807873</v>
      </c>
      <c r="P1821" s="132">
        <f t="shared" si="139"/>
        <v>782.13036043046441</v>
      </c>
      <c r="Q1821" s="261">
        <v>0.10858706510880424</v>
      </c>
      <c r="R1821" s="92"/>
    </row>
    <row r="1822" spans="1:18" x14ac:dyDescent="0.25">
      <c r="A1822" s="353">
        <v>43521</v>
      </c>
      <c r="B1822" s="353" t="s">
        <v>285</v>
      </c>
      <c r="C1822" s="263" t="s">
        <v>719</v>
      </c>
      <c r="D1822" s="157" t="s">
        <v>699</v>
      </c>
      <c r="E1822" s="44">
        <f t="shared" si="140"/>
        <v>43521</v>
      </c>
      <c r="F1822" s="146" t="str">
        <f t="shared" si="136"/>
        <v>2018-19</v>
      </c>
      <c r="G1822" s="1"/>
      <c r="H1822" s="161"/>
      <c r="I1822" s="37"/>
      <c r="J1822" s="135">
        <f t="shared" si="137"/>
        <v>0.76382508261777382</v>
      </c>
      <c r="K1822" s="112"/>
      <c r="L1822" s="37">
        <v>58.2702778819</v>
      </c>
      <c r="M1822" s="37" t="s">
        <v>288</v>
      </c>
      <c r="N1822" s="37">
        <v>950.87219512195099</v>
      </c>
      <c r="O1822" s="130">
        <f t="shared" si="138"/>
        <v>55407.587039928323</v>
      </c>
      <c r="P1822" s="132">
        <f t="shared" si="139"/>
        <v>4595.5897090327871</v>
      </c>
      <c r="Q1822" s="261">
        <v>0.10858706510880424</v>
      </c>
      <c r="R1822" s="92"/>
    </row>
    <row r="1823" spans="1:18" x14ac:dyDescent="0.25">
      <c r="A1823" s="353">
        <v>43521</v>
      </c>
      <c r="B1823" s="353" t="s">
        <v>285</v>
      </c>
      <c r="C1823" s="263" t="s">
        <v>719</v>
      </c>
      <c r="D1823" s="157" t="s">
        <v>699</v>
      </c>
      <c r="E1823" s="44">
        <f t="shared" si="140"/>
        <v>43521</v>
      </c>
      <c r="F1823" s="146" t="str">
        <f t="shared" si="136"/>
        <v>2018-19</v>
      </c>
      <c r="G1823" s="1"/>
      <c r="H1823" s="161"/>
      <c r="I1823" s="37"/>
      <c r="J1823" s="135">
        <f t="shared" si="137"/>
        <v>0.76382508261777382</v>
      </c>
      <c r="K1823" s="112"/>
      <c r="L1823" s="37">
        <v>117.75215993</v>
      </c>
      <c r="M1823" s="37" t="s">
        <v>288</v>
      </c>
      <c r="N1823" s="37">
        <v>812.22926829268283</v>
      </c>
      <c r="O1823" s="130">
        <f t="shared" si="138"/>
        <v>95641.750699826865</v>
      </c>
      <c r="P1823" s="132">
        <f t="shared" si="139"/>
        <v>7932.6725589631869</v>
      </c>
      <c r="Q1823" s="261">
        <v>0.10858706510880424</v>
      </c>
      <c r="R1823" s="92"/>
    </row>
    <row r="1824" spans="1:18" x14ac:dyDescent="0.25">
      <c r="A1824" s="353">
        <v>43521</v>
      </c>
      <c r="B1824" s="353" t="s">
        <v>285</v>
      </c>
      <c r="C1824" s="263" t="s">
        <v>719</v>
      </c>
      <c r="D1824" s="157" t="s">
        <v>699</v>
      </c>
      <c r="E1824" s="44">
        <f t="shared" si="140"/>
        <v>43521</v>
      </c>
      <c r="F1824" s="146" t="str">
        <f t="shared" si="136"/>
        <v>2018-19</v>
      </c>
      <c r="G1824" s="1"/>
      <c r="H1824" s="161"/>
      <c r="I1824" s="37"/>
      <c r="J1824" s="135">
        <f t="shared" si="137"/>
        <v>0.76382508261777382</v>
      </c>
      <c r="K1824" s="112"/>
      <c r="L1824" s="37">
        <v>60.8391940072</v>
      </c>
      <c r="M1824" s="37" t="s">
        <v>288</v>
      </c>
      <c r="N1824" s="37">
        <v>3592.3639024390236</v>
      </c>
      <c r="O1824" s="130">
        <f t="shared" si="138"/>
        <v>218556.52440494986</v>
      </c>
      <c r="P1824" s="132">
        <f t="shared" si="139"/>
        <v>18127.411209471433</v>
      </c>
      <c r="Q1824" s="261">
        <v>0.10858706510880424</v>
      </c>
      <c r="R1824" s="92"/>
    </row>
    <row r="1825" spans="1:18" x14ac:dyDescent="0.25">
      <c r="A1825" s="353">
        <v>43521</v>
      </c>
      <c r="B1825" s="353" t="s">
        <v>285</v>
      </c>
      <c r="C1825" s="263" t="s">
        <v>719</v>
      </c>
      <c r="D1825" s="157" t="s">
        <v>699</v>
      </c>
      <c r="E1825" s="44">
        <f t="shared" si="140"/>
        <v>43521</v>
      </c>
      <c r="F1825" s="146" t="str">
        <f t="shared" si="136"/>
        <v>2018-19</v>
      </c>
      <c r="G1825" s="1"/>
      <c r="H1825" s="161"/>
      <c r="I1825" s="37"/>
      <c r="J1825" s="135">
        <f t="shared" si="137"/>
        <v>0.76382508261777382</v>
      </c>
      <c r="K1825" s="112"/>
      <c r="L1825" s="37">
        <v>34.332442774299999</v>
      </c>
      <c r="M1825" s="37" t="s">
        <v>288</v>
      </c>
      <c r="N1825" s="37">
        <v>812.22926829268283</v>
      </c>
      <c r="O1825" s="130">
        <f t="shared" si="138"/>
        <v>27885.814873270094</v>
      </c>
      <c r="P1825" s="132">
        <f t="shared" si="139"/>
        <v>2312.8919829561173</v>
      </c>
      <c r="Q1825" s="261">
        <v>0.10858706510880424</v>
      </c>
      <c r="R1825" s="92"/>
    </row>
    <row r="1826" spans="1:18" x14ac:dyDescent="0.25">
      <c r="A1826" s="353">
        <v>43521</v>
      </c>
      <c r="B1826" s="353" t="s">
        <v>285</v>
      </c>
      <c r="C1826" s="263" t="s">
        <v>719</v>
      </c>
      <c r="D1826" s="157" t="s">
        <v>699</v>
      </c>
      <c r="E1826" s="44">
        <f t="shared" si="140"/>
        <v>43521</v>
      </c>
      <c r="F1826" s="146" t="str">
        <f t="shared" si="136"/>
        <v>2018-19</v>
      </c>
      <c r="G1826" s="1"/>
      <c r="H1826" s="161"/>
      <c r="I1826" s="37"/>
      <c r="J1826" s="135">
        <f t="shared" si="137"/>
        <v>0.76382508261777382</v>
      </c>
      <c r="K1826" s="112"/>
      <c r="L1826" s="37">
        <v>1.4877023005200001</v>
      </c>
      <c r="M1826" s="37" t="s">
        <v>288</v>
      </c>
      <c r="N1826" s="37">
        <v>812.22926829268283</v>
      </c>
      <c r="O1826" s="130">
        <f t="shared" si="138"/>
        <v>1208.3553509887006</v>
      </c>
      <c r="P1826" s="132">
        <f t="shared" si="139"/>
        <v>100.22283431791831</v>
      </c>
      <c r="Q1826" s="261">
        <v>0.10858706510880424</v>
      </c>
      <c r="R1826" s="92"/>
    </row>
    <row r="1827" spans="1:18" x14ac:dyDescent="0.25">
      <c r="A1827" s="353">
        <v>43521</v>
      </c>
      <c r="B1827" s="353" t="s">
        <v>285</v>
      </c>
      <c r="C1827" s="263" t="s">
        <v>719</v>
      </c>
      <c r="D1827" s="157" t="s">
        <v>699</v>
      </c>
      <c r="E1827" s="44">
        <f t="shared" si="140"/>
        <v>43521</v>
      </c>
      <c r="F1827" s="146" t="str">
        <f t="shared" si="136"/>
        <v>2018-19</v>
      </c>
      <c r="G1827" s="1"/>
      <c r="H1827" s="161"/>
      <c r="I1827" s="37"/>
      <c r="J1827" s="135">
        <f t="shared" si="137"/>
        <v>0.76382508261777382</v>
      </c>
      <c r="K1827" s="112"/>
      <c r="L1827" s="37">
        <v>43.954941914800003</v>
      </c>
      <c r="M1827" s="37" t="s">
        <v>288</v>
      </c>
      <c r="N1827" s="37">
        <v>3592.3639024390236</v>
      </c>
      <c r="O1827" s="130">
        <f t="shared" si="138"/>
        <v>157902.14666853155</v>
      </c>
      <c r="P1827" s="132">
        <f t="shared" si="139"/>
        <v>13096.644684078416</v>
      </c>
      <c r="Q1827" s="261">
        <v>0.10858706510880424</v>
      </c>
      <c r="R1827" s="92"/>
    </row>
    <row r="1828" spans="1:18" x14ac:dyDescent="0.25">
      <c r="A1828" s="353">
        <v>43679</v>
      </c>
      <c r="B1828" s="353" t="s">
        <v>285</v>
      </c>
      <c r="C1828" s="263" t="s">
        <v>720</v>
      </c>
      <c r="D1828" s="157" t="s">
        <v>697</v>
      </c>
      <c r="E1828" s="44">
        <f t="shared" si="140"/>
        <v>43679</v>
      </c>
      <c r="F1828" s="146" t="str">
        <f t="shared" si="136"/>
        <v>2019-20</v>
      </c>
      <c r="G1828" s="1"/>
      <c r="H1828" s="161"/>
      <c r="I1828" s="37"/>
      <c r="J1828" s="135">
        <f t="shared" si="137"/>
        <v>0.76382508261777382</v>
      </c>
      <c r="K1828" s="112"/>
      <c r="L1828" s="37">
        <v>85.986888035299998</v>
      </c>
      <c r="M1828" s="37" t="s">
        <v>288</v>
      </c>
      <c r="N1828" s="37">
        <v>3336.4019512195118</v>
      </c>
      <c r="O1828" s="130">
        <f t="shared" si="138"/>
        <v>286886.8210202686</v>
      </c>
      <c r="P1828" s="132">
        <f t="shared" si="139"/>
        <v>26423.244182754035</v>
      </c>
      <c r="Q1828" s="261">
        <v>0.12058176162725365</v>
      </c>
      <c r="R1828" s="92"/>
    </row>
    <row r="1829" spans="1:18" x14ac:dyDescent="0.25">
      <c r="A1829" s="353">
        <v>43679</v>
      </c>
      <c r="B1829" s="353" t="s">
        <v>285</v>
      </c>
      <c r="C1829" s="263" t="s">
        <v>720</v>
      </c>
      <c r="D1829" s="157" t="s">
        <v>697</v>
      </c>
      <c r="E1829" s="44">
        <f t="shared" si="140"/>
        <v>43679</v>
      </c>
      <c r="F1829" s="146" t="str">
        <f t="shared" si="136"/>
        <v>2019-20</v>
      </c>
      <c r="G1829" s="1"/>
      <c r="H1829" s="161"/>
      <c r="I1829" s="37"/>
      <c r="J1829" s="135">
        <f t="shared" si="137"/>
        <v>0.76382508261777382</v>
      </c>
      <c r="K1829" s="112"/>
      <c r="L1829" s="37">
        <v>86.045285353799997</v>
      </c>
      <c r="M1829" s="37" t="s">
        <v>288</v>
      </c>
      <c r="N1829" s="37">
        <v>3592.3639024390236</v>
      </c>
      <c r="O1829" s="130">
        <f t="shared" si="138"/>
        <v>309105.97708005633</v>
      </c>
      <c r="P1829" s="132">
        <f t="shared" si="139"/>
        <v>28469.703424118114</v>
      </c>
      <c r="Q1829" s="261">
        <v>0.12058176162725365</v>
      </c>
      <c r="R1829" s="92"/>
    </row>
    <row r="1830" spans="1:18" x14ac:dyDescent="0.25">
      <c r="A1830" s="353">
        <v>43679</v>
      </c>
      <c r="B1830" s="353" t="s">
        <v>285</v>
      </c>
      <c r="C1830" s="263" t="s">
        <v>720</v>
      </c>
      <c r="D1830" s="157" t="s">
        <v>697</v>
      </c>
      <c r="E1830" s="44">
        <f t="shared" si="140"/>
        <v>43679</v>
      </c>
      <c r="F1830" s="146" t="str">
        <f t="shared" si="136"/>
        <v>2019-20</v>
      </c>
      <c r="G1830" s="1"/>
      <c r="H1830" s="161"/>
      <c r="I1830" s="37"/>
      <c r="J1830" s="135">
        <f t="shared" si="137"/>
        <v>0.76382508261777382</v>
      </c>
      <c r="K1830" s="112"/>
      <c r="L1830" s="37">
        <v>18.1102280771</v>
      </c>
      <c r="M1830" s="37" t="s">
        <v>288</v>
      </c>
      <c r="N1830" s="37">
        <v>812.22926829268283</v>
      </c>
      <c r="O1830" s="130">
        <f t="shared" si="138"/>
        <v>14709.657299676534</v>
      </c>
      <c r="P1830" s="132">
        <f t="shared" si="139"/>
        <v>1354.8090682301622</v>
      </c>
      <c r="Q1830" s="261">
        <v>0.12058176162725365</v>
      </c>
      <c r="R1830" s="92"/>
    </row>
    <row r="1831" spans="1:18" x14ac:dyDescent="0.25">
      <c r="A1831" s="353">
        <v>43679</v>
      </c>
      <c r="B1831" s="353" t="s">
        <v>285</v>
      </c>
      <c r="C1831" s="263" t="s">
        <v>720</v>
      </c>
      <c r="D1831" s="157" t="s">
        <v>697</v>
      </c>
      <c r="E1831" s="44">
        <f t="shared" si="140"/>
        <v>43679</v>
      </c>
      <c r="F1831" s="146" t="str">
        <f t="shared" si="136"/>
        <v>2019-20</v>
      </c>
      <c r="G1831" s="1"/>
      <c r="H1831" s="161"/>
      <c r="I1831" s="37"/>
      <c r="J1831" s="135">
        <f t="shared" si="137"/>
        <v>0.76382508261777382</v>
      </c>
      <c r="K1831" s="112"/>
      <c r="L1831" s="37">
        <v>29.442770724900001</v>
      </c>
      <c r="M1831" s="37" t="s">
        <v>288</v>
      </c>
      <c r="N1831" s="37">
        <v>812.22926829268283</v>
      </c>
      <c r="O1831" s="130">
        <f t="shared" si="138"/>
        <v>23914.28012239475</v>
      </c>
      <c r="P1831" s="132">
        <f t="shared" si="139"/>
        <v>2202.5858869417157</v>
      </c>
      <c r="Q1831" s="261">
        <v>0.12058176162725365</v>
      </c>
      <c r="R1831" s="92"/>
    </row>
    <row r="1832" spans="1:18" x14ac:dyDescent="0.25">
      <c r="A1832" s="353">
        <v>43679</v>
      </c>
      <c r="B1832" s="353" t="s">
        <v>285</v>
      </c>
      <c r="C1832" s="263" t="s">
        <v>720</v>
      </c>
      <c r="D1832" s="157" t="s">
        <v>697</v>
      </c>
      <c r="E1832" s="44">
        <f t="shared" si="140"/>
        <v>43679</v>
      </c>
      <c r="F1832" s="146" t="str">
        <f t="shared" si="136"/>
        <v>2019-20</v>
      </c>
      <c r="G1832" s="1"/>
      <c r="H1832" s="161"/>
      <c r="I1832" s="37"/>
      <c r="J1832" s="135">
        <f t="shared" si="137"/>
        <v>0.76382508261777382</v>
      </c>
      <c r="K1832" s="112"/>
      <c r="L1832" s="37">
        <v>8.4453022457699998</v>
      </c>
      <c r="M1832" s="37" t="s">
        <v>288</v>
      </c>
      <c r="N1832" s="37">
        <v>3336.4019512195118</v>
      </c>
      <c r="O1832" s="130">
        <f t="shared" si="138"/>
        <v>28176.922891425551</v>
      </c>
      <c r="P1832" s="132">
        <f t="shared" si="139"/>
        <v>2595.1896682844431</v>
      </c>
      <c r="Q1832" s="261">
        <v>0.12058176162725365</v>
      </c>
      <c r="R1832" s="92"/>
    </row>
    <row r="1833" spans="1:18" x14ac:dyDescent="0.25">
      <c r="A1833" s="353">
        <v>43679</v>
      </c>
      <c r="B1833" s="353" t="s">
        <v>285</v>
      </c>
      <c r="C1833" s="263" t="s">
        <v>720</v>
      </c>
      <c r="D1833" s="157" t="s">
        <v>697</v>
      </c>
      <c r="E1833" s="44">
        <f t="shared" si="140"/>
        <v>43679</v>
      </c>
      <c r="F1833" s="146" t="str">
        <f t="shared" si="136"/>
        <v>2019-20</v>
      </c>
      <c r="G1833" s="1"/>
      <c r="H1833" s="161"/>
      <c r="I1833" s="37"/>
      <c r="J1833" s="135">
        <f t="shared" si="137"/>
        <v>0.76382508261777382</v>
      </c>
      <c r="K1833" s="112"/>
      <c r="L1833" s="37">
        <v>43.173431234100001</v>
      </c>
      <c r="M1833" s="37" t="s">
        <v>288</v>
      </c>
      <c r="N1833" s="37">
        <v>812.22926829268283</v>
      </c>
      <c r="O1833" s="130">
        <f t="shared" si="138"/>
        <v>35066.724460957499</v>
      </c>
      <c r="P1833" s="132">
        <f t="shared" si="139"/>
        <v>3229.7636392846753</v>
      </c>
      <c r="Q1833" s="261">
        <v>0.12058176162725365</v>
      </c>
      <c r="R1833" s="92"/>
    </row>
    <row r="1834" spans="1:18" x14ac:dyDescent="0.25">
      <c r="A1834" s="353">
        <v>43679</v>
      </c>
      <c r="B1834" s="353" t="s">
        <v>285</v>
      </c>
      <c r="C1834" s="263" t="s">
        <v>720</v>
      </c>
      <c r="D1834" s="157" t="s">
        <v>697</v>
      </c>
      <c r="E1834" s="44">
        <f t="shared" si="140"/>
        <v>43679</v>
      </c>
      <c r="F1834" s="146" t="str">
        <f t="shared" si="136"/>
        <v>2019-20</v>
      </c>
      <c r="G1834" s="1"/>
      <c r="H1834" s="161"/>
      <c r="I1834" s="37"/>
      <c r="J1834" s="135">
        <f t="shared" si="137"/>
        <v>0.76382508261777382</v>
      </c>
      <c r="K1834" s="112"/>
      <c r="L1834" s="37">
        <v>14.8358108713</v>
      </c>
      <c r="M1834" s="37" t="s">
        <v>288</v>
      </c>
      <c r="N1834" s="37">
        <v>3336.4019512195118</v>
      </c>
      <c r="O1834" s="130">
        <f t="shared" si="138"/>
        <v>49498.228338928966</v>
      </c>
      <c r="P1834" s="132">
        <f t="shared" si="139"/>
        <v>4558.9538388758265</v>
      </c>
      <c r="Q1834" s="261">
        <v>0.12058176162725365</v>
      </c>
      <c r="R1834" s="92"/>
    </row>
    <row r="1835" spans="1:18" x14ac:dyDescent="0.25">
      <c r="A1835" s="353">
        <v>43679</v>
      </c>
      <c r="B1835" s="353" t="s">
        <v>285</v>
      </c>
      <c r="C1835" s="263" t="s">
        <v>720</v>
      </c>
      <c r="D1835" s="157" t="s">
        <v>697</v>
      </c>
      <c r="E1835" s="44">
        <f t="shared" si="140"/>
        <v>43679</v>
      </c>
      <c r="F1835" s="146" t="str">
        <f t="shared" si="136"/>
        <v>2019-20</v>
      </c>
      <c r="G1835" s="1"/>
      <c r="H1835" s="161"/>
      <c r="I1835" s="37"/>
      <c r="J1835" s="135">
        <f t="shared" si="137"/>
        <v>0.76382508261777382</v>
      </c>
      <c r="K1835" s="112"/>
      <c r="L1835" s="37">
        <v>8.4353487776100007</v>
      </c>
      <c r="M1835" s="37" t="s">
        <v>288</v>
      </c>
      <c r="N1835" s="37">
        <v>812.22926829268283</v>
      </c>
      <c r="O1835" s="130">
        <f t="shared" si="138"/>
        <v>6851.4371654317474</v>
      </c>
      <c r="P1835" s="132">
        <f t="shared" si="139"/>
        <v>631.04047993967959</v>
      </c>
      <c r="Q1835" s="261">
        <v>0.12058176162725365</v>
      </c>
      <c r="R1835" s="92"/>
    </row>
    <row r="1836" spans="1:18" x14ac:dyDescent="0.25">
      <c r="A1836" s="353">
        <v>43679</v>
      </c>
      <c r="B1836" s="353" t="s">
        <v>285</v>
      </c>
      <c r="C1836" s="263" t="s">
        <v>720</v>
      </c>
      <c r="D1836" s="157" t="s">
        <v>697</v>
      </c>
      <c r="E1836" s="44">
        <f t="shared" si="140"/>
        <v>43679</v>
      </c>
      <c r="F1836" s="146" t="str">
        <f t="shared" si="136"/>
        <v>2019-20</v>
      </c>
      <c r="G1836" s="1"/>
      <c r="H1836" s="161"/>
      <c r="I1836" s="37"/>
      <c r="J1836" s="135">
        <f t="shared" si="137"/>
        <v>0.76382508261777382</v>
      </c>
      <c r="K1836" s="112"/>
      <c r="L1836" s="37">
        <v>7.1034088784899998</v>
      </c>
      <c r="M1836" s="37" t="s">
        <v>288</v>
      </c>
      <c r="N1836" s="37">
        <v>812.22926829268283</v>
      </c>
      <c r="O1836" s="130">
        <f t="shared" si="138"/>
        <v>5769.5965957596791</v>
      </c>
      <c r="P1836" s="132">
        <f t="shared" si="139"/>
        <v>531.39931330262721</v>
      </c>
      <c r="Q1836" s="261">
        <v>0.12058176162725365</v>
      </c>
      <c r="R1836" s="92"/>
    </row>
    <row r="1837" spans="1:18" x14ac:dyDescent="0.25">
      <c r="A1837" s="353">
        <v>43679</v>
      </c>
      <c r="B1837" s="353" t="s">
        <v>285</v>
      </c>
      <c r="C1837" s="263" t="s">
        <v>720</v>
      </c>
      <c r="D1837" s="157" t="s">
        <v>697</v>
      </c>
      <c r="E1837" s="44">
        <f t="shared" si="140"/>
        <v>43679</v>
      </c>
      <c r="F1837" s="146" t="str">
        <f t="shared" si="136"/>
        <v>2019-20</v>
      </c>
      <c r="G1837" s="1"/>
      <c r="H1837" s="161"/>
      <c r="I1837" s="37"/>
      <c r="J1837" s="135">
        <f t="shared" si="137"/>
        <v>0.76382508261777382</v>
      </c>
      <c r="K1837" s="112"/>
      <c r="L1837" s="37">
        <v>5.2838657250200001</v>
      </c>
      <c r="M1837" s="37" t="s">
        <v>288</v>
      </c>
      <c r="N1837" s="37">
        <v>812.22926829268283</v>
      </c>
      <c r="O1837" s="130">
        <f t="shared" si="138"/>
        <v>4291.7103915897806</v>
      </c>
      <c r="P1837" s="132">
        <f t="shared" si="139"/>
        <v>395.28100745564717</v>
      </c>
      <c r="Q1837" s="261">
        <v>0.12058176162725365</v>
      </c>
      <c r="R1837" s="92"/>
    </row>
    <row r="1838" spans="1:18" x14ac:dyDescent="0.25">
      <c r="A1838" s="353">
        <v>43679</v>
      </c>
      <c r="B1838" s="353" t="s">
        <v>285</v>
      </c>
      <c r="C1838" s="263" t="s">
        <v>720</v>
      </c>
      <c r="D1838" s="157" t="s">
        <v>697</v>
      </c>
      <c r="E1838" s="44">
        <f t="shared" si="140"/>
        <v>43679</v>
      </c>
      <c r="F1838" s="146" t="str">
        <f t="shared" si="136"/>
        <v>2019-20</v>
      </c>
      <c r="G1838" s="1"/>
      <c r="H1838" s="161"/>
      <c r="I1838" s="37"/>
      <c r="J1838" s="135">
        <f t="shared" si="137"/>
        <v>0.76382508261777382</v>
      </c>
      <c r="K1838" s="112"/>
      <c r="L1838" s="37">
        <v>1.97923672157</v>
      </c>
      <c r="M1838" s="37" t="s">
        <v>288</v>
      </c>
      <c r="N1838" s="37">
        <v>812.22926829268283</v>
      </c>
      <c r="O1838" s="130">
        <f t="shared" si="138"/>
        <v>1607.5939941388094</v>
      </c>
      <c r="P1838" s="132">
        <f t="shared" si="139"/>
        <v>148.06483094201653</v>
      </c>
      <c r="Q1838" s="261">
        <v>0.12058176162725365</v>
      </c>
      <c r="R1838" s="92"/>
    </row>
    <row r="1839" spans="1:18" x14ac:dyDescent="0.25">
      <c r="A1839" s="353">
        <v>43679</v>
      </c>
      <c r="B1839" s="353" t="s">
        <v>285</v>
      </c>
      <c r="C1839" s="263" t="s">
        <v>720</v>
      </c>
      <c r="D1839" s="157" t="s">
        <v>697</v>
      </c>
      <c r="E1839" s="44">
        <f t="shared" si="140"/>
        <v>43679</v>
      </c>
      <c r="F1839" s="146" t="str">
        <f t="shared" si="136"/>
        <v>2019-20</v>
      </c>
      <c r="G1839" s="1"/>
      <c r="H1839" s="161"/>
      <c r="I1839" s="37"/>
      <c r="J1839" s="135">
        <f t="shared" si="137"/>
        <v>0.76382508261777382</v>
      </c>
      <c r="K1839" s="112"/>
      <c r="L1839" s="37">
        <v>20.5420862669</v>
      </c>
      <c r="M1839" s="37" t="s">
        <v>288</v>
      </c>
      <c r="N1839" s="37">
        <v>950.87219512195099</v>
      </c>
      <c r="O1839" s="130">
        <f t="shared" si="138"/>
        <v>19532.898660991686</v>
      </c>
      <c r="P1839" s="132">
        <f t="shared" si="139"/>
        <v>1799.0458714027459</v>
      </c>
      <c r="Q1839" s="261">
        <v>0.12058176162725365</v>
      </c>
      <c r="R1839" s="92"/>
    </row>
    <row r="1840" spans="1:18" x14ac:dyDescent="0.25">
      <c r="A1840" s="353">
        <v>43679</v>
      </c>
      <c r="B1840" s="353" t="s">
        <v>285</v>
      </c>
      <c r="C1840" s="263" t="s">
        <v>720</v>
      </c>
      <c r="D1840" s="157" t="s">
        <v>697</v>
      </c>
      <c r="E1840" s="44">
        <f t="shared" si="140"/>
        <v>43679</v>
      </c>
      <c r="F1840" s="146" t="str">
        <f t="shared" si="136"/>
        <v>2019-20</v>
      </c>
      <c r="G1840" s="1"/>
      <c r="H1840" s="161"/>
      <c r="I1840" s="37"/>
      <c r="J1840" s="135">
        <f t="shared" si="137"/>
        <v>0.76382508261777382</v>
      </c>
      <c r="K1840" s="112"/>
      <c r="L1840" s="37">
        <v>73.333834018600001</v>
      </c>
      <c r="M1840" s="37" t="s">
        <v>288</v>
      </c>
      <c r="N1840" s="37">
        <v>3336.4019512195118</v>
      </c>
      <c r="O1840" s="130">
        <f t="shared" si="138"/>
        <v>244671.14691006485</v>
      </c>
      <c r="P1840" s="132">
        <f t="shared" si="139"/>
        <v>22535.038159952201</v>
      </c>
      <c r="Q1840" s="261">
        <v>0.12058176162725365</v>
      </c>
      <c r="R1840" s="92"/>
    </row>
    <row r="1841" spans="1:18" x14ac:dyDescent="0.25">
      <c r="A1841" s="353">
        <v>43679</v>
      </c>
      <c r="B1841" s="353" t="s">
        <v>285</v>
      </c>
      <c r="C1841" s="263" t="s">
        <v>720</v>
      </c>
      <c r="D1841" s="157" t="s">
        <v>697</v>
      </c>
      <c r="E1841" s="44">
        <f t="shared" si="140"/>
        <v>43679</v>
      </c>
      <c r="F1841" s="146" t="str">
        <f t="shared" si="136"/>
        <v>2019-20</v>
      </c>
      <c r="G1841" s="1"/>
      <c r="H1841" s="161"/>
      <c r="I1841" s="37"/>
      <c r="J1841" s="135">
        <f t="shared" si="137"/>
        <v>0.76382508261777382</v>
      </c>
      <c r="K1841" s="112"/>
      <c r="L1841" s="37">
        <v>37.088057670799998</v>
      </c>
      <c r="M1841" s="37" t="s">
        <v>288</v>
      </c>
      <c r="N1841" s="37">
        <v>3336.4019512195118</v>
      </c>
      <c r="O1841" s="130">
        <f t="shared" si="138"/>
        <v>123740.66797979889</v>
      </c>
      <c r="P1841" s="132">
        <f t="shared" si="139"/>
        <v>11396.933026548195</v>
      </c>
      <c r="Q1841" s="261">
        <v>0.12058176162725365</v>
      </c>
      <c r="R1841" s="92"/>
    </row>
    <row r="1842" spans="1:18" x14ac:dyDescent="0.25">
      <c r="A1842" s="353">
        <v>43679</v>
      </c>
      <c r="B1842" s="353" t="s">
        <v>285</v>
      </c>
      <c r="C1842" s="263" t="s">
        <v>720</v>
      </c>
      <c r="D1842" s="157" t="s">
        <v>697</v>
      </c>
      <c r="E1842" s="44">
        <f t="shared" si="140"/>
        <v>43679</v>
      </c>
      <c r="F1842" s="146" t="str">
        <f t="shared" si="136"/>
        <v>2019-20</v>
      </c>
      <c r="G1842" s="1"/>
      <c r="H1842" s="161"/>
      <c r="I1842" s="37"/>
      <c r="J1842" s="135">
        <f t="shared" si="137"/>
        <v>0.76382508261777382</v>
      </c>
      <c r="K1842" s="112"/>
      <c r="L1842" s="37">
        <v>23.6746714025</v>
      </c>
      <c r="M1842" s="37" t="s">
        <v>288</v>
      </c>
      <c r="N1842" s="37">
        <v>3336.4019512195118</v>
      </c>
      <c r="O1842" s="130">
        <f t="shared" si="138"/>
        <v>78988.219861781778</v>
      </c>
      <c r="P1842" s="132">
        <f t="shared" si="139"/>
        <v>7275.0815584570419</v>
      </c>
      <c r="Q1842" s="261">
        <v>0.12058176162725365</v>
      </c>
      <c r="R1842" s="92"/>
    </row>
    <row r="1843" spans="1:18" x14ac:dyDescent="0.25">
      <c r="A1843" s="353">
        <v>43679</v>
      </c>
      <c r="B1843" s="353" t="s">
        <v>285</v>
      </c>
      <c r="C1843" s="263" t="s">
        <v>720</v>
      </c>
      <c r="D1843" s="157" t="s">
        <v>697</v>
      </c>
      <c r="E1843" s="44">
        <f t="shared" si="140"/>
        <v>43679</v>
      </c>
      <c r="F1843" s="146" t="str">
        <f t="shared" si="136"/>
        <v>2019-20</v>
      </c>
      <c r="G1843" s="1"/>
      <c r="H1843" s="161"/>
      <c r="I1843" s="37"/>
      <c r="J1843" s="135">
        <f t="shared" si="137"/>
        <v>0.76382508261777382</v>
      </c>
      <c r="K1843" s="112"/>
      <c r="L1843" s="37">
        <v>40.5613446041</v>
      </c>
      <c r="M1843" s="37" t="s">
        <v>288</v>
      </c>
      <c r="N1843" s="37">
        <v>812.22926829268283</v>
      </c>
      <c r="O1843" s="130">
        <f t="shared" si="138"/>
        <v>32945.1112487555</v>
      </c>
      <c r="P1843" s="132">
        <f t="shared" si="139"/>
        <v>3034.3559040391096</v>
      </c>
      <c r="Q1843" s="261">
        <v>0.12058176162725365</v>
      </c>
      <c r="R1843" s="92"/>
    </row>
    <row r="1844" spans="1:18" x14ac:dyDescent="0.25">
      <c r="A1844" s="353">
        <v>43679</v>
      </c>
      <c r="B1844" s="353" t="s">
        <v>285</v>
      </c>
      <c r="C1844" s="263" t="s">
        <v>720</v>
      </c>
      <c r="D1844" s="157" t="s">
        <v>697</v>
      </c>
      <c r="E1844" s="44">
        <f t="shared" si="140"/>
        <v>43679</v>
      </c>
      <c r="F1844" s="146" t="str">
        <f t="shared" si="136"/>
        <v>2019-20</v>
      </c>
      <c r="G1844" s="1"/>
      <c r="H1844" s="161"/>
      <c r="I1844" s="37"/>
      <c r="J1844" s="135">
        <f t="shared" si="137"/>
        <v>0.76382508261777382</v>
      </c>
      <c r="K1844" s="112"/>
      <c r="L1844" s="37">
        <v>44.238949192600003</v>
      </c>
      <c r="M1844" s="37" t="s">
        <v>288</v>
      </c>
      <c r="N1844" s="37">
        <v>3336.4019512195118</v>
      </c>
      <c r="O1844" s="130">
        <f t="shared" si="138"/>
        <v>147598.91640609151</v>
      </c>
      <c r="P1844" s="132">
        <f t="shared" si="139"/>
        <v>13594.358205225879</v>
      </c>
      <c r="Q1844" s="261">
        <v>0.12058176162725365</v>
      </c>
      <c r="R1844" s="92"/>
    </row>
    <row r="1845" spans="1:18" x14ac:dyDescent="0.25">
      <c r="A1845" s="353">
        <v>43679</v>
      </c>
      <c r="B1845" s="353" t="s">
        <v>285</v>
      </c>
      <c r="C1845" s="263" t="s">
        <v>720</v>
      </c>
      <c r="D1845" s="157" t="s">
        <v>697</v>
      </c>
      <c r="E1845" s="44">
        <f t="shared" si="140"/>
        <v>43679</v>
      </c>
      <c r="F1845" s="146" t="str">
        <f t="shared" si="136"/>
        <v>2019-20</v>
      </c>
      <c r="G1845" s="1"/>
      <c r="H1845" s="161"/>
      <c r="I1845" s="37"/>
      <c r="J1845" s="135">
        <f t="shared" si="137"/>
        <v>0.76382508261777382</v>
      </c>
      <c r="K1845" s="112"/>
      <c r="L1845" s="37">
        <v>22.8481309959</v>
      </c>
      <c r="M1845" s="37" t="s">
        <v>288</v>
      </c>
      <c r="N1845" s="37">
        <v>3336.4019512195118</v>
      </c>
      <c r="O1845" s="130">
        <f t="shared" si="138"/>
        <v>76230.548836439775</v>
      </c>
      <c r="P1845" s="132">
        <f t="shared" si="139"/>
        <v>7021.0907525386019</v>
      </c>
      <c r="Q1845" s="261">
        <v>0.12058176162725365</v>
      </c>
      <c r="R1845" s="92"/>
    </row>
    <row r="1846" spans="1:18" x14ac:dyDescent="0.25">
      <c r="A1846" s="353">
        <v>43679</v>
      </c>
      <c r="B1846" s="353" t="s">
        <v>285</v>
      </c>
      <c r="C1846" s="263" t="s">
        <v>720</v>
      </c>
      <c r="D1846" s="157" t="s">
        <v>697</v>
      </c>
      <c r="E1846" s="44">
        <f t="shared" si="140"/>
        <v>43679</v>
      </c>
      <c r="F1846" s="146" t="str">
        <f t="shared" si="136"/>
        <v>2019-20</v>
      </c>
      <c r="G1846" s="1"/>
      <c r="H1846" s="161"/>
      <c r="I1846" s="37"/>
      <c r="J1846" s="135">
        <f t="shared" si="137"/>
        <v>0.76382508261777382</v>
      </c>
      <c r="K1846" s="112"/>
      <c r="L1846" s="37">
        <v>28.056204037600001</v>
      </c>
      <c r="M1846" s="37" t="s">
        <v>288</v>
      </c>
      <c r="N1846" s="37">
        <v>812.22926829268283</v>
      </c>
      <c r="O1846" s="130">
        <f t="shared" si="138"/>
        <v>22788.070076530061</v>
      </c>
      <c r="P1846" s="132">
        <f t="shared" si="139"/>
        <v>2098.8581418430631</v>
      </c>
      <c r="Q1846" s="261">
        <v>0.12058176162725365</v>
      </c>
      <c r="R1846" s="92"/>
    </row>
    <row r="1847" spans="1:18" x14ac:dyDescent="0.25">
      <c r="A1847" s="353">
        <v>43679</v>
      </c>
      <c r="B1847" s="353" t="s">
        <v>285</v>
      </c>
      <c r="C1847" s="263" t="s">
        <v>720</v>
      </c>
      <c r="D1847" s="157" t="s">
        <v>697</v>
      </c>
      <c r="E1847" s="44">
        <f t="shared" si="140"/>
        <v>43679</v>
      </c>
      <c r="F1847" s="146" t="str">
        <f t="shared" si="136"/>
        <v>2019-20</v>
      </c>
      <c r="G1847" s="1"/>
      <c r="H1847" s="161"/>
      <c r="I1847" s="37"/>
      <c r="J1847" s="135">
        <f t="shared" si="137"/>
        <v>0.76382508261777382</v>
      </c>
      <c r="K1847" s="112"/>
      <c r="L1847" s="37">
        <v>21.453821232399999</v>
      </c>
      <c r="M1847" s="37" t="s">
        <v>288</v>
      </c>
      <c r="N1847" s="37">
        <v>812.22926829268283</v>
      </c>
      <c r="O1847" s="130">
        <f t="shared" si="138"/>
        <v>17425.421521674274</v>
      </c>
      <c r="P1847" s="132">
        <f t="shared" si="139"/>
        <v>1604.9401161654855</v>
      </c>
      <c r="Q1847" s="261">
        <v>0.12058176162725365</v>
      </c>
      <c r="R1847" s="92"/>
    </row>
    <row r="1848" spans="1:18" x14ac:dyDescent="0.25">
      <c r="A1848" s="353">
        <v>43679</v>
      </c>
      <c r="B1848" s="353" t="s">
        <v>285</v>
      </c>
      <c r="C1848" s="263" t="s">
        <v>720</v>
      </c>
      <c r="D1848" s="157" t="s">
        <v>697</v>
      </c>
      <c r="E1848" s="44">
        <f t="shared" si="140"/>
        <v>43679</v>
      </c>
      <c r="F1848" s="146" t="str">
        <f t="shared" si="136"/>
        <v>2019-20</v>
      </c>
      <c r="G1848" s="1"/>
      <c r="H1848" s="161"/>
      <c r="I1848" s="37"/>
      <c r="J1848" s="135">
        <f t="shared" si="137"/>
        <v>0.76382508261777382</v>
      </c>
      <c r="K1848" s="112"/>
      <c r="L1848" s="37">
        <v>15.537271237500001</v>
      </c>
      <c r="M1848" s="37" t="s">
        <v>288</v>
      </c>
      <c r="N1848" s="37">
        <v>3336.4019512195118</v>
      </c>
      <c r="O1848" s="130">
        <f t="shared" si="138"/>
        <v>51838.5820734218</v>
      </c>
      <c r="P1848" s="132">
        <f t="shared" si="139"/>
        <v>4774.5083142630228</v>
      </c>
      <c r="Q1848" s="261">
        <v>0.12058176162725365</v>
      </c>
      <c r="R1848" s="92"/>
    </row>
    <row r="1849" spans="1:18" x14ac:dyDescent="0.25">
      <c r="A1849" s="353">
        <v>43679</v>
      </c>
      <c r="B1849" s="353" t="s">
        <v>285</v>
      </c>
      <c r="C1849" s="263" t="s">
        <v>720</v>
      </c>
      <c r="D1849" s="157" t="s">
        <v>697</v>
      </c>
      <c r="E1849" s="44">
        <f t="shared" si="140"/>
        <v>43679</v>
      </c>
      <c r="F1849" s="146" t="str">
        <f t="shared" si="136"/>
        <v>2019-20</v>
      </c>
      <c r="G1849" s="1"/>
      <c r="H1849" s="161"/>
      <c r="I1849" s="37"/>
      <c r="J1849" s="135">
        <f t="shared" si="137"/>
        <v>0.76382508261777382</v>
      </c>
      <c r="K1849" s="112"/>
      <c r="L1849" s="37">
        <v>5.7610505986299998</v>
      </c>
      <c r="M1849" s="37" t="s">
        <v>288</v>
      </c>
      <c r="N1849" s="37">
        <v>812.22926829268283</v>
      </c>
      <c r="O1849" s="130">
        <f t="shared" si="138"/>
        <v>4679.2939123223669</v>
      </c>
      <c r="P1849" s="132">
        <f t="shared" si="139"/>
        <v>430.97875743630982</v>
      </c>
      <c r="Q1849" s="261">
        <v>0.12058176162725365</v>
      </c>
      <c r="R1849" s="92"/>
    </row>
    <row r="1850" spans="1:18" x14ac:dyDescent="0.25">
      <c r="A1850" s="353">
        <v>43679</v>
      </c>
      <c r="B1850" s="353" t="s">
        <v>285</v>
      </c>
      <c r="C1850" s="263" t="s">
        <v>720</v>
      </c>
      <c r="D1850" s="157" t="s">
        <v>697</v>
      </c>
      <c r="E1850" s="44">
        <f t="shared" si="140"/>
        <v>43679</v>
      </c>
      <c r="F1850" s="146" t="str">
        <f t="shared" si="136"/>
        <v>2019-20</v>
      </c>
      <c r="G1850" s="1"/>
      <c r="H1850" s="161"/>
      <c r="I1850" s="37"/>
      <c r="J1850" s="135">
        <f t="shared" si="137"/>
        <v>0.76382508261777382</v>
      </c>
      <c r="K1850" s="112"/>
      <c r="L1850" s="37">
        <v>21.171390963299999</v>
      </c>
      <c r="M1850" s="37" t="s">
        <v>288</v>
      </c>
      <c r="N1850" s="37">
        <v>812.22926829268283</v>
      </c>
      <c r="O1850" s="130">
        <f t="shared" si="138"/>
        <v>17196.023390859475</v>
      </c>
      <c r="P1850" s="132">
        <f t="shared" si="139"/>
        <v>1583.8117743196308</v>
      </c>
      <c r="Q1850" s="261">
        <v>0.12058176162725365</v>
      </c>
      <c r="R1850" s="92"/>
    </row>
    <row r="1851" spans="1:18" x14ac:dyDescent="0.25">
      <c r="A1851" s="353">
        <v>43679</v>
      </c>
      <c r="B1851" s="353" t="s">
        <v>285</v>
      </c>
      <c r="C1851" s="263" t="s">
        <v>720</v>
      </c>
      <c r="D1851" s="157" t="s">
        <v>697</v>
      </c>
      <c r="E1851" s="44">
        <f t="shared" si="140"/>
        <v>43679</v>
      </c>
      <c r="F1851" s="146" t="str">
        <f t="shared" ref="F1851:F1914" si="141">IF(E1851="","-",IF(OR(E1851&lt;$E$15,E1851&gt;$E$16),"ERROR - date outside of range",IF(MONTH(E1851)&gt;=7,YEAR(E1851)&amp;"-"&amp;IF(YEAR(E1851)=1999,"00",IF(AND(YEAR(E1851)&gt;=2000,YEAR(E1851)&lt;2009),"0","")&amp;RIGHT(YEAR(E1851),2)+1),RIGHT(YEAR(E1851),4)-1&amp;"-"&amp;RIGHT(YEAR(E1851),2))))</f>
        <v>2019-20</v>
      </c>
      <c r="G1851" s="1"/>
      <c r="H1851" s="161"/>
      <c r="I1851" s="37"/>
      <c r="J1851" s="135">
        <f t="shared" si="137"/>
        <v>0.76382508261777382</v>
      </c>
      <c r="K1851" s="112"/>
      <c r="L1851" s="37">
        <v>28.191513665999999</v>
      </c>
      <c r="M1851" s="37" t="s">
        <v>288</v>
      </c>
      <c r="N1851" s="37">
        <v>812.22926829268283</v>
      </c>
      <c r="O1851" s="130">
        <f t="shared" si="138"/>
        <v>22897.972516998347</v>
      </c>
      <c r="P1851" s="132">
        <f t="shared" si="139"/>
        <v>2108.9805274251071</v>
      </c>
      <c r="Q1851" s="261">
        <v>0.12058176162725365</v>
      </c>
      <c r="R1851" s="92"/>
    </row>
    <row r="1852" spans="1:18" x14ac:dyDescent="0.25">
      <c r="A1852" s="353">
        <v>43679</v>
      </c>
      <c r="B1852" s="353" t="s">
        <v>285</v>
      </c>
      <c r="C1852" s="263" t="s">
        <v>720</v>
      </c>
      <c r="D1852" s="157" t="s">
        <v>697</v>
      </c>
      <c r="E1852" s="44">
        <f t="shared" si="140"/>
        <v>43679</v>
      </c>
      <c r="F1852" s="146" t="str">
        <f t="shared" si="141"/>
        <v>2019-20</v>
      </c>
      <c r="G1852" s="1"/>
      <c r="H1852" s="161"/>
      <c r="I1852" s="37"/>
      <c r="J1852" s="135">
        <f t="shared" si="137"/>
        <v>0.76382508261777382</v>
      </c>
      <c r="K1852" s="112"/>
      <c r="L1852" s="37">
        <v>45.927903938199997</v>
      </c>
      <c r="M1852" s="37" t="s">
        <v>288</v>
      </c>
      <c r="N1852" s="37">
        <v>812.22926829268283</v>
      </c>
      <c r="O1852" s="130">
        <f t="shared" si="138"/>
        <v>37303.987809940809</v>
      </c>
      <c r="P1852" s="132">
        <f t="shared" si="139"/>
        <v>3435.8231423356556</v>
      </c>
      <c r="Q1852" s="261">
        <v>0.12058176162725365</v>
      </c>
      <c r="R1852" s="92"/>
    </row>
    <row r="1853" spans="1:18" x14ac:dyDescent="0.25">
      <c r="A1853" s="353">
        <v>43679</v>
      </c>
      <c r="B1853" s="353" t="s">
        <v>285</v>
      </c>
      <c r="C1853" s="263" t="s">
        <v>720</v>
      </c>
      <c r="D1853" s="157" t="s">
        <v>697</v>
      </c>
      <c r="E1853" s="44">
        <f t="shared" si="140"/>
        <v>43679</v>
      </c>
      <c r="F1853" s="146" t="str">
        <f t="shared" si="141"/>
        <v>2019-20</v>
      </c>
      <c r="G1853" s="1"/>
      <c r="H1853" s="161"/>
      <c r="I1853" s="37"/>
      <c r="J1853" s="135">
        <f t="shared" si="137"/>
        <v>0.76382508261777382</v>
      </c>
      <c r="K1853" s="112"/>
      <c r="L1853" s="37">
        <v>37.961646891999997</v>
      </c>
      <c r="M1853" s="37" t="s">
        <v>288</v>
      </c>
      <c r="N1853" s="37">
        <v>812.22926829268283</v>
      </c>
      <c r="O1853" s="130">
        <f t="shared" si="138"/>
        <v>30833.560678274356</v>
      </c>
      <c r="P1853" s="132">
        <f t="shared" si="139"/>
        <v>2839.8749720477617</v>
      </c>
      <c r="Q1853" s="261">
        <v>0.12058176162725365</v>
      </c>
      <c r="R1853" s="92"/>
    </row>
    <row r="1854" spans="1:18" x14ac:dyDescent="0.25">
      <c r="A1854" s="353">
        <v>43679</v>
      </c>
      <c r="B1854" s="353" t="s">
        <v>285</v>
      </c>
      <c r="C1854" s="263" t="s">
        <v>720</v>
      </c>
      <c r="D1854" s="157" t="s">
        <v>697</v>
      </c>
      <c r="E1854" s="44">
        <f t="shared" si="140"/>
        <v>43679</v>
      </c>
      <c r="F1854" s="146" t="str">
        <f t="shared" si="141"/>
        <v>2019-20</v>
      </c>
      <c r="G1854" s="1"/>
      <c r="H1854" s="161"/>
      <c r="I1854" s="37"/>
      <c r="J1854" s="135">
        <f t="shared" si="137"/>
        <v>0.76382508261777382</v>
      </c>
      <c r="K1854" s="112"/>
      <c r="L1854" s="37">
        <v>17.604097519100002</v>
      </c>
      <c r="M1854" s="37" t="s">
        <v>288</v>
      </c>
      <c r="N1854" s="37">
        <v>3336.4019512195118</v>
      </c>
      <c r="O1854" s="130">
        <f t="shared" si="138"/>
        <v>58734.34531218381</v>
      </c>
      <c r="P1854" s="132">
        <f t="shared" si="139"/>
        <v>5409.631375114237</v>
      </c>
      <c r="Q1854" s="261">
        <v>0.12058176162725365</v>
      </c>
      <c r="R1854" s="92"/>
    </row>
    <row r="1855" spans="1:18" x14ac:dyDescent="0.25">
      <c r="A1855" s="353">
        <v>43679</v>
      </c>
      <c r="B1855" s="353" t="s">
        <v>285</v>
      </c>
      <c r="C1855" s="263" t="s">
        <v>720</v>
      </c>
      <c r="D1855" s="157" t="s">
        <v>697</v>
      </c>
      <c r="E1855" s="44">
        <f t="shared" si="140"/>
        <v>43679</v>
      </c>
      <c r="F1855" s="146" t="str">
        <f t="shared" si="141"/>
        <v>2019-20</v>
      </c>
      <c r="G1855" s="1"/>
      <c r="H1855" s="161"/>
      <c r="I1855" s="37"/>
      <c r="J1855" s="135">
        <f t="shared" si="137"/>
        <v>0.76382508261777382</v>
      </c>
      <c r="K1855" s="112"/>
      <c r="L1855" s="37">
        <v>4.9212381572100004</v>
      </c>
      <c r="M1855" s="37" t="s">
        <v>288</v>
      </c>
      <c r="N1855" s="37">
        <v>812.22926829268283</v>
      </c>
      <c r="O1855" s="130">
        <f t="shared" si="138"/>
        <v>3997.1736675247093</v>
      </c>
      <c r="P1855" s="132">
        <f t="shared" si="139"/>
        <v>368.15318139140987</v>
      </c>
      <c r="Q1855" s="261">
        <v>0.12058176162725365</v>
      </c>
      <c r="R1855" s="92"/>
    </row>
    <row r="1856" spans="1:18" x14ac:dyDescent="0.25">
      <c r="A1856" s="353">
        <v>43679</v>
      </c>
      <c r="B1856" s="353" t="s">
        <v>285</v>
      </c>
      <c r="C1856" s="263" t="s">
        <v>720</v>
      </c>
      <c r="D1856" s="157" t="s">
        <v>697</v>
      </c>
      <c r="E1856" s="44">
        <f t="shared" si="140"/>
        <v>43679</v>
      </c>
      <c r="F1856" s="146" t="str">
        <f t="shared" si="141"/>
        <v>2019-20</v>
      </c>
      <c r="G1856" s="1"/>
      <c r="H1856" s="161"/>
      <c r="I1856" s="37"/>
      <c r="J1856" s="135">
        <f t="shared" si="137"/>
        <v>0.76382508261777382</v>
      </c>
      <c r="K1856" s="112"/>
      <c r="L1856" s="37">
        <v>35.893260762700002</v>
      </c>
      <c r="M1856" s="37" t="s">
        <v>288</v>
      </c>
      <c r="N1856" s="37">
        <v>3592.3639024390236</v>
      </c>
      <c r="O1856" s="130">
        <f t="shared" si="138"/>
        <v>128941.65430475447</v>
      </c>
      <c r="P1856" s="132">
        <f t="shared" si="139"/>
        <v>11875.961415397594</v>
      </c>
      <c r="Q1856" s="261">
        <v>0.12058176162725365</v>
      </c>
      <c r="R1856" s="92"/>
    </row>
    <row r="1857" spans="1:18" x14ac:dyDescent="0.25">
      <c r="A1857" s="353">
        <v>43679</v>
      </c>
      <c r="B1857" s="353" t="s">
        <v>285</v>
      </c>
      <c r="C1857" s="263" t="s">
        <v>720</v>
      </c>
      <c r="D1857" s="157" t="s">
        <v>697</v>
      </c>
      <c r="E1857" s="44">
        <f t="shared" si="140"/>
        <v>43679</v>
      </c>
      <c r="F1857" s="146" t="str">
        <f t="shared" si="141"/>
        <v>2019-20</v>
      </c>
      <c r="G1857" s="1"/>
      <c r="H1857" s="161"/>
      <c r="I1857" s="37"/>
      <c r="J1857" s="135">
        <f t="shared" si="137"/>
        <v>0.76382508261777382</v>
      </c>
      <c r="K1857" s="112"/>
      <c r="L1857" s="37">
        <v>67.100788566999995</v>
      </c>
      <c r="M1857" s="37" t="s">
        <v>288</v>
      </c>
      <c r="N1857" s="37">
        <v>812.22926829268283</v>
      </c>
      <c r="O1857" s="130">
        <f t="shared" si="138"/>
        <v>54501.224399636427</v>
      </c>
      <c r="P1857" s="132">
        <f t="shared" si="139"/>
        <v>5019.7466563614726</v>
      </c>
      <c r="Q1857" s="261">
        <v>0.12058176162725365</v>
      </c>
      <c r="R1857" s="92"/>
    </row>
    <row r="1858" spans="1:18" x14ac:dyDescent="0.25">
      <c r="A1858" s="353">
        <v>43679</v>
      </c>
      <c r="B1858" s="353" t="s">
        <v>285</v>
      </c>
      <c r="C1858" s="263" t="s">
        <v>720</v>
      </c>
      <c r="D1858" s="157" t="s">
        <v>697</v>
      </c>
      <c r="E1858" s="44">
        <f t="shared" si="140"/>
        <v>43679</v>
      </c>
      <c r="F1858" s="146" t="str">
        <f t="shared" si="141"/>
        <v>2019-20</v>
      </c>
      <c r="G1858" s="1"/>
      <c r="H1858" s="161"/>
      <c r="I1858" s="37"/>
      <c r="J1858" s="135">
        <f t="shared" si="137"/>
        <v>0.76382508261777382</v>
      </c>
      <c r="K1858" s="112"/>
      <c r="L1858" s="37">
        <v>65.231841578200005</v>
      </c>
      <c r="M1858" s="37" t="s">
        <v>288</v>
      </c>
      <c r="N1858" s="37">
        <v>3336.4019512195118</v>
      </c>
      <c r="O1858" s="130">
        <f t="shared" si="138"/>
        <v>217639.64352314858</v>
      </c>
      <c r="P1858" s="132">
        <f t="shared" si="139"/>
        <v>20045.345492721004</v>
      </c>
      <c r="Q1858" s="261">
        <v>0.12058176162725365</v>
      </c>
      <c r="R1858" s="92"/>
    </row>
    <row r="1859" spans="1:18" x14ac:dyDescent="0.25">
      <c r="A1859" s="353">
        <v>43679</v>
      </c>
      <c r="B1859" s="353" t="s">
        <v>285</v>
      </c>
      <c r="C1859" s="263" t="s">
        <v>720</v>
      </c>
      <c r="D1859" s="157" t="s">
        <v>697</v>
      </c>
      <c r="E1859" s="44">
        <f t="shared" si="140"/>
        <v>43679</v>
      </c>
      <c r="F1859" s="146" t="str">
        <f t="shared" si="141"/>
        <v>2019-20</v>
      </c>
      <c r="G1859" s="1"/>
      <c r="H1859" s="161"/>
      <c r="I1859" s="37"/>
      <c r="J1859" s="135">
        <f t="shared" si="137"/>
        <v>0.76382508261777382</v>
      </c>
      <c r="K1859" s="112"/>
      <c r="L1859" s="37">
        <v>33.898476288099999</v>
      </c>
      <c r="M1859" s="37" t="s">
        <v>288</v>
      </c>
      <c r="N1859" s="37">
        <v>3592.3639024390236</v>
      </c>
      <c r="O1859" s="130">
        <f t="shared" si="138"/>
        <v>121775.66256505562</v>
      </c>
      <c r="P1859" s="132">
        <f t="shared" si="139"/>
        <v>11215.949397849101</v>
      </c>
      <c r="Q1859" s="261">
        <v>0.12058176162725365</v>
      </c>
      <c r="R1859" s="92"/>
    </row>
    <row r="1860" spans="1:18" x14ac:dyDescent="0.25">
      <c r="A1860" s="353">
        <v>43679</v>
      </c>
      <c r="B1860" s="353" t="s">
        <v>285</v>
      </c>
      <c r="C1860" s="263" t="s">
        <v>720</v>
      </c>
      <c r="D1860" s="157" t="s">
        <v>697</v>
      </c>
      <c r="E1860" s="44">
        <f t="shared" si="140"/>
        <v>43679</v>
      </c>
      <c r="F1860" s="146" t="str">
        <f t="shared" si="141"/>
        <v>2019-20</v>
      </c>
      <c r="G1860" s="1"/>
      <c r="H1860" s="161"/>
      <c r="I1860" s="37"/>
      <c r="J1860" s="135">
        <f t="shared" si="137"/>
        <v>0.76382508261777382</v>
      </c>
      <c r="K1860" s="112"/>
      <c r="L1860" s="37">
        <v>29.653902298399998</v>
      </c>
      <c r="M1860" s="37" t="s">
        <v>288</v>
      </c>
      <c r="N1860" s="37">
        <v>950.87219512195099</v>
      </c>
      <c r="O1860" s="130">
        <f t="shared" si="138"/>
        <v>28197.071172411474</v>
      </c>
      <c r="P1860" s="132">
        <f t="shared" si="139"/>
        <v>2597.0453929442947</v>
      </c>
      <c r="Q1860" s="261">
        <v>0.12058176162725365</v>
      </c>
      <c r="R1860" s="92"/>
    </row>
    <row r="1861" spans="1:18" x14ac:dyDescent="0.25">
      <c r="A1861" s="353">
        <v>43679</v>
      </c>
      <c r="B1861" s="353" t="s">
        <v>285</v>
      </c>
      <c r="C1861" s="263" t="s">
        <v>720</v>
      </c>
      <c r="D1861" s="157" t="s">
        <v>697</v>
      </c>
      <c r="E1861" s="44">
        <f t="shared" si="140"/>
        <v>43679</v>
      </c>
      <c r="F1861" s="146" t="str">
        <f t="shared" si="141"/>
        <v>2019-20</v>
      </c>
      <c r="G1861" s="1"/>
      <c r="H1861" s="161"/>
      <c r="I1861" s="37"/>
      <c r="J1861" s="135">
        <f t="shared" si="137"/>
        <v>0.76382508261777382</v>
      </c>
      <c r="K1861" s="112"/>
      <c r="L1861" s="37">
        <v>10.585981543600001</v>
      </c>
      <c r="M1861" s="37" t="s">
        <v>288</v>
      </c>
      <c r="N1861" s="37">
        <v>812.22926829268283</v>
      </c>
      <c r="O1861" s="130">
        <f t="shared" si="138"/>
        <v>8598.2440433180745</v>
      </c>
      <c r="P1861" s="132">
        <f t="shared" si="139"/>
        <v>791.92728718428168</v>
      </c>
      <c r="Q1861" s="261">
        <v>0.12058176162725365</v>
      </c>
      <c r="R1861" s="92"/>
    </row>
    <row r="1862" spans="1:18" x14ac:dyDescent="0.25">
      <c r="A1862" s="353">
        <v>43679</v>
      </c>
      <c r="B1862" s="353" t="s">
        <v>285</v>
      </c>
      <c r="C1862" s="263" t="s">
        <v>720</v>
      </c>
      <c r="D1862" s="157" t="s">
        <v>697</v>
      </c>
      <c r="E1862" s="44">
        <f t="shared" si="140"/>
        <v>43679</v>
      </c>
      <c r="F1862" s="146" t="str">
        <f t="shared" si="141"/>
        <v>2019-20</v>
      </c>
      <c r="G1862" s="1"/>
      <c r="H1862" s="161"/>
      <c r="I1862" s="37"/>
      <c r="J1862" s="135">
        <f t="shared" si="137"/>
        <v>0.76382508261777382</v>
      </c>
      <c r="K1862" s="112"/>
      <c r="L1862" s="37">
        <v>74.345170202099993</v>
      </c>
      <c r="M1862" s="37" t="s">
        <v>288</v>
      </c>
      <c r="N1862" s="37">
        <v>3592.3639024390236</v>
      </c>
      <c r="O1862" s="130">
        <f t="shared" si="138"/>
        <v>267074.90575470933</v>
      </c>
      <c r="P1862" s="132">
        <f t="shared" si="139"/>
        <v>24598.499940658232</v>
      </c>
      <c r="Q1862" s="261">
        <v>0.12058176162725365</v>
      </c>
      <c r="R1862" s="92"/>
    </row>
    <row r="1863" spans="1:18" x14ac:dyDescent="0.25">
      <c r="A1863" s="353">
        <v>43679</v>
      </c>
      <c r="B1863" s="353" t="s">
        <v>285</v>
      </c>
      <c r="C1863" s="263" t="s">
        <v>720</v>
      </c>
      <c r="D1863" s="157" t="s">
        <v>697</v>
      </c>
      <c r="E1863" s="44">
        <f t="shared" si="140"/>
        <v>43679</v>
      </c>
      <c r="F1863" s="146" t="str">
        <f t="shared" si="141"/>
        <v>2019-20</v>
      </c>
      <c r="G1863" s="1"/>
      <c r="H1863" s="161"/>
      <c r="I1863" s="37"/>
      <c r="J1863" s="135">
        <f t="shared" si="137"/>
        <v>0.76382508261777382</v>
      </c>
      <c r="K1863" s="112"/>
      <c r="L1863" s="37">
        <v>3.4267556411800002</v>
      </c>
      <c r="M1863" s="37" t="s">
        <v>288</v>
      </c>
      <c r="N1863" s="37">
        <v>812.22926829268283</v>
      </c>
      <c r="O1863" s="130">
        <f t="shared" si="138"/>
        <v>2783.3112270534548</v>
      </c>
      <c r="P1863" s="132">
        <f t="shared" si="139"/>
        <v>256.35235500705801</v>
      </c>
      <c r="Q1863" s="261">
        <v>0.12058176162725365</v>
      </c>
      <c r="R1863" s="92"/>
    </row>
    <row r="1864" spans="1:18" x14ac:dyDescent="0.25">
      <c r="A1864" s="353">
        <v>43679</v>
      </c>
      <c r="B1864" s="353" t="s">
        <v>285</v>
      </c>
      <c r="C1864" s="263" t="s">
        <v>720</v>
      </c>
      <c r="D1864" s="157" t="s">
        <v>697</v>
      </c>
      <c r="E1864" s="44">
        <f t="shared" si="140"/>
        <v>43679</v>
      </c>
      <c r="F1864" s="146" t="str">
        <f t="shared" si="141"/>
        <v>2019-20</v>
      </c>
      <c r="G1864" s="1"/>
      <c r="H1864" s="161"/>
      <c r="I1864" s="37"/>
      <c r="J1864" s="135">
        <f t="shared" si="137"/>
        <v>0.76382508261777382</v>
      </c>
      <c r="K1864" s="112"/>
      <c r="L1864" s="37">
        <v>37.940418083899999</v>
      </c>
      <c r="M1864" s="37" t="s">
        <v>288</v>
      </c>
      <c r="N1864" s="37">
        <v>812.22926829268283</v>
      </c>
      <c r="O1864" s="130">
        <f t="shared" si="138"/>
        <v>30816.318019004568</v>
      </c>
      <c r="P1864" s="132">
        <f t="shared" si="139"/>
        <v>2838.2868649516417</v>
      </c>
      <c r="Q1864" s="261">
        <v>0.12058176162725365</v>
      </c>
      <c r="R1864" s="92"/>
    </row>
    <row r="1865" spans="1:18" x14ac:dyDescent="0.25">
      <c r="A1865" s="353">
        <v>43679</v>
      </c>
      <c r="B1865" s="353" t="s">
        <v>285</v>
      </c>
      <c r="C1865" s="263" t="s">
        <v>720</v>
      </c>
      <c r="D1865" s="157" t="s">
        <v>697</v>
      </c>
      <c r="E1865" s="44">
        <f t="shared" si="140"/>
        <v>43679</v>
      </c>
      <c r="F1865" s="146" t="str">
        <f t="shared" si="141"/>
        <v>2019-20</v>
      </c>
      <c r="G1865" s="1"/>
      <c r="H1865" s="161"/>
      <c r="I1865" s="37"/>
      <c r="J1865" s="135">
        <f t="shared" si="137"/>
        <v>0.76382508261777382</v>
      </c>
      <c r="K1865" s="112"/>
      <c r="L1865" s="37">
        <v>12.662099104899999</v>
      </c>
      <c r="M1865" s="37" t="s">
        <v>288</v>
      </c>
      <c r="N1865" s="37">
        <v>812.22926829268283</v>
      </c>
      <c r="O1865" s="130">
        <f t="shared" si="138"/>
        <v>10284.527491022362</v>
      </c>
      <c r="P1865" s="132">
        <f t="shared" si="139"/>
        <v>947.23968230081709</v>
      </c>
      <c r="Q1865" s="261">
        <v>0.12058176162725365</v>
      </c>
      <c r="R1865" s="92"/>
    </row>
    <row r="1866" spans="1:18" x14ac:dyDescent="0.25">
      <c r="A1866" s="353">
        <v>43679</v>
      </c>
      <c r="B1866" s="353" t="s">
        <v>285</v>
      </c>
      <c r="C1866" s="263" t="s">
        <v>720</v>
      </c>
      <c r="D1866" s="157" t="s">
        <v>697</v>
      </c>
      <c r="E1866" s="44">
        <f t="shared" si="140"/>
        <v>43679</v>
      </c>
      <c r="F1866" s="146" t="str">
        <f t="shared" si="141"/>
        <v>2019-20</v>
      </c>
      <c r="G1866" s="1"/>
      <c r="H1866" s="161"/>
      <c r="I1866" s="37"/>
      <c r="J1866" s="135">
        <f t="shared" si="137"/>
        <v>0.76382508261777382</v>
      </c>
      <c r="K1866" s="112"/>
      <c r="L1866" s="37">
        <v>31.135090702700001</v>
      </c>
      <c r="M1866" s="37" t="s">
        <v>288</v>
      </c>
      <c r="N1866" s="37">
        <v>950.87219512195099</v>
      </c>
      <c r="O1866" s="130">
        <f t="shared" si="138"/>
        <v>29605.492041797399</v>
      </c>
      <c r="P1866" s="132">
        <f t="shared" si="139"/>
        <v>2726.7657070790515</v>
      </c>
      <c r="Q1866" s="261">
        <v>0.12058176162725365</v>
      </c>
      <c r="R1866" s="92"/>
    </row>
    <row r="1867" spans="1:18" x14ac:dyDescent="0.25">
      <c r="A1867" s="353">
        <v>43679</v>
      </c>
      <c r="B1867" s="353" t="s">
        <v>285</v>
      </c>
      <c r="C1867" s="263" t="s">
        <v>720</v>
      </c>
      <c r="D1867" s="157" t="s">
        <v>697</v>
      </c>
      <c r="E1867" s="44">
        <f t="shared" si="140"/>
        <v>43679</v>
      </c>
      <c r="F1867" s="146" t="str">
        <f t="shared" si="141"/>
        <v>2019-20</v>
      </c>
      <c r="G1867" s="1"/>
      <c r="H1867" s="161"/>
      <c r="I1867" s="37"/>
      <c r="J1867" s="135">
        <f t="shared" si="137"/>
        <v>0.76382508261777382</v>
      </c>
      <c r="K1867" s="112"/>
      <c r="L1867" s="37">
        <v>92.544585782400006</v>
      </c>
      <c r="M1867" s="37" t="s">
        <v>288</v>
      </c>
      <c r="N1867" s="37">
        <v>3592.3639024390236</v>
      </c>
      <c r="O1867" s="130">
        <f t="shared" si="138"/>
        <v>332453.82933086547</v>
      </c>
      <c r="P1867" s="132">
        <f t="shared" si="139"/>
        <v>30620.119392938119</v>
      </c>
      <c r="Q1867" s="261">
        <v>0.12058176162725365</v>
      </c>
      <c r="R1867" s="92"/>
    </row>
    <row r="1868" spans="1:18" x14ac:dyDescent="0.25">
      <c r="A1868" s="353">
        <v>43679</v>
      </c>
      <c r="B1868" s="353" t="s">
        <v>285</v>
      </c>
      <c r="C1868" s="263" t="s">
        <v>720</v>
      </c>
      <c r="D1868" s="157" t="s">
        <v>697</v>
      </c>
      <c r="E1868" s="44">
        <f t="shared" si="140"/>
        <v>43679</v>
      </c>
      <c r="F1868" s="146" t="str">
        <f t="shared" si="141"/>
        <v>2019-20</v>
      </c>
      <c r="G1868" s="1"/>
      <c r="H1868" s="161"/>
      <c r="I1868" s="37"/>
      <c r="J1868" s="135">
        <f t="shared" si="137"/>
        <v>0.76382508261777382</v>
      </c>
      <c r="K1868" s="112"/>
      <c r="L1868" s="37">
        <v>19.110638071</v>
      </c>
      <c r="M1868" s="37" t="s">
        <v>288</v>
      </c>
      <c r="N1868" s="37">
        <v>3336.4019512195118</v>
      </c>
      <c r="O1868" s="130">
        <f t="shared" si="138"/>
        <v>63760.770149134289</v>
      </c>
      <c r="P1868" s="132">
        <f t="shared" si="139"/>
        <v>5872.5820619414262</v>
      </c>
      <c r="Q1868" s="261">
        <v>0.12058176162725365</v>
      </c>
      <c r="R1868" s="92"/>
    </row>
    <row r="1869" spans="1:18" x14ac:dyDescent="0.25">
      <c r="A1869" s="353">
        <v>43679</v>
      </c>
      <c r="B1869" s="353" t="s">
        <v>285</v>
      </c>
      <c r="C1869" s="263" t="s">
        <v>720</v>
      </c>
      <c r="D1869" s="157" t="s">
        <v>697</v>
      </c>
      <c r="E1869" s="44">
        <f t="shared" si="140"/>
        <v>43679</v>
      </c>
      <c r="F1869" s="146" t="str">
        <f t="shared" si="141"/>
        <v>2019-20</v>
      </c>
      <c r="G1869" s="1"/>
      <c r="H1869" s="161"/>
      <c r="I1869" s="37"/>
      <c r="J1869" s="135">
        <f t="shared" si="137"/>
        <v>0.76382508261777382</v>
      </c>
      <c r="K1869" s="112"/>
      <c r="L1869" s="37">
        <v>19.962047764499999</v>
      </c>
      <c r="M1869" s="37" t="s">
        <v>288</v>
      </c>
      <c r="N1869" s="37">
        <v>812.22926829268283</v>
      </c>
      <c r="O1869" s="130">
        <f t="shared" si="138"/>
        <v>16213.75944938342</v>
      </c>
      <c r="P1869" s="132">
        <f t="shared" si="139"/>
        <v>1493.3419511146726</v>
      </c>
      <c r="Q1869" s="261">
        <v>0.12058176162725365</v>
      </c>
      <c r="R1869" s="92"/>
    </row>
    <row r="1870" spans="1:18" x14ac:dyDescent="0.25">
      <c r="A1870" s="353">
        <v>43679</v>
      </c>
      <c r="B1870" s="353" t="s">
        <v>285</v>
      </c>
      <c r="C1870" s="263" t="s">
        <v>720</v>
      </c>
      <c r="D1870" s="157" t="s">
        <v>697</v>
      </c>
      <c r="E1870" s="44">
        <f t="shared" si="140"/>
        <v>43679</v>
      </c>
      <c r="F1870" s="146" t="str">
        <f t="shared" si="141"/>
        <v>2019-20</v>
      </c>
      <c r="G1870" s="1"/>
      <c r="H1870" s="161"/>
      <c r="I1870" s="37"/>
      <c r="J1870" s="135">
        <f t="shared" si="137"/>
        <v>0.76382508261777382</v>
      </c>
      <c r="K1870" s="112"/>
      <c r="L1870" s="37">
        <v>6.4981243447599999</v>
      </c>
      <c r="M1870" s="37" t="s">
        <v>288</v>
      </c>
      <c r="N1870" s="37">
        <v>812.22926829268283</v>
      </c>
      <c r="O1870" s="130">
        <f t="shared" si="138"/>
        <v>5277.9667818192838</v>
      </c>
      <c r="P1870" s="132">
        <f t="shared" si="139"/>
        <v>486.11854866146848</v>
      </c>
      <c r="Q1870" s="261">
        <v>0.12058176162725365</v>
      </c>
      <c r="R1870" s="92"/>
    </row>
    <row r="1871" spans="1:18" x14ac:dyDescent="0.25">
      <c r="A1871" s="353">
        <v>43679</v>
      </c>
      <c r="B1871" s="353" t="s">
        <v>285</v>
      </c>
      <c r="C1871" s="263" t="s">
        <v>720</v>
      </c>
      <c r="D1871" s="157" t="s">
        <v>697</v>
      </c>
      <c r="E1871" s="44">
        <f t="shared" si="140"/>
        <v>43679</v>
      </c>
      <c r="F1871" s="146" t="str">
        <f t="shared" si="141"/>
        <v>2019-20</v>
      </c>
      <c r="G1871" s="1"/>
      <c r="H1871" s="161"/>
      <c r="I1871" s="37"/>
      <c r="J1871" s="135">
        <f t="shared" si="137"/>
        <v>0.76382508261777382</v>
      </c>
      <c r="K1871" s="112"/>
      <c r="L1871" s="37">
        <v>11.3397477249</v>
      </c>
      <c r="M1871" s="37" t="s">
        <v>288</v>
      </c>
      <c r="N1871" s="37">
        <v>812.22926829268283</v>
      </c>
      <c r="O1871" s="130">
        <f t="shared" si="138"/>
        <v>9210.4749972191421</v>
      </c>
      <c r="P1871" s="132">
        <f t="shared" si="139"/>
        <v>848.31582372854291</v>
      </c>
      <c r="Q1871" s="261">
        <v>0.12058176162725365</v>
      </c>
      <c r="R1871" s="92"/>
    </row>
    <row r="1872" spans="1:18" x14ac:dyDescent="0.25">
      <c r="A1872" s="353">
        <v>43679</v>
      </c>
      <c r="B1872" s="353" t="s">
        <v>285</v>
      </c>
      <c r="C1872" s="263" t="s">
        <v>720</v>
      </c>
      <c r="D1872" s="157" t="s">
        <v>697</v>
      </c>
      <c r="E1872" s="44">
        <f t="shared" si="140"/>
        <v>43679</v>
      </c>
      <c r="F1872" s="146" t="str">
        <f t="shared" si="141"/>
        <v>2019-20</v>
      </c>
      <c r="G1872" s="1"/>
      <c r="H1872" s="161"/>
      <c r="I1872" s="37"/>
      <c r="J1872" s="135">
        <f t="shared" si="137"/>
        <v>0.76382508261777382</v>
      </c>
      <c r="K1872" s="112"/>
      <c r="L1872" s="37">
        <v>22.564466957600001</v>
      </c>
      <c r="M1872" s="37" t="s">
        <v>288</v>
      </c>
      <c r="N1872" s="37">
        <v>3592.3639024390236</v>
      </c>
      <c r="O1872" s="130">
        <f t="shared" si="138"/>
        <v>81059.776576260338</v>
      </c>
      <c r="P1872" s="132">
        <f t="shared" si="139"/>
        <v>7465.8789213697964</v>
      </c>
      <c r="Q1872" s="261">
        <v>0.12058176162725365</v>
      </c>
      <c r="R1872" s="92"/>
    </row>
    <row r="1873" spans="1:18" x14ac:dyDescent="0.25">
      <c r="A1873" s="353">
        <v>43679</v>
      </c>
      <c r="B1873" s="353" t="s">
        <v>285</v>
      </c>
      <c r="C1873" s="263" t="s">
        <v>720</v>
      </c>
      <c r="D1873" s="157" t="s">
        <v>697</v>
      </c>
      <c r="E1873" s="44">
        <f t="shared" si="140"/>
        <v>43679</v>
      </c>
      <c r="F1873" s="146" t="str">
        <f t="shared" si="141"/>
        <v>2019-20</v>
      </c>
      <c r="G1873" s="1"/>
      <c r="H1873" s="161"/>
      <c r="I1873" s="37"/>
      <c r="J1873" s="135">
        <f t="shared" si="137"/>
        <v>0.76382508261777382</v>
      </c>
      <c r="K1873" s="112"/>
      <c r="L1873" s="37">
        <v>20.172460435000001</v>
      </c>
      <c r="M1873" s="37" t="s">
        <v>288</v>
      </c>
      <c r="N1873" s="37">
        <v>3336.4019512195118</v>
      </c>
      <c r="O1873" s="130">
        <f t="shared" si="138"/>
        <v>67303.436356232414</v>
      </c>
      <c r="P1873" s="132">
        <f t="shared" si="139"/>
        <v>6198.8735727024987</v>
      </c>
      <c r="Q1873" s="261">
        <v>0.12058176162725365</v>
      </c>
      <c r="R1873" s="92"/>
    </row>
    <row r="1874" spans="1:18" x14ac:dyDescent="0.25">
      <c r="A1874" s="353">
        <v>43679</v>
      </c>
      <c r="B1874" s="353" t="s">
        <v>285</v>
      </c>
      <c r="C1874" s="263" t="s">
        <v>720</v>
      </c>
      <c r="D1874" s="157" t="s">
        <v>697</v>
      </c>
      <c r="E1874" s="44">
        <f t="shared" si="140"/>
        <v>43679</v>
      </c>
      <c r="F1874" s="146" t="str">
        <f t="shared" si="141"/>
        <v>2019-20</v>
      </c>
      <c r="G1874" s="1"/>
      <c r="H1874" s="161"/>
      <c r="I1874" s="37"/>
      <c r="J1874" s="135">
        <f t="shared" si="137"/>
        <v>0.76382508261777382</v>
      </c>
      <c r="K1874" s="112"/>
      <c r="L1874" s="37">
        <v>6.3351625867100001</v>
      </c>
      <c r="M1874" s="37" t="s">
        <v>288</v>
      </c>
      <c r="N1874" s="37">
        <v>950.87219512195099</v>
      </c>
      <c r="O1874" s="130">
        <f t="shared" si="138"/>
        <v>6023.9299552793946</v>
      </c>
      <c r="P1874" s="132">
        <f t="shared" si="139"/>
        <v>554.82427384459231</v>
      </c>
      <c r="Q1874" s="261">
        <v>0.12058176162725365</v>
      </c>
      <c r="R1874" s="92"/>
    </row>
    <row r="1875" spans="1:18" x14ac:dyDescent="0.25">
      <c r="A1875" s="353">
        <v>43679</v>
      </c>
      <c r="B1875" s="353" t="s">
        <v>285</v>
      </c>
      <c r="C1875" s="263" t="s">
        <v>720</v>
      </c>
      <c r="D1875" s="157" t="s">
        <v>697</v>
      </c>
      <c r="E1875" s="44">
        <f t="shared" si="140"/>
        <v>43679</v>
      </c>
      <c r="F1875" s="146" t="str">
        <f t="shared" si="141"/>
        <v>2019-20</v>
      </c>
      <c r="G1875" s="1"/>
      <c r="H1875" s="161"/>
      <c r="I1875" s="37"/>
      <c r="J1875" s="135">
        <f t="shared" si="137"/>
        <v>0.76382508261777382</v>
      </c>
      <c r="K1875" s="112"/>
      <c r="L1875" s="37">
        <v>32.6387653118</v>
      </c>
      <c r="M1875" s="37" t="s">
        <v>288</v>
      </c>
      <c r="N1875" s="37">
        <v>3592.3639024390236</v>
      </c>
      <c r="O1875" s="130">
        <f t="shared" si="138"/>
        <v>117250.32232628929</v>
      </c>
      <c r="P1875" s="132">
        <f t="shared" si="139"/>
        <v>10799.150293192713</v>
      </c>
      <c r="Q1875" s="261">
        <v>0.12058176162725365</v>
      </c>
      <c r="R1875" s="92"/>
    </row>
    <row r="1876" spans="1:18" x14ac:dyDescent="0.25">
      <c r="A1876" s="353">
        <v>43679</v>
      </c>
      <c r="B1876" s="353" t="s">
        <v>285</v>
      </c>
      <c r="C1876" s="263" t="s">
        <v>720</v>
      </c>
      <c r="D1876" s="157" t="s">
        <v>697</v>
      </c>
      <c r="E1876" s="44">
        <f t="shared" si="140"/>
        <v>43679</v>
      </c>
      <c r="F1876" s="146" t="str">
        <f t="shared" si="141"/>
        <v>2019-20</v>
      </c>
      <c r="G1876" s="1"/>
      <c r="H1876" s="161"/>
      <c r="I1876" s="37"/>
      <c r="J1876" s="135">
        <f t="shared" si="137"/>
        <v>0.76382508261777382</v>
      </c>
      <c r="K1876" s="112"/>
      <c r="L1876" s="37">
        <v>21.081411741899998</v>
      </c>
      <c r="M1876" s="37" t="s">
        <v>288</v>
      </c>
      <c r="N1876" s="37">
        <v>812.22926829268283</v>
      </c>
      <c r="O1876" s="130">
        <f t="shared" si="138"/>
        <v>17122.939633700207</v>
      </c>
      <c r="P1876" s="132">
        <f t="shared" si="139"/>
        <v>1577.0805136979516</v>
      </c>
      <c r="Q1876" s="261">
        <v>0.12058176162725365</v>
      </c>
      <c r="R1876" s="92"/>
    </row>
    <row r="1877" spans="1:18" x14ac:dyDescent="0.25">
      <c r="A1877" s="353">
        <v>43679</v>
      </c>
      <c r="B1877" s="353" t="s">
        <v>285</v>
      </c>
      <c r="C1877" s="263" t="s">
        <v>720</v>
      </c>
      <c r="D1877" s="157" t="s">
        <v>697</v>
      </c>
      <c r="E1877" s="44">
        <f t="shared" si="140"/>
        <v>43679</v>
      </c>
      <c r="F1877" s="146" t="str">
        <f t="shared" si="141"/>
        <v>2019-20</v>
      </c>
      <c r="G1877" s="1"/>
      <c r="H1877" s="161"/>
      <c r="I1877" s="37"/>
      <c r="J1877" s="135">
        <f t="shared" si="137"/>
        <v>0.76382508261777382</v>
      </c>
      <c r="K1877" s="112"/>
      <c r="L1877" s="37">
        <v>9.6649007249800007</v>
      </c>
      <c r="M1877" s="37" t="s">
        <v>288</v>
      </c>
      <c r="N1877" s="37">
        <v>812.22926829268283</v>
      </c>
      <c r="O1877" s="130">
        <f t="shared" si="138"/>
        <v>7850.1152439719262</v>
      </c>
      <c r="P1877" s="132">
        <f t="shared" si="139"/>
        <v>723.02210055015155</v>
      </c>
      <c r="Q1877" s="261">
        <v>0.12058176162725365</v>
      </c>
      <c r="R1877" s="92"/>
    </row>
    <row r="1878" spans="1:18" x14ac:dyDescent="0.25">
      <c r="A1878" s="353">
        <v>43679</v>
      </c>
      <c r="B1878" s="353" t="s">
        <v>285</v>
      </c>
      <c r="C1878" s="263" t="s">
        <v>720</v>
      </c>
      <c r="D1878" s="157" t="s">
        <v>697</v>
      </c>
      <c r="E1878" s="44">
        <f t="shared" si="140"/>
        <v>43679</v>
      </c>
      <c r="F1878" s="146" t="str">
        <f t="shared" si="141"/>
        <v>2019-20</v>
      </c>
      <c r="G1878" s="1"/>
      <c r="H1878" s="161"/>
      <c r="I1878" s="37"/>
      <c r="J1878" s="135">
        <f t="shared" si="137"/>
        <v>0.76382508261777382</v>
      </c>
      <c r="K1878" s="112"/>
      <c r="L1878" s="37">
        <v>5.7202021817400004</v>
      </c>
      <c r="M1878" s="37" t="s">
        <v>288</v>
      </c>
      <c r="N1878" s="37">
        <v>812.22926829268283</v>
      </c>
      <c r="O1878" s="130">
        <f t="shared" si="138"/>
        <v>4646.1156325608881</v>
      </c>
      <c r="P1878" s="132">
        <f t="shared" si="139"/>
        <v>427.92292592552963</v>
      </c>
      <c r="Q1878" s="261">
        <v>0.12058176162725365</v>
      </c>
      <c r="R1878" s="92"/>
    </row>
    <row r="1879" spans="1:18" x14ac:dyDescent="0.25">
      <c r="A1879" s="353">
        <v>43679</v>
      </c>
      <c r="B1879" s="353" t="s">
        <v>285</v>
      </c>
      <c r="C1879" s="263" t="s">
        <v>720</v>
      </c>
      <c r="D1879" s="157" t="s">
        <v>697</v>
      </c>
      <c r="E1879" s="44">
        <f t="shared" si="140"/>
        <v>43679</v>
      </c>
      <c r="F1879" s="146" t="str">
        <f t="shared" si="141"/>
        <v>2019-20</v>
      </c>
      <c r="G1879" s="1"/>
      <c r="H1879" s="161"/>
      <c r="I1879" s="37"/>
      <c r="J1879" s="135">
        <f t="shared" si="137"/>
        <v>0.76382508261777382</v>
      </c>
      <c r="K1879" s="112"/>
      <c r="L1879" s="37">
        <v>32.529544513700003</v>
      </c>
      <c r="M1879" s="37" t="s">
        <v>288</v>
      </c>
      <c r="N1879" s="37">
        <v>950.87219512195099</v>
      </c>
      <c r="O1879" s="130">
        <f t="shared" si="138"/>
        <v>30931.439398059141</v>
      </c>
      <c r="P1879" s="132">
        <f t="shared" si="139"/>
        <v>2848.8899323863757</v>
      </c>
      <c r="Q1879" s="261">
        <v>0.12058176162725365</v>
      </c>
      <c r="R1879" s="92"/>
    </row>
    <row r="1880" spans="1:18" x14ac:dyDescent="0.25">
      <c r="A1880" s="353">
        <v>43679</v>
      </c>
      <c r="B1880" s="353" t="s">
        <v>285</v>
      </c>
      <c r="C1880" s="263" t="s">
        <v>720</v>
      </c>
      <c r="D1880" s="157" t="s">
        <v>697</v>
      </c>
      <c r="E1880" s="44">
        <f t="shared" si="140"/>
        <v>43679</v>
      </c>
      <c r="F1880" s="146" t="str">
        <f t="shared" si="141"/>
        <v>2019-20</v>
      </c>
      <c r="G1880" s="1"/>
      <c r="H1880" s="161"/>
      <c r="I1880" s="37"/>
      <c r="J1880" s="135">
        <f t="shared" si="137"/>
        <v>0.76382508261777382</v>
      </c>
      <c r="K1880" s="112"/>
      <c r="L1880" s="37">
        <v>53.027424508000003</v>
      </c>
      <c r="M1880" s="37" t="s">
        <v>288</v>
      </c>
      <c r="N1880" s="37">
        <v>812.22926829268283</v>
      </c>
      <c r="O1880" s="130">
        <f t="shared" si="138"/>
        <v>43070.426207578319</v>
      </c>
      <c r="P1880" s="132">
        <f t="shared" si="139"/>
        <v>3966.9315749353532</v>
      </c>
      <c r="Q1880" s="261">
        <v>0.12058176162725365</v>
      </c>
      <c r="R1880" s="92"/>
    </row>
    <row r="1881" spans="1:18" x14ac:dyDescent="0.25">
      <c r="A1881" s="353">
        <v>43679</v>
      </c>
      <c r="B1881" s="353" t="s">
        <v>285</v>
      </c>
      <c r="C1881" s="263" t="s">
        <v>720</v>
      </c>
      <c r="D1881" s="157" t="s">
        <v>697</v>
      </c>
      <c r="E1881" s="44">
        <f t="shared" si="140"/>
        <v>43679</v>
      </c>
      <c r="F1881" s="146" t="str">
        <f t="shared" si="141"/>
        <v>2019-20</v>
      </c>
      <c r="G1881" s="1"/>
      <c r="H1881" s="161"/>
      <c r="I1881" s="37"/>
      <c r="J1881" s="135">
        <f t="shared" si="137"/>
        <v>0.76382508261777382</v>
      </c>
      <c r="K1881" s="112"/>
      <c r="L1881" s="37">
        <v>49.5501885555</v>
      </c>
      <c r="M1881" s="37" t="s">
        <v>288</v>
      </c>
      <c r="N1881" s="37">
        <v>812.22926829268283</v>
      </c>
      <c r="O1881" s="130">
        <f t="shared" si="138"/>
        <v>40246.113394198233</v>
      </c>
      <c r="P1881" s="132">
        <f t="shared" si="139"/>
        <v>3706.8028354867374</v>
      </c>
      <c r="Q1881" s="261">
        <v>0.12058176162725365</v>
      </c>
      <c r="R1881" s="92"/>
    </row>
    <row r="1882" spans="1:18" x14ac:dyDescent="0.25">
      <c r="A1882" s="353">
        <v>43679</v>
      </c>
      <c r="B1882" s="353" t="s">
        <v>285</v>
      </c>
      <c r="C1882" s="263" t="s">
        <v>720</v>
      </c>
      <c r="D1882" s="157" t="s">
        <v>697</v>
      </c>
      <c r="E1882" s="44">
        <f t="shared" si="140"/>
        <v>43679</v>
      </c>
      <c r="F1882" s="146" t="str">
        <f t="shared" si="141"/>
        <v>2019-20</v>
      </c>
      <c r="G1882" s="1"/>
      <c r="H1882" s="161"/>
      <c r="I1882" s="37"/>
      <c r="J1882" s="135">
        <f t="shared" ref="J1882:J1945" si="142">J1881</f>
        <v>0.76382508261777382</v>
      </c>
      <c r="K1882" s="112"/>
      <c r="L1882" s="37">
        <v>85.205797983799997</v>
      </c>
      <c r="M1882" s="37" t="s">
        <v>288</v>
      </c>
      <c r="N1882" s="37">
        <v>950.87219512195099</v>
      </c>
      <c r="O1882" s="130">
        <f t="shared" ref="O1882:O1945" si="143">IF(N1882="","-",L1882*N1882)</f>
        <v>81019.824165973405</v>
      </c>
      <c r="P1882" s="132">
        <f t="shared" ref="P1882:P1945" si="144">IF(O1882="-","-",IF(OR(E1882&lt;$E$15,E1882&gt;$E$16),0,O1882*J1882))*Q1882</f>
        <v>7462.199169581454</v>
      </c>
      <c r="Q1882" s="261">
        <v>0.12058176162725365</v>
      </c>
      <c r="R1882" s="92"/>
    </row>
    <row r="1883" spans="1:18" x14ac:dyDescent="0.25">
      <c r="A1883" s="353">
        <v>43679</v>
      </c>
      <c r="B1883" s="353" t="s">
        <v>285</v>
      </c>
      <c r="C1883" s="263" t="s">
        <v>720</v>
      </c>
      <c r="D1883" s="157" t="s">
        <v>697</v>
      </c>
      <c r="E1883" s="44">
        <f t="shared" ref="E1883:E1946" si="145">IF(VALUE(A1883)&lt;2022,DATEVALUE("30 Jun "&amp;A1883),A1883)</f>
        <v>43679</v>
      </c>
      <c r="F1883" s="146" t="str">
        <f t="shared" si="141"/>
        <v>2019-20</v>
      </c>
      <c r="G1883" s="1"/>
      <c r="H1883" s="161"/>
      <c r="I1883" s="37"/>
      <c r="J1883" s="135">
        <f t="shared" si="142"/>
        <v>0.76382508261777382</v>
      </c>
      <c r="K1883" s="112"/>
      <c r="L1883" s="37">
        <v>26.546636491299999</v>
      </c>
      <c r="M1883" s="37" t="s">
        <v>288</v>
      </c>
      <c r="N1883" s="37">
        <v>3875.3912195121943</v>
      </c>
      <c r="O1883" s="130">
        <f t="shared" si="143"/>
        <v>102878.60196596602</v>
      </c>
      <c r="P1883" s="132">
        <f t="shared" si="144"/>
        <v>9475.4663572887694</v>
      </c>
      <c r="Q1883" s="261">
        <v>0.12058176162725365</v>
      </c>
      <c r="R1883" s="92"/>
    </row>
    <row r="1884" spans="1:18" x14ac:dyDescent="0.25">
      <c r="A1884" s="353">
        <v>43679</v>
      </c>
      <c r="B1884" s="353" t="s">
        <v>285</v>
      </c>
      <c r="C1884" s="263" t="s">
        <v>720</v>
      </c>
      <c r="D1884" s="157" t="s">
        <v>697</v>
      </c>
      <c r="E1884" s="44">
        <f t="shared" si="145"/>
        <v>43679</v>
      </c>
      <c r="F1884" s="146" t="str">
        <f t="shared" si="141"/>
        <v>2019-20</v>
      </c>
      <c r="G1884" s="1"/>
      <c r="H1884" s="161"/>
      <c r="I1884" s="37"/>
      <c r="J1884" s="135">
        <f t="shared" si="142"/>
        <v>0.76382508261777382</v>
      </c>
      <c r="K1884" s="112"/>
      <c r="L1884" s="37">
        <v>6.1538698393800004</v>
      </c>
      <c r="M1884" s="37" t="s">
        <v>288</v>
      </c>
      <c r="N1884" s="37">
        <v>950.87219512195099</v>
      </c>
      <c r="O1884" s="130">
        <f t="shared" si="143"/>
        <v>5851.5437226660288</v>
      </c>
      <c r="P1884" s="132">
        <f t="shared" si="144"/>
        <v>538.94692018335115</v>
      </c>
      <c r="Q1884" s="261">
        <v>0.12058176162725365</v>
      </c>
      <c r="R1884" s="92"/>
    </row>
    <row r="1885" spans="1:18" x14ac:dyDescent="0.25">
      <c r="A1885" s="353">
        <v>43679</v>
      </c>
      <c r="B1885" s="353" t="s">
        <v>285</v>
      </c>
      <c r="C1885" s="263" t="s">
        <v>720</v>
      </c>
      <c r="D1885" s="157" t="s">
        <v>697</v>
      </c>
      <c r="E1885" s="44">
        <f t="shared" si="145"/>
        <v>43679</v>
      </c>
      <c r="F1885" s="146" t="str">
        <f t="shared" si="141"/>
        <v>2019-20</v>
      </c>
      <c r="G1885" s="1"/>
      <c r="H1885" s="161"/>
      <c r="I1885" s="37"/>
      <c r="J1885" s="135">
        <f t="shared" si="142"/>
        <v>0.76382508261777382</v>
      </c>
      <c r="K1885" s="112"/>
      <c r="L1885" s="37">
        <v>22.641668187899999</v>
      </c>
      <c r="M1885" s="37" t="s">
        <v>288</v>
      </c>
      <c r="N1885" s="37">
        <v>3592.3639024390236</v>
      </c>
      <c r="O1885" s="130">
        <f t="shared" si="143"/>
        <v>81337.11148921393</v>
      </c>
      <c r="P1885" s="132">
        <f t="shared" si="144"/>
        <v>7491.422402591118</v>
      </c>
      <c r="Q1885" s="261">
        <v>0.12058176162725365</v>
      </c>
      <c r="R1885" s="92"/>
    </row>
    <row r="1886" spans="1:18" x14ac:dyDescent="0.25">
      <c r="A1886" s="353">
        <v>43679</v>
      </c>
      <c r="B1886" s="353" t="s">
        <v>285</v>
      </c>
      <c r="C1886" s="263" t="s">
        <v>720</v>
      </c>
      <c r="D1886" s="157" t="s">
        <v>697</v>
      </c>
      <c r="E1886" s="44">
        <f t="shared" si="145"/>
        <v>43679</v>
      </c>
      <c r="F1886" s="146" t="str">
        <f t="shared" si="141"/>
        <v>2019-20</v>
      </c>
      <c r="G1886" s="1"/>
      <c r="H1886" s="161"/>
      <c r="I1886" s="37"/>
      <c r="J1886" s="135">
        <f t="shared" si="142"/>
        <v>0.76382508261777382</v>
      </c>
      <c r="K1886" s="112"/>
      <c r="L1886" s="37">
        <v>8.6718654279200003</v>
      </c>
      <c r="M1886" s="37" t="s">
        <v>288</v>
      </c>
      <c r="N1886" s="37">
        <v>812.22926829268283</v>
      </c>
      <c r="O1886" s="130">
        <f t="shared" si="143"/>
        <v>7043.5429112520751</v>
      </c>
      <c r="P1886" s="132">
        <f t="shared" si="144"/>
        <v>648.73406730165163</v>
      </c>
      <c r="Q1886" s="261">
        <v>0.12058176162725365</v>
      </c>
      <c r="R1886" s="92"/>
    </row>
    <row r="1887" spans="1:18" x14ac:dyDescent="0.25">
      <c r="A1887" s="353">
        <v>43679</v>
      </c>
      <c r="B1887" s="353" t="s">
        <v>285</v>
      </c>
      <c r="C1887" s="263" t="s">
        <v>720</v>
      </c>
      <c r="D1887" s="157" t="s">
        <v>697</v>
      </c>
      <c r="E1887" s="44">
        <f t="shared" si="145"/>
        <v>43679</v>
      </c>
      <c r="F1887" s="146" t="str">
        <f t="shared" si="141"/>
        <v>2019-20</v>
      </c>
      <c r="G1887" s="1"/>
      <c r="H1887" s="161"/>
      <c r="I1887" s="37"/>
      <c r="J1887" s="135">
        <f t="shared" si="142"/>
        <v>0.76382508261777382</v>
      </c>
      <c r="K1887" s="112"/>
      <c r="L1887" s="37">
        <v>62.821211830899998</v>
      </c>
      <c r="M1887" s="37" t="s">
        <v>288</v>
      </c>
      <c r="N1887" s="37">
        <v>3592.3639024390236</v>
      </c>
      <c r="O1887" s="130">
        <f t="shared" si="143"/>
        <v>225676.65368880046</v>
      </c>
      <c r="P1887" s="132">
        <f t="shared" si="144"/>
        <v>20785.581246148282</v>
      </c>
      <c r="Q1887" s="261">
        <v>0.12058176162725365</v>
      </c>
      <c r="R1887" s="92"/>
    </row>
    <row r="1888" spans="1:18" x14ac:dyDescent="0.25">
      <c r="A1888" s="353">
        <v>43679</v>
      </c>
      <c r="B1888" s="353" t="s">
        <v>285</v>
      </c>
      <c r="C1888" s="263" t="s">
        <v>720</v>
      </c>
      <c r="D1888" s="157" t="s">
        <v>697</v>
      </c>
      <c r="E1888" s="44">
        <f t="shared" si="145"/>
        <v>43679</v>
      </c>
      <c r="F1888" s="146" t="str">
        <f t="shared" si="141"/>
        <v>2019-20</v>
      </c>
      <c r="G1888" s="1"/>
      <c r="H1888" s="161"/>
      <c r="I1888" s="37"/>
      <c r="J1888" s="135">
        <f t="shared" si="142"/>
        <v>0.76382508261777382</v>
      </c>
      <c r="K1888" s="112"/>
      <c r="L1888" s="37">
        <v>77.1864163244</v>
      </c>
      <c r="M1888" s="37" t="s">
        <v>288</v>
      </c>
      <c r="N1888" s="37">
        <v>950.87219512195099</v>
      </c>
      <c r="O1888" s="130">
        <f t="shared" si="143"/>
        <v>73394.417123979016</v>
      </c>
      <c r="P1888" s="132">
        <f t="shared" si="144"/>
        <v>6759.8734526072521</v>
      </c>
      <c r="Q1888" s="261">
        <v>0.12058176162725365</v>
      </c>
      <c r="R1888" s="92"/>
    </row>
    <row r="1889" spans="1:18" x14ac:dyDescent="0.25">
      <c r="A1889" s="353">
        <v>43679</v>
      </c>
      <c r="B1889" s="353" t="s">
        <v>285</v>
      </c>
      <c r="C1889" s="263" t="s">
        <v>720</v>
      </c>
      <c r="D1889" s="157" t="s">
        <v>697</v>
      </c>
      <c r="E1889" s="44">
        <f t="shared" si="145"/>
        <v>43679</v>
      </c>
      <c r="F1889" s="146" t="str">
        <f t="shared" si="141"/>
        <v>2019-20</v>
      </c>
      <c r="G1889" s="1"/>
      <c r="H1889" s="161"/>
      <c r="I1889" s="37"/>
      <c r="J1889" s="135">
        <f t="shared" si="142"/>
        <v>0.76382508261777382</v>
      </c>
      <c r="K1889" s="112"/>
      <c r="L1889" s="37">
        <v>54.170512627599997</v>
      </c>
      <c r="M1889" s="37" t="s">
        <v>288</v>
      </c>
      <c r="N1889" s="37">
        <v>812.22926829268283</v>
      </c>
      <c r="O1889" s="130">
        <f t="shared" si="143"/>
        <v>43998.875834555081</v>
      </c>
      <c r="P1889" s="132">
        <f t="shared" si="144"/>
        <v>4052.4449182034305</v>
      </c>
      <c r="Q1889" s="261">
        <v>0.12058176162725365</v>
      </c>
      <c r="R1889" s="92"/>
    </row>
    <row r="1890" spans="1:18" x14ac:dyDescent="0.25">
      <c r="A1890" s="353">
        <v>43679</v>
      </c>
      <c r="B1890" s="353" t="s">
        <v>285</v>
      </c>
      <c r="C1890" s="263" t="s">
        <v>720</v>
      </c>
      <c r="D1890" s="157" t="s">
        <v>697</v>
      </c>
      <c r="E1890" s="44">
        <f t="shared" si="145"/>
        <v>43679</v>
      </c>
      <c r="F1890" s="146" t="str">
        <f t="shared" si="141"/>
        <v>2019-20</v>
      </c>
      <c r="G1890" s="1"/>
      <c r="H1890" s="161"/>
      <c r="I1890" s="37"/>
      <c r="J1890" s="135">
        <f t="shared" si="142"/>
        <v>0.76382508261777382</v>
      </c>
      <c r="K1890" s="112"/>
      <c r="L1890" s="37">
        <v>70.194387999400007</v>
      </c>
      <c r="M1890" s="37" t="s">
        <v>288</v>
      </c>
      <c r="N1890" s="37">
        <v>3592.3639024390236</v>
      </c>
      <c r="O1890" s="130">
        <f t="shared" si="143"/>
        <v>252163.78560284356</v>
      </c>
      <c r="P1890" s="132">
        <f t="shared" si="144"/>
        <v>23225.1354639983</v>
      </c>
      <c r="Q1890" s="261">
        <v>0.12058176162725365</v>
      </c>
      <c r="R1890" s="92"/>
    </row>
    <row r="1891" spans="1:18" x14ac:dyDescent="0.25">
      <c r="A1891" s="353">
        <v>43362</v>
      </c>
      <c r="B1891" s="353" t="s">
        <v>285</v>
      </c>
      <c r="C1891" s="263" t="s">
        <v>721</v>
      </c>
      <c r="D1891" s="157" t="s">
        <v>701</v>
      </c>
      <c r="E1891" s="44">
        <f t="shared" si="145"/>
        <v>43362</v>
      </c>
      <c r="F1891" s="146" t="str">
        <f t="shared" si="141"/>
        <v>2018-19</v>
      </c>
      <c r="G1891" s="1"/>
      <c r="H1891" s="161"/>
      <c r="I1891" s="37"/>
      <c r="J1891" s="135">
        <f t="shared" si="142"/>
        <v>0.76382508261777382</v>
      </c>
      <c r="K1891" s="112"/>
      <c r="L1891" s="37">
        <v>21.663577036100001</v>
      </c>
      <c r="M1891" s="37" t="s">
        <v>288</v>
      </c>
      <c r="N1891" s="37">
        <v>3875.3912195121943</v>
      </c>
      <c r="O1891" s="130">
        <f t="shared" si="143"/>
        <v>83954.836228927947</v>
      </c>
      <c r="P1891" s="132">
        <f t="shared" si="144"/>
        <v>14391.680489858232</v>
      </c>
      <c r="Q1891" s="261">
        <v>0.22442533088709724</v>
      </c>
      <c r="R1891" s="92"/>
    </row>
    <row r="1892" spans="1:18" x14ac:dyDescent="0.25">
      <c r="A1892" s="353">
        <v>43362</v>
      </c>
      <c r="B1892" s="353" t="s">
        <v>285</v>
      </c>
      <c r="C1892" s="263" t="s">
        <v>721</v>
      </c>
      <c r="D1892" s="157" t="s">
        <v>701</v>
      </c>
      <c r="E1892" s="44">
        <f t="shared" si="145"/>
        <v>43362</v>
      </c>
      <c r="F1892" s="146" t="str">
        <f t="shared" si="141"/>
        <v>2018-19</v>
      </c>
      <c r="G1892" s="1"/>
      <c r="H1892" s="161"/>
      <c r="I1892" s="37"/>
      <c r="J1892" s="135">
        <f t="shared" si="142"/>
        <v>0.76382508261777382</v>
      </c>
      <c r="K1892" s="112"/>
      <c r="L1892" s="37">
        <v>42.784587207400001</v>
      </c>
      <c r="M1892" s="37" t="s">
        <v>288</v>
      </c>
      <c r="N1892" s="37">
        <v>1162.6195121951216</v>
      </c>
      <c r="O1892" s="130">
        <f t="shared" si="143"/>
        <v>49742.195908537033</v>
      </c>
      <c r="P1892" s="132">
        <f t="shared" si="144"/>
        <v>8526.8916304899303</v>
      </c>
      <c r="Q1892" s="261">
        <v>0.22442533088709724</v>
      </c>
      <c r="R1892" s="92"/>
    </row>
    <row r="1893" spans="1:18" x14ac:dyDescent="0.25">
      <c r="A1893" s="353">
        <v>43362</v>
      </c>
      <c r="B1893" s="353" t="s">
        <v>285</v>
      </c>
      <c r="C1893" s="263" t="s">
        <v>721</v>
      </c>
      <c r="D1893" s="157" t="s">
        <v>701</v>
      </c>
      <c r="E1893" s="44">
        <f t="shared" si="145"/>
        <v>43362</v>
      </c>
      <c r="F1893" s="146" t="str">
        <f t="shared" si="141"/>
        <v>2018-19</v>
      </c>
      <c r="G1893" s="1"/>
      <c r="H1893" s="161"/>
      <c r="I1893" s="37"/>
      <c r="J1893" s="135">
        <f t="shared" si="142"/>
        <v>0.76382508261777382</v>
      </c>
      <c r="K1893" s="112"/>
      <c r="L1893" s="37">
        <v>45.0555598567</v>
      </c>
      <c r="M1893" s="37" t="s">
        <v>288</v>
      </c>
      <c r="N1893" s="37">
        <v>1162.6195121951216</v>
      </c>
      <c r="O1893" s="130">
        <f t="shared" si="143"/>
        <v>52382.473022274658</v>
      </c>
      <c r="P1893" s="132">
        <f t="shared" si="144"/>
        <v>8979.4924136298559</v>
      </c>
      <c r="Q1893" s="261">
        <v>0.22442533088709724</v>
      </c>
      <c r="R1893" s="92"/>
    </row>
    <row r="1894" spans="1:18" x14ac:dyDescent="0.25">
      <c r="A1894" s="353">
        <v>43362</v>
      </c>
      <c r="B1894" s="353" t="s">
        <v>285</v>
      </c>
      <c r="C1894" s="263" t="s">
        <v>721</v>
      </c>
      <c r="D1894" s="157" t="s">
        <v>701</v>
      </c>
      <c r="E1894" s="44">
        <f t="shared" si="145"/>
        <v>43362</v>
      </c>
      <c r="F1894" s="146" t="str">
        <f t="shared" si="141"/>
        <v>2018-19</v>
      </c>
      <c r="G1894" s="1"/>
      <c r="H1894" s="161"/>
      <c r="I1894" s="37"/>
      <c r="J1894" s="135">
        <f t="shared" si="142"/>
        <v>0.76382508261777382</v>
      </c>
      <c r="K1894" s="112"/>
      <c r="L1894" s="37">
        <v>17.044359285199999</v>
      </c>
      <c r="M1894" s="37" t="s">
        <v>288</v>
      </c>
      <c r="N1894" s="37">
        <v>1162.6195121951216</v>
      </c>
      <c r="O1894" s="130">
        <f t="shared" si="143"/>
        <v>19816.104677837615</v>
      </c>
      <c r="P1894" s="132">
        <f t="shared" si="144"/>
        <v>3396.9102899489476</v>
      </c>
      <c r="Q1894" s="261">
        <v>0.22442533088709724</v>
      </c>
      <c r="R1894" s="92"/>
    </row>
    <row r="1895" spans="1:18" x14ac:dyDescent="0.25">
      <c r="A1895" s="353">
        <v>43362</v>
      </c>
      <c r="B1895" s="353" t="s">
        <v>285</v>
      </c>
      <c r="C1895" s="263" t="s">
        <v>721</v>
      </c>
      <c r="D1895" s="157" t="s">
        <v>701</v>
      </c>
      <c r="E1895" s="44">
        <f t="shared" si="145"/>
        <v>43362</v>
      </c>
      <c r="F1895" s="146" t="str">
        <f t="shared" si="141"/>
        <v>2018-19</v>
      </c>
      <c r="G1895" s="1"/>
      <c r="H1895" s="161"/>
      <c r="I1895" s="37"/>
      <c r="J1895" s="135">
        <f t="shared" si="142"/>
        <v>0.76382508261777382</v>
      </c>
      <c r="K1895" s="112"/>
      <c r="L1895" s="37">
        <v>65.861739310700003</v>
      </c>
      <c r="M1895" s="37" t="s">
        <v>288</v>
      </c>
      <c r="N1895" s="37">
        <v>3875.3912195121943</v>
      </c>
      <c r="O1895" s="130">
        <f t="shared" si="143"/>
        <v>255240.00622648792</v>
      </c>
      <c r="P1895" s="132">
        <f t="shared" si="144"/>
        <v>43753.674985734011</v>
      </c>
      <c r="Q1895" s="261">
        <v>0.22442533088709724</v>
      </c>
      <c r="R1895" s="92"/>
    </row>
    <row r="1896" spans="1:18" x14ac:dyDescent="0.25">
      <c r="A1896" s="353">
        <v>43362</v>
      </c>
      <c r="B1896" s="353" t="s">
        <v>285</v>
      </c>
      <c r="C1896" s="263" t="s">
        <v>721</v>
      </c>
      <c r="D1896" s="157" t="s">
        <v>701</v>
      </c>
      <c r="E1896" s="44">
        <f t="shared" si="145"/>
        <v>43362</v>
      </c>
      <c r="F1896" s="146" t="str">
        <f t="shared" si="141"/>
        <v>2018-19</v>
      </c>
      <c r="G1896" s="1"/>
      <c r="H1896" s="161"/>
      <c r="I1896" s="37"/>
      <c r="J1896" s="135">
        <f t="shared" si="142"/>
        <v>0.76382508261777382</v>
      </c>
      <c r="K1896" s="112"/>
      <c r="L1896" s="37">
        <v>59.090759971399997</v>
      </c>
      <c r="M1896" s="37" t="s">
        <v>288</v>
      </c>
      <c r="N1896" s="37">
        <v>3875.3912195121943</v>
      </c>
      <c r="O1896" s="130">
        <f t="shared" si="143"/>
        <v>228999.81234746618</v>
      </c>
      <c r="P1896" s="132">
        <f t="shared" si="144"/>
        <v>39255.536423840269</v>
      </c>
      <c r="Q1896" s="261">
        <v>0.22442533088709724</v>
      </c>
      <c r="R1896" s="92"/>
    </row>
    <row r="1897" spans="1:18" x14ac:dyDescent="0.25">
      <c r="A1897" s="353">
        <v>43362</v>
      </c>
      <c r="B1897" s="353" t="s">
        <v>285</v>
      </c>
      <c r="C1897" s="263" t="s">
        <v>721</v>
      </c>
      <c r="D1897" s="157" t="s">
        <v>701</v>
      </c>
      <c r="E1897" s="44">
        <f t="shared" si="145"/>
        <v>43362</v>
      </c>
      <c r="F1897" s="146" t="str">
        <f t="shared" si="141"/>
        <v>2018-19</v>
      </c>
      <c r="G1897" s="1"/>
      <c r="H1897" s="161"/>
      <c r="I1897" s="37"/>
      <c r="J1897" s="135">
        <f t="shared" si="142"/>
        <v>0.76382508261777382</v>
      </c>
      <c r="K1897" s="112"/>
      <c r="L1897" s="37">
        <v>22.091130188400001</v>
      </c>
      <c r="M1897" s="37" t="s">
        <v>288</v>
      </c>
      <c r="N1897" s="37">
        <v>3592.3639024390236</v>
      </c>
      <c r="O1897" s="130">
        <f t="shared" si="143"/>
        <v>79359.378652889151</v>
      </c>
      <c r="P1897" s="132">
        <f t="shared" si="144"/>
        <v>13603.919354112482</v>
      </c>
      <c r="Q1897" s="261">
        <v>0.22442533088709724</v>
      </c>
      <c r="R1897" s="92"/>
    </row>
    <row r="1898" spans="1:18" x14ac:dyDescent="0.25">
      <c r="A1898" s="353">
        <v>43362</v>
      </c>
      <c r="B1898" s="353" t="s">
        <v>285</v>
      </c>
      <c r="C1898" s="263" t="s">
        <v>721</v>
      </c>
      <c r="D1898" s="157" t="s">
        <v>701</v>
      </c>
      <c r="E1898" s="44">
        <f t="shared" si="145"/>
        <v>43362</v>
      </c>
      <c r="F1898" s="146" t="str">
        <f t="shared" si="141"/>
        <v>2018-19</v>
      </c>
      <c r="G1898" s="1"/>
      <c r="H1898" s="161"/>
      <c r="I1898" s="37"/>
      <c r="J1898" s="135">
        <f t="shared" si="142"/>
        <v>0.76382508261777382</v>
      </c>
      <c r="K1898" s="112"/>
      <c r="L1898" s="37">
        <v>64.2137708395</v>
      </c>
      <c r="M1898" s="37" t="s">
        <v>288</v>
      </c>
      <c r="N1898" s="37">
        <v>1162.6195121951216</v>
      </c>
      <c r="O1898" s="130">
        <f t="shared" si="143"/>
        <v>74656.18292962882</v>
      </c>
      <c r="P1898" s="132">
        <f t="shared" si="144"/>
        <v>12797.689562348471</v>
      </c>
      <c r="Q1898" s="261">
        <v>0.22442533088709724</v>
      </c>
      <c r="R1898" s="92"/>
    </row>
    <row r="1899" spans="1:18" x14ac:dyDescent="0.25">
      <c r="A1899" s="353">
        <v>43362</v>
      </c>
      <c r="B1899" s="353" t="s">
        <v>285</v>
      </c>
      <c r="C1899" s="263" t="s">
        <v>721</v>
      </c>
      <c r="D1899" s="157" t="s">
        <v>701</v>
      </c>
      <c r="E1899" s="44">
        <f t="shared" si="145"/>
        <v>43362</v>
      </c>
      <c r="F1899" s="146" t="str">
        <f t="shared" si="141"/>
        <v>2018-19</v>
      </c>
      <c r="G1899" s="1"/>
      <c r="H1899" s="161"/>
      <c r="I1899" s="37"/>
      <c r="J1899" s="135">
        <f t="shared" si="142"/>
        <v>0.76382508261777382</v>
      </c>
      <c r="K1899" s="112"/>
      <c r="L1899" s="37">
        <v>16.434457133999999</v>
      </c>
      <c r="M1899" s="37" t="s">
        <v>288</v>
      </c>
      <c r="N1899" s="37">
        <v>1162.6195121951216</v>
      </c>
      <c r="O1899" s="130">
        <f t="shared" si="143"/>
        <v>19107.020536322714</v>
      </c>
      <c r="P1899" s="132">
        <f t="shared" si="144"/>
        <v>3275.3578831610753</v>
      </c>
      <c r="Q1899" s="261">
        <v>0.22442533088709724</v>
      </c>
      <c r="R1899" s="92"/>
    </row>
    <row r="1900" spans="1:18" x14ac:dyDescent="0.25">
      <c r="A1900" s="353">
        <v>43362</v>
      </c>
      <c r="B1900" s="353" t="s">
        <v>285</v>
      </c>
      <c r="C1900" s="263" t="s">
        <v>721</v>
      </c>
      <c r="D1900" s="157" t="s">
        <v>701</v>
      </c>
      <c r="E1900" s="44">
        <f t="shared" si="145"/>
        <v>43362</v>
      </c>
      <c r="F1900" s="146" t="str">
        <f t="shared" si="141"/>
        <v>2018-19</v>
      </c>
      <c r="G1900" s="1"/>
      <c r="H1900" s="161"/>
      <c r="I1900" s="37"/>
      <c r="J1900" s="135">
        <f t="shared" si="142"/>
        <v>0.76382508261777382</v>
      </c>
      <c r="K1900" s="112"/>
      <c r="L1900" s="37">
        <v>94.792879486299995</v>
      </c>
      <c r="M1900" s="37" t="s">
        <v>288</v>
      </c>
      <c r="N1900" s="37">
        <v>1162.6195121951216</v>
      </c>
      <c r="O1900" s="130">
        <f t="shared" si="143"/>
        <v>110208.05130793306</v>
      </c>
      <c r="P1900" s="132">
        <f t="shared" si="144"/>
        <v>18892.051167948881</v>
      </c>
      <c r="Q1900" s="261">
        <v>0.22442533088709724</v>
      </c>
      <c r="R1900" s="92"/>
    </row>
    <row r="1901" spans="1:18" x14ac:dyDescent="0.25">
      <c r="A1901" s="353">
        <v>43362</v>
      </c>
      <c r="B1901" s="353" t="s">
        <v>285</v>
      </c>
      <c r="C1901" s="263" t="s">
        <v>721</v>
      </c>
      <c r="D1901" s="157" t="s">
        <v>701</v>
      </c>
      <c r="E1901" s="44">
        <f t="shared" si="145"/>
        <v>43362</v>
      </c>
      <c r="F1901" s="146" t="str">
        <f t="shared" si="141"/>
        <v>2018-19</v>
      </c>
      <c r="G1901" s="1"/>
      <c r="H1901" s="161"/>
      <c r="I1901" s="37"/>
      <c r="J1901" s="135">
        <f t="shared" si="142"/>
        <v>0.76382508261777382</v>
      </c>
      <c r="K1901" s="112"/>
      <c r="L1901" s="37">
        <v>60.290650286899997</v>
      </c>
      <c r="M1901" s="37" t="s">
        <v>288</v>
      </c>
      <c r="N1901" s="37">
        <v>1162.6195121951216</v>
      </c>
      <c r="O1901" s="130">
        <f t="shared" si="143"/>
        <v>70095.086426482347</v>
      </c>
      <c r="P1901" s="132">
        <f t="shared" si="144"/>
        <v>12015.818660025445</v>
      </c>
      <c r="Q1901" s="261">
        <v>0.22442533088709724</v>
      </c>
      <c r="R1901" s="92"/>
    </row>
    <row r="1902" spans="1:18" x14ac:dyDescent="0.25">
      <c r="A1902" s="353">
        <v>43362</v>
      </c>
      <c r="B1902" s="353" t="s">
        <v>285</v>
      </c>
      <c r="C1902" s="263" t="s">
        <v>721</v>
      </c>
      <c r="D1902" s="157" t="s">
        <v>701</v>
      </c>
      <c r="E1902" s="44">
        <f t="shared" si="145"/>
        <v>43362</v>
      </c>
      <c r="F1902" s="146" t="str">
        <f t="shared" si="141"/>
        <v>2018-19</v>
      </c>
      <c r="G1902" s="1"/>
      <c r="H1902" s="161"/>
      <c r="I1902" s="37"/>
      <c r="J1902" s="135">
        <f t="shared" si="142"/>
        <v>0.76382508261777382</v>
      </c>
      <c r="K1902" s="112"/>
      <c r="L1902" s="37">
        <v>122.49390862600001</v>
      </c>
      <c r="M1902" s="37" t="s">
        <v>288</v>
      </c>
      <c r="N1902" s="37">
        <v>3875.3912195121943</v>
      </c>
      <c r="O1902" s="130">
        <f t="shared" si="143"/>
        <v>474711.81793292944</v>
      </c>
      <c r="P1902" s="132">
        <f t="shared" si="144"/>
        <v>81375.905371564964</v>
      </c>
      <c r="Q1902" s="261">
        <v>0.22442533088709724</v>
      </c>
      <c r="R1902" s="92"/>
    </row>
    <row r="1903" spans="1:18" x14ac:dyDescent="0.25">
      <c r="A1903" s="353">
        <v>43362</v>
      </c>
      <c r="B1903" s="353" t="s">
        <v>285</v>
      </c>
      <c r="C1903" s="263" t="s">
        <v>721</v>
      </c>
      <c r="D1903" s="157" t="s">
        <v>701</v>
      </c>
      <c r="E1903" s="44">
        <f t="shared" si="145"/>
        <v>43362</v>
      </c>
      <c r="F1903" s="146" t="str">
        <f t="shared" si="141"/>
        <v>2018-19</v>
      </c>
      <c r="G1903" s="1"/>
      <c r="H1903" s="161"/>
      <c r="I1903" s="37"/>
      <c r="J1903" s="135">
        <f t="shared" si="142"/>
        <v>0.76382508261777382</v>
      </c>
      <c r="K1903" s="112"/>
      <c r="L1903" s="37">
        <v>74.550605322799996</v>
      </c>
      <c r="M1903" s="37" t="s">
        <v>288</v>
      </c>
      <c r="N1903" s="37">
        <v>1162.6195121951216</v>
      </c>
      <c r="O1903" s="130">
        <f t="shared" si="143"/>
        <v>86673.988394244763</v>
      </c>
      <c r="P1903" s="132">
        <f t="shared" si="144"/>
        <v>14857.80216818344</v>
      </c>
      <c r="Q1903" s="261">
        <v>0.22442533088709724</v>
      </c>
      <c r="R1903" s="92"/>
    </row>
    <row r="1904" spans="1:18" x14ac:dyDescent="0.25">
      <c r="A1904" s="353">
        <v>43362</v>
      </c>
      <c r="B1904" s="353" t="s">
        <v>285</v>
      </c>
      <c r="C1904" s="263" t="s">
        <v>721</v>
      </c>
      <c r="D1904" s="157" t="s">
        <v>701</v>
      </c>
      <c r="E1904" s="44">
        <f t="shared" si="145"/>
        <v>43362</v>
      </c>
      <c r="F1904" s="146" t="str">
        <f t="shared" si="141"/>
        <v>2018-19</v>
      </c>
      <c r="G1904" s="1"/>
      <c r="H1904" s="161"/>
      <c r="I1904" s="37"/>
      <c r="J1904" s="135">
        <f t="shared" si="142"/>
        <v>0.76382508261777382</v>
      </c>
      <c r="K1904" s="112"/>
      <c r="L1904" s="37">
        <v>37.840456260499998</v>
      </c>
      <c r="M1904" s="37" t="s">
        <v>288</v>
      </c>
      <c r="N1904" s="37">
        <v>1162.6195121951216</v>
      </c>
      <c r="O1904" s="130">
        <f t="shared" si="143"/>
        <v>43994.052798823344</v>
      </c>
      <c r="P1904" s="132">
        <f t="shared" si="144"/>
        <v>7541.5351845622181</v>
      </c>
      <c r="Q1904" s="261">
        <v>0.22442533088709724</v>
      </c>
      <c r="R1904" s="92"/>
    </row>
    <row r="1905" spans="1:18" x14ac:dyDescent="0.25">
      <c r="A1905" s="353">
        <v>43362</v>
      </c>
      <c r="B1905" s="353" t="s">
        <v>285</v>
      </c>
      <c r="C1905" s="263" t="s">
        <v>721</v>
      </c>
      <c r="D1905" s="157" t="s">
        <v>701</v>
      </c>
      <c r="E1905" s="44">
        <f t="shared" si="145"/>
        <v>43362</v>
      </c>
      <c r="F1905" s="146" t="str">
        <f t="shared" si="141"/>
        <v>2018-19</v>
      </c>
      <c r="G1905" s="1"/>
      <c r="H1905" s="161"/>
      <c r="I1905" s="37"/>
      <c r="J1905" s="135">
        <f t="shared" si="142"/>
        <v>0.76382508261777382</v>
      </c>
      <c r="K1905" s="112"/>
      <c r="L1905" s="37">
        <v>8.0181920250999994</v>
      </c>
      <c r="M1905" s="37" t="s">
        <v>288</v>
      </c>
      <c r="N1905" s="37">
        <v>1162.6195121951216</v>
      </c>
      <c r="O1905" s="130">
        <f t="shared" si="143"/>
        <v>9322.106500908576</v>
      </c>
      <c r="P1905" s="132">
        <f t="shared" si="144"/>
        <v>1598.011315127542</v>
      </c>
      <c r="Q1905" s="261">
        <v>0.22442533088709724</v>
      </c>
      <c r="R1905" s="92"/>
    </row>
    <row r="1906" spans="1:18" x14ac:dyDescent="0.25">
      <c r="A1906" s="353">
        <v>42634</v>
      </c>
      <c r="B1906" s="353" t="s">
        <v>285</v>
      </c>
      <c r="C1906" s="263" t="s">
        <v>722</v>
      </c>
      <c r="D1906" s="157" t="s">
        <v>699</v>
      </c>
      <c r="E1906" s="44">
        <f t="shared" si="145"/>
        <v>42634</v>
      </c>
      <c r="F1906" s="146" t="str">
        <f t="shared" si="141"/>
        <v>2016-17</v>
      </c>
      <c r="G1906" s="1"/>
      <c r="H1906" s="161"/>
      <c r="I1906" s="37"/>
      <c r="J1906" s="135">
        <f t="shared" si="142"/>
        <v>0.76382508261777382</v>
      </c>
      <c r="K1906" s="112"/>
      <c r="L1906" s="37">
        <v>28.596860387100001</v>
      </c>
      <c r="M1906" s="37" t="s">
        <v>288</v>
      </c>
      <c r="N1906" s="37">
        <v>3336.4019512195118</v>
      </c>
      <c r="O1906" s="130">
        <f t="shared" si="143"/>
        <v>95410.620794272414</v>
      </c>
      <c r="P1906" s="132">
        <f t="shared" si="144"/>
        <v>16845.397773070999</v>
      </c>
      <c r="Q1906" s="261">
        <v>0.23114826244938691</v>
      </c>
      <c r="R1906" s="92"/>
    </row>
    <row r="1907" spans="1:18" x14ac:dyDescent="0.25">
      <c r="A1907" s="353">
        <v>42634</v>
      </c>
      <c r="B1907" s="353" t="s">
        <v>285</v>
      </c>
      <c r="C1907" s="263" t="s">
        <v>722</v>
      </c>
      <c r="D1907" s="157" t="s">
        <v>699</v>
      </c>
      <c r="E1907" s="44">
        <f t="shared" si="145"/>
        <v>42634</v>
      </c>
      <c r="F1907" s="146" t="str">
        <f t="shared" si="141"/>
        <v>2016-17</v>
      </c>
      <c r="G1907" s="1"/>
      <c r="H1907" s="161"/>
      <c r="I1907" s="37"/>
      <c r="J1907" s="135">
        <f t="shared" si="142"/>
        <v>0.76382508261777382</v>
      </c>
      <c r="K1907" s="112"/>
      <c r="L1907" s="37">
        <v>21.844326693900001</v>
      </c>
      <c r="M1907" s="37" t="s">
        <v>288</v>
      </c>
      <c r="N1907" s="37">
        <v>3336.4019512195118</v>
      </c>
      <c r="O1907" s="130">
        <f t="shared" si="143"/>
        <v>72881.454204604437</v>
      </c>
      <c r="P1907" s="132">
        <f t="shared" si="144"/>
        <v>12867.719297243273</v>
      </c>
      <c r="Q1907" s="261">
        <v>0.23114826244938691</v>
      </c>
      <c r="R1907" s="92"/>
    </row>
    <row r="1908" spans="1:18" x14ac:dyDescent="0.25">
      <c r="A1908" s="353">
        <v>42634</v>
      </c>
      <c r="B1908" s="353" t="s">
        <v>285</v>
      </c>
      <c r="C1908" s="263" t="s">
        <v>722</v>
      </c>
      <c r="D1908" s="157" t="s">
        <v>699</v>
      </c>
      <c r="E1908" s="44">
        <f t="shared" si="145"/>
        <v>42634</v>
      </c>
      <c r="F1908" s="146" t="str">
        <f t="shared" si="141"/>
        <v>2016-17</v>
      </c>
      <c r="G1908" s="1"/>
      <c r="H1908" s="161"/>
      <c r="I1908" s="37"/>
      <c r="J1908" s="135">
        <f t="shared" si="142"/>
        <v>0.76382508261777382</v>
      </c>
      <c r="K1908" s="112"/>
      <c r="L1908" s="37">
        <v>21.923493266400001</v>
      </c>
      <c r="M1908" s="37" t="s">
        <v>288</v>
      </c>
      <c r="N1908" s="37">
        <v>3336.4019512195118</v>
      </c>
      <c r="O1908" s="130">
        <f t="shared" si="143"/>
        <v>73145.585711564796</v>
      </c>
      <c r="P1908" s="132">
        <f t="shared" si="144"/>
        <v>12914.353521631583</v>
      </c>
      <c r="Q1908" s="261">
        <v>0.23114826244938691</v>
      </c>
      <c r="R1908" s="92"/>
    </row>
    <row r="1909" spans="1:18" x14ac:dyDescent="0.25">
      <c r="A1909" s="353">
        <v>42634</v>
      </c>
      <c r="B1909" s="353" t="s">
        <v>285</v>
      </c>
      <c r="C1909" s="263" t="s">
        <v>722</v>
      </c>
      <c r="D1909" s="157" t="s">
        <v>699</v>
      </c>
      <c r="E1909" s="44">
        <f t="shared" si="145"/>
        <v>42634</v>
      </c>
      <c r="F1909" s="146" t="str">
        <f t="shared" si="141"/>
        <v>2016-17</v>
      </c>
      <c r="G1909" s="1"/>
      <c r="H1909" s="161"/>
      <c r="I1909" s="37"/>
      <c r="J1909" s="135">
        <f t="shared" si="142"/>
        <v>0.76382508261777382</v>
      </c>
      <c r="K1909" s="112"/>
      <c r="L1909" s="37">
        <v>14.6541163228</v>
      </c>
      <c r="M1909" s="37" t="s">
        <v>288</v>
      </c>
      <c r="N1909" s="37">
        <v>812.22926829268283</v>
      </c>
      <c r="O1909" s="130">
        <f t="shared" si="143"/>
        <v>11902.502178343704</v>
      </c>
      <c r="P1909" s="132">
        <f t="shared" si="144"/>
        <v>2101.468180585196</v>
      </c>
      <c r="Q1909" s="261">
        <v>0.23114826244938691</v>
      </c>
      <c r="R1909" s="92"/>
    </row>
    <row r="1910" spans="1:18" x14ac:dyDescent="0.25">
      <c r="A1910" s="353">
        <v>42634</v>
      </c>
      <c r="B1910" s="353" t="s">
        <v>285</v>
      </c>
      <c r="C1910" s="263" t="s">
        <v>722</v>
      </c>
      <c r="D1910" s="157" t="s">
        <v>699</v>
      </c>
      <c r="E1910" s="44">
        <f t="shared" si="145"/>
        <v>42634</v>
      </c>
      <c r="F1910" s="146" t="str">
        <f t="shared" si="141"/>
        <v>2016-17</v>
      </c>
      <c r="G1910" s="1"/>
      <c r="H1910" s="161"/>
      <c r="I1910" s="37"/>
      <c r="J1910" s="135">
        <f t="shared" si="142"/>
        <v>0.76382508261777382</v>
      </c>
      <c r="K1910" s="112"/>
      <c r="L1910" s="37">
        <v>40.015695076699998</v>
      </c>
      <c r="M1910" s="37" t="s">
        <v>288</v>
      </c>
      <c r="N1910" s="37">
        <v>950.87219512195099</v>
      </c>
      <c r="O1910" s="130">
        <f t="shared" si="143"/>
        <v>38049.811816912377</v>
      </c>
      <c r="P1910" s="132">
        <f t="shared" si="144"/>
        <v>6717.9545621912985</v>
      </c>
      <c r="Q1910" s="261">
        <v>0.23114826244938691</v>
      </c>
      <c r="R1910" s="92"/>
    </row>
    <row r="1911" spans="1:18" x14ac:dyDescent="0.25">
      <c r="A1911" s="353">
        <v>42634</v>
      </c>
      <c r="B1911" s="353" t="s">
        <v>285</v>
      </c>
      <c r="C1911" s="263" t="s">
        <v>722</v>
      </c>
      <c r="D1911" s="157" t="s">
        <v>699</v>
      </c>
      <c r="E1911" s="44">
        <f t="shared" si="145"/>
        <v>42634</v>
      </c>
      <c r="F1911" s="146" t="str">
        <f t="shared" si="141"/>
        <v>2016-17</v>
      </c>
      <c r="G1911" s="1"/>
      <c r="H1911" s="161"/>
      <c r="I1911" s="37"/>
      <c r="J1911" s="135">
        <f t="shared" si="142"/>
        <v>0.76382508261777382</v>
      </c>
      <c r="K1911" s="112"/>
      <c r="L1911" s="37">
        <v>111.117990847</v>
      </c>
      <c r="M1911" s="37" t="s">
        <v>288</v>
      </c>
      <c r="N1911" s="37">
        <v>3336.4019512195118</v>
      </c>
      <c r="O1911" s="130">
        <f t="shared" si="143"/>
        <v>370734.28147752269</v>
      </c>
      <c r="P1911" s="132">
        <f t="shared" si="144"/>
        <v>65455.67346290069</v>
      </c>
      <c r="Q1911" s="261">
        <v>0.23114826244938691</v>
      </c>
      <c r="R1911" s="92"/>
    </row>
    <row r="1912" spans="1:18" x14ac:dyDescent="0.25">
      <c r="A1912" s="353">
        <v>42634</v>
      </c>
      <c r="B1912" s="353" t="s">
        <v>285</v>
      </c>
      <c r="C1912" s="263" t="s">
        <v>722</v>
      </c>
      <c r="D1912" s="157" t="s">
        <v>699</v>
      </c>
      <c r="E1912" s="44">
        <f t="shared" si="145"/>
        <v>42634</v>
      </c>
      <c r="F1912" s="146" t="str">
        <f t="shared" si="141"/>
        <v>2016-17</v>
      </c>
      <c r="G1912" s="1"/>
      <c r="H1912" s="161"/>
      <c r="I1912" s="37"/>
      <c r="J1912" s="135">
        <f t="shared" si="142"/>
        <v>0.76382508261777382</v>
      </c>
      <c r="K1912" s="112"/>
      <c r="L1912" s="37">
        <v>90.600041366499994</v>
      </c>
      <c r="M1912" s="37" t="s">
        <v>288</v>
      </c>
      <c r="N1912" s="37">
        <v>950.87219512195099</v>
      </c>
      <c r="O1912" s="130">
        <f t="shared" si="143"/>
        <v>86149.060212303419</v>
      </c>
      <c r="P1912" s="132">
        <f t="shared" si="144"/>
        <v>15210.205897115526</v>
      </c>
      <c r="Q1912" s="261">
        <v>0.23114826244938691</v>
      </c>
      <c r="R1912" s="92"/>
    </row>
    <row r="1913" spans="1:18" x14ac:dyDescent="0.25">
      <c r="A1913" s="353">
        <v>42634</v>
      </c>
      <c r="B1913" s="353" t="s">
        <v>285</v>
      </c>
      <c r="C1913" s="263" t="s">
        <v>722</v>
      </c>
      <c r="D1913" s="157" t="s">
        <v>699</v>
      </c>
      <c r="E1913" s="44">
        <f t="shared" si="145"/>
        <v>42634</v>
      </c>
      <c r="F1913" s="146" t="str">
        <f t="shared" si="141"/>
        <v>2016-17</v>
      </c>
      <c r="G1913" s="1"/>
      <c r="H1913" s="161"/>
      <c r="I1913" s="37"/>
      <c r="J1913" s="135">
        <f t="shared" si="142"/>
        <v>0.76382508261777382</v>
      </c>
      <c r="K1913" s="112"/>
      <c r="L1913" s="37">
        <v>75.196541680199999</v>
      </c>
      <c r="M1913" s="37" t="s">
        <v>288</v>
      </c>
      <c r="N1913" s="37">
        <v>812.22926829268283</v>
      </c>
      <c r="O1913" s="130">
        <f t="shared" si="143"/>
        <v>61076.832027049073</v>
      </c>
      <c r="P1913" s="132">
        <f t="shared" si="144"/>
        <v>10783.532500361296</v>
      </c>
      <c r="Q1913" s="261">
        <v>0.23114826244938691</v>
      </c>
      <c r="R1913" s="92"/>
    </row>
    <row r="1914" spans="1:18" x14ac:dyDescent="0.25">
      <c r="A1914" s="353">
        <v>42634</v>
      </c>
      <c r="B1914" s="353" t="s">
        <v>285</v>
      </c>
      <c r="C1914" s="263" t="s">
        <v>722</v>
      </c>
      <c r="D1914" s="157" t="s">
        <v>699</v>
      </c>
      <c r="E1914" s="44">
        <f t="shared" si="145"/>
        <v>42634</v>
      </c>
      <c r="F1914" s="146" t="str">
        <f t="shared" si="141"/>
        <v>2016-17</v>
      </c>
      <c r="G1914" s="1"/>
      <c r="H1914" s="161"/>
      <c r="I1914" s="37"/>
      <c r="J1914" s="135">
        <f t="shared" si="142"/>
        <v>0.76382508261777382</v>
      </c>
      <c r="K1914" s="112"/>
      <c r="L1914" s="37">
        <v>96.963547437299994</v>
      </c>
      <c r="M1914" s="37" t="s">
        <v>288</v>
      </c>
      <c r="N1914" s="37">
        <v>950.87219512195099</v>
      </c>
      <c r="O1914" s="130">
        <f t="shared" si="143"/>
        <v>92199.94119851687</v>
      </c>
      <c r="P1914" s="132">
        <f t="shared" si="144"/>
        <v>16278.530327265304</v>
      </c>
      <c r="Q1914" s="261">
        <v>0.23114826244938691</v>
      </c>
      <c r="R1914" s="92"/>
    </row>
    <row r="1915" spans="1:18" x14ac:dyDescent="0.25">
      <c r="A1915" s="353">
        <v>42634</v>
      </c>
      <c r="B1915" s="353" t="s">
        <v>285</v>
      </c>
      <c r="C1915" s="263" t="s">
        <v>722</v>
      </c>
      <c r="D1915" s="157" t="s">
        <v>699</v>
      </c>
      <c r="E1915" s="44">
        <f t="shared" si="145"/>
        <v>42634</v>
      </c>
      <c r="F1915" s="146" t="str">
        <f t="shared" ref="F1915:F1978" si="146">IF(E1915="","-",IF(OR(E1915&lt;$E$15,E1915&gt;$E$16),"ERROR - date outside of range",IF(MONTH(E1915)&gt;=7,YEAR(E1915)&amp;"-"&amp;IF(YEAR(E1915)=1999,"00",IF(AND(YEAR(E1915)&gt;=2000,YEAR(E1915)&lt;2009),"0","")&amp;RIGHT(YEAR(E1915),2)+1),RIGHT(YEAR(E1915),4)-1&amp;"-"&amp;RIGHT(YEAR(E1915),2))))</f>
        <v>2016-17</v>
      </c>
      <c r="G1915" s="1"/>
      <c r="H1915" s="161"/>
      <c r="I1915" s="37"/>
      <c r="J1915" s="135">
        <f t="shared" si="142"/>
        <v>0.76382508261777382</v>
      </c>
      <c r="K1915" s="112"/>
      <c r="L1915" s="37">
        <v>28.564253132200001</v>
      </c>
      <c r="M1915" s="37" t="s">
        <v>288</v>
      </c>
      <c r="N1915" s="37">
        <v>3336.4019512195118</v>
      </c>
      <c r="O1915" s="130">
        <f t="shared" si="143"/>
        <v>95301.829885400133</v>
      </c>
      <c r="P1915" s="132">
        <f t="shared" si="144"/>
        <v>16826.189993907723</v>
      </c>
      <c r="Q1915" s="261">
        <v>0.23114826244938691</v>
      </c>
      <c r="R1915" s="92"/>
    </row>
    <row r="1916" spans="1:18" x14ac:dyDescent="0.25">
      <c r="A1916" s="353">
        <v>42634</v>
      </c>
      <c r="B1916" s="353" t="s">
        <v>285</v>
      </c>
      <c r="C1916" s="263" t="s">
        <v>722</v>
      </c>
      <c r="D1916" s="157" t="s">
        <v>699</v>
      </c>
      <c r="E1916" s="44">
        <f t="shared" si="145"/>
        <v>42634</v>
      </c>
      <c r="F1916" s="146" t="str">
        <f t="shared" si="146"/>
        <v>2016-17</v>
      </c>
      <c r="G1916" s="1"/>
      <c r="H1916" s="161"/>
      <c r="I1916" s="37"/>
      <c r="J1916" s="135">
        <f t="shared" si="142"/>
        <v>0.76382508261777382</v>
      </c>
      <c r="K1916" s="112"/>
      <c r="L1916" s="37">
        <v>23.1652681783</v>
      </c>
      <c r="M1916" s="37" t="s">
        <v>288</v>
      </c>
      <c r="N1916" s="37">
        <v>3336.4019512195118</v>
      </c>
      <c r="O1916" s="130">
        <f t="shared" si="143"/>
        <v>77288.645950603386</v>
      </c>
      <c r="P1916" s="132">
        <f t="shared" si="144"/>
        <v>13645.83914811007</v>
      </c>
      <c r="Q1916" s="261">
        <v>0.23114826244938691</v>
      </c>
      <c r="R1916" s="92"/>
    </row>
    <row r="1917" spans="1:18" x14ac:dyDescent="0.25">
      <c r="A1917" s="353">
        <v>42634</v>
      </c>
      <c r="B1917" s="353" t="s">
        <v>285</v>
      </c>
      <c r="C1917" s="263" t="s">
        <v>722</v>
      </c>
      <c r="D1917" s="157" t="s">
        <v>699</v>
      </c>
      <c r="E1917" s="44">
        <f t="shared" si="145"/>
        <v>42634</v>
      </c>
      <c r="F1917" s="146" t="str">
        <f t="shared" si="146"/>
        <v>2016-17</v>
      </c>
      <c r="G1917" s="1"/>
      <c r="H1917" s="161"/>
      <c r="I1917" s="37"/>
      <c r="J1917" s="135">
        <f t="shared" si="142"/>
        <v>0.76382508261777382</v>
      </c>
      <c r="K1917" s="112"/>
      <c r="L1917" s="37">
        <v>23.423203439200002</v>
      </c>
      <c r="M1917" s="37" t="s">
        <v>288</v>
      </c>
      <c r="N1917" s="37">
        <v>812.22926829268283</v>
      </c>
      <c r="O1917" s="130">
        <f t="shared" si="143"/>
        <v>19025.011390492069</v>
      </c>
      <c r="P1917" s="132">
        <f t="shared" si="144"/>
        <v>3358.9959046706508</v>
      </c>
      <c r="Q1917" s="261">
        <v>0.23114826244938691</v>
      </c>
      <c r="R1917" s="92"/>
    </row>
    <row r="1918" spans="1:18" x14ac:dyDescent="0.25">
      <c r="A1918" s="353">
        <v>44082</v>
      </c>
      <c r="B1918" s="353" t="s">
        <v>285</v>
      </c>
      <c r="C1918" s="263" t="s">
        <v>723</v>
      </c>
      <c r="D1918" s="157" t="s">
        <v>716</v>
      </c>
      <c r="E1918" s="44">
        <f t="shared" si="145"/>
        <v>44082</v>
      </c>
      <c r="F1918" s="146" t="str">
        <f t="shared" si="146"/>
        <v>2020-21</v>
      </c>
      <c r="G1918" s="1"/>
      <c r="H1918" s="161"/>
      <c r="I1918" s="37"/>
      <c r="J1918" s="135">
        <f t="shared" si="142"/>
        <v>0.76382508261777382</v>
      </c>
      <c r="K1918" s="112"/>
      <c r="L1918" s="37">
        <v>71.714661966700007</v>
      </c>
      <c r="M1918" s="37" t="s">
        <v>288</v>
      </c>
      <c r="N1918" s="37">
        <v>3336.4019512195118</v>
      </c>
      <c r="O1918" s="130">
        <f t="shared" si="143"/>
        <v>239268.93811674562</v>
      </c>
      <c r="P1918" s="132">
        <f t="shared" si="144"/>
        <v>42997.866963067601</v>
      </c>
      <c r="Q1918" s="261">
        <v>0.23527006569713765</v>
      </c>
      <c r="R1918" s="92"/>
    </row>
    <row r="1919" spans="1:18" x14ac:dyDescent="0.25">
      <c r="A1919" s="353">
        <v>44082</v>
      </c>
      <c r="B1919" s="353" t="s">
        <v>285</v>
      </c>
      <c r="C1919" s="263" t="s">
        <v>723</v>
      </c>
      <c r="D1919" s="157" t="s">
        <v>724</v>
      </c>
      <c r="E1919" s="44">
        <f t="shared" si="145"/>
        <v>44082</v>
      </c>
      <c r="F1919" s="146" t="str">
        <f t="shared" si="146"/>
        <v>2020-21</v>
      </c>
      <c r="G1919" s="1"/>
      <c r="H1919" s="161"/>
      <c r="I1919" s="37"/>
      <c r="J1919" s="135">
        <f t="shared" si="142"/>
        <v>0.76382508261777382</v>
      </c>
      <c r="K1919" s="112"/>
      <c r="L1919" s="37">
        <v>56.7854115544</v>
      </c>
      <c r="M1919" s="37" t="s">
        <v>288</v>
      </c>
      <c r="N1919" s="37">
        <v>812.22926829268283</v>
      </c>
      <c r="O1919" s="130">
        <f t="shared" si="143"/>
        <v>46122.773276529166</v>
      </c>
      <c r="P1919" s="132">
        <f t="shared" si="144"/>
        <v>8288.5011523906396</v>
      </c>
      <c r="Q1919" s="261">
        <v>0.23527006569713765</v>
      </c>
      <c r="R1919" s="92"/>
    </row>
    <row r="1920" spans="1:18" x14ac:dyDescent="0.25">
      <c r="A1920" s="353">
        <v>44082</v>
      </c>
      <c r="B1920" s="353" t="s">
        <v>285</v>
      </c>
      <c r="C1920" s="263" t="s">
        <v>723</v>
      </c>
      <c r="D1920" s="157" t="s">
        <v>724</v>
      </c>
      <c r="E1920" s="44">
        <f t="shared" si="145"/>
        <v>44082</v>
      </c>
      <c r="F1920" s="146" t="str">
        <f t="shared" si="146"/>
        <v>2020-21</v>
      </c>
      <c r="G1920" s="1"/>
      <c r="H1920" s="161"/>
      <c r="I1920" s="37"/>
      <c r="J1920" s="135">
        <f t="shared" si="142"/>
        <v>0.76382508261777382</v>
      </c>
      <c r="K1920" s="112"/>
      <c r="L1920" s="37">
        <v>35.142308935000003</v>
      </c>
      <c r="M1920" s="37" t="s">
        <v>288</v>
      </c>
      <c r="N1920" s="37">
        <v>812.22926829268283</v>
      </c>
      <c r="O1920" s="130">
        <f t="shared" si="143"/>
        <v>28543.611872390462</v>
      </c>
      <c r="P1920" s="132">
        <f t="shared" si="144"/>
        <v>5129.4348342685544</v>
      </c>
      <c r="Q1920" s="261">
        <v>0.23527006569713765</v>
      </c>
      <c r="R1920" s="92"/>
    </row>
    <row r="1921" spans="1:18" x14ac:dyDescent="0.25">
      <c r="A1921" s="353">
        <v>44082</v>
      </c>
      <c r="B1921" s="353" t="s">
        <v>285</v>
      </c>
      <c r="C1921" s="263" t="s">
        <v>723</v>
      </c>
      <c r="D1921" s="157" t="s">
        <v>724</v>
      </c>
      <c r="E1921" s="44">
        <f t="shared" si="145"/>
        <v>44082</v>
      </c>
      <c r="F1921" s="146" t="str">
        <f t="shared" si="146"/>
        <v>2020-21</v>
      </c>
      <c r="G1921" s="1"/>
      <c r="H1921" s="161"/>
      <c r="I1921" s="37"/>
      <c r="J1921" s="135">
        <f t="shared" si="142"/>
        <v>0.76382508261777382</v>
      </c>
      <c r="K1921" s="112"/>
      <c r="L1921" s="37">
        <v>15.0605230479</v>
      </c>
      <c r="M1921" s="37" t="s">
        <v>288</v>
      </c>
      <c r="N1921" s="37">
        <v>812.22926829268283</v>
      </c>
      <c r="O1921" s="130">
        <f t="shared" si="143"/>
        <v>12232.597615300903</v>
      </c>
      <c r="P1921" s="132">
        <f t="shared" si="144"/>
        <v>2198.2611241364261</v>
      </c>
      <c r="Q1921" s="261">
        <v>0.23527006569713765</v>
      </c>
      <c r="R1921" s="92"/>
    </row>
    <row r="1922" spans="1:18" x14ac:dyDescent="0.25">
      <c r="A1922" s="353">
        <v>43985</v>
      </c>
      <c r="B1922" s="353" t="s">
        <v>285</v>
      </c>
      <c r="C1922" s="263" t="s">
        <v>725</v>
      </c>
      <c r="D1922" s="157" t="s">
        <v>716</v>
      </c>
      <c r="E1922" s="44">
        <f t="shared" si="145"/>
        <v>43985</v>
      </c>
      <c r="F1922" s="146" t="str">
        <f t="shared" si="146"/>
        <v>2019-20</v>
      </c>
      <c r="G1922" s="1"/>
      <c r="H1922" s="161"/>
      <c r="I1922" s="37"/>
      <c r="J1922" s="135">
        <f t="shared" si="142"/>
        <v>0.76382508261777382</v>
      </c>
      <c r="K1922" s="112"/>
      <c r="L1922" s="37">
        <v>72.964129543200002</v>
      </c>
      <c r="M1922" s="37" t="s">
        <v>288</v>
      </c>
      <c r="N1922" s="37">
        <v>950.87219512195099</v>
      </c>
      <c r="O1922" s="130">
        <f t="shared" si="143"/>
        <v>69379.562023904975</v>
      </c>
      <c r="P1922" s="132">
        <f t="shared" si="144"/>
        <v>12995.905280096667</v>
      </c>
      <c r="Q1922" s="261">
        <v>0.24523421783695756</v>
      </c>
      <c r="R1922" s="92"/>
    </row>
    <row r="1923" spans="1:18" x14ac:dyDescent="0.25">
      <c r="A1923" s="353">
        <v>41898</v>
      </c>
      <c r="B1923" s="353" t="s">
        <v>285</v>
      </c>
      <c r="C1923" s="263" t="s">
        <v>726</v>
      </c>
      <c r="D1923" s="157" t="s">
        <v>727</v>
      </c>
      <c r="E1923" s="44">
        <f t="shared" si="145"/>
        <v>41898</v>
      </c>
      <c r="F1923" s="146" t="str">
        <f t="shared" si="146"/>
        <v>2014-15</v>
      </c>
      <c r="G1923" s="1"/>
      <c r="H1923" s="161"/>
      <c r="I1923" s="37"/>
      <c r="J1923" s="135">
        <f t="shared" si="142"/>
        <v>0.76382508261777382</v>
      </c>
      <c r="K1923" s="112"/>
      <c r="L1923" s="37">
        <v>87.646589860299997</v>
      </c>
      <c r="M1923" s="37" t="s">
        <v>288</v>
      </c>
      <c r="N1923" s="37">
        <v>3875.3912195121943</v>
      </c>
      <c r="O1923" s="130">
        <f t="shared" si="143"/>
        <v>339664.82476479316</v>
      </c>
      <c r="P1923" s="132">
        <f t="shared" si="144"/>
        <v>67582.281112651734</v>
      </c>
      <c r="Q1923" s="261">
        <v>0.26048838101566463</v>
      </c>
      <c r="R1923" s="92"/>
    </row>
    <row r="1924" spans="1:18" x14ac:dyDescent="0.25">
      <c r="A1924" s="353">
        <v>41898</v>
      </c>
      <c r="B1924" s="353" t="s">
        <v>285</v>
      </c>
      <c r="C1924" s="263" t="s">
        <v>726</v>
      </c>
      <c r="D1924" s="157" t="s">
        <v>727</v>
      </c>
      <c r="E1924" s="44">
        <f t="shared" si="145"/>
        <v>41898</v>
      </c>
      <c r="F1924" s="146" t="str">
        <f t="shared" si="146"/>
        <v>2014-15</v>
      </c>
      <c r="G1924" s="1"/>
      <c r="H1924" s="161"/>
      <c r="I1924" s="37"/>
      <c r="J1924" s="135">
        <f t="shared" si="142"/>
        <v>0.76382508261777382</v>
      </c>
      <c r="K1924" s="112"/>
      <c r="L1924" s="37">
        <v>37.950373410499999</v>
      </c>
      <c r="M1924" s="37" t="s">
        <v>288</v>
      </c>
      <c r="N1924" s="37">
        <v>3875.3912195121943</v>
      </c>
      <c r="O1924" s="130">
        <f t="shared" si="143"/>
        <v>147072.54389226076</v>
      </c>
      <c r="P1924" s="132">
        <f t="shared" si="144"/>
        <v>29262.665076262627</v>
      </c>
      <c r="Q1924" s="261">
        <v>0.26048838101566463</v>
      </c>
      <c r="R1924" s="92"/>
    </row>
    <row r="1925" spans="1:18" x14ac:dyDescent="0.25">
      <c r="A1925" s="353">
        <v>41898</v>
      </c>
      <c r="B1925" s="353" t="s">
        <v>285</v>
      </c>
      <c r="C1925" s="263" t="s">
        <v>726</v>
      </c>
      <c r="D1925" s="157" t="s">
        <v>727</v>
      </c>
      <c r="E1925" s="44">
        <f t="shared" si="145"/>
        <v>41898</v>
      </c>
      <c r="F1925" s="146" t="str">
        <f t="shared" si="146"/>
        <v>2014-15</v>
      </c>
      <c r="G1925" s="1"/>
      <c r="H1925" s="161"/>
      <c r="I1925" s="37"/>
      <c r="J1925" s="135">
        <f t="shared" si="142"/>
        <v>0.76382508261777382</v>
      </c>
      <c r="K1925" s="112"/>
      <c r="L1925" s="37">
        <v>12.7740864644</v>
      </c>
      <c r="M1925" s="37" t="s">
        <v>288</v>
      </c>
      <c r="N1925" s="37">
        <v>3875.3912195121943</v>
      </c>
      <c r="O1925" s="130">
        <f t="shared" si="143"/>
        <v>49504.582521425327</v>
      </c>
      <c r="P1925" s="132">
        <f t="shared" si="144"/>
        <v>9849.805951040631</v>
      </c>
      <c r="Q1925" s="261">
        <v>0.26048838101566463</v>
      </c>
      <c r="R1925" s="92"/>
    </row>
    <row r="1926" spans="1:18" x14ac:dyDescent="0.25">
      <c r="A1926" s="353">
        <v>41898</v>
      </c>
      <c r="B1926" s="353" t="s">
        <v>285</v>
      </c>
      <c r="C1926" s="263" t="s">
        <v>726</v>
      </c>
      <c r="D1926" s="157" t="s">
        <v>727</v>
      </c>
      <c r="E1926" s="44">
        <f t="shared" si="145"/>
        <v>41898</v>
      </c>
      <c r="F1926" s="146" t="str">
        <f t="shared" si="146"/>
        <v>2014-15</v>
      </c>
      <c r="G1926" s="1"/>
      <c r="H1926" s="161"/>
      <c r="I1926" s="37"/>
      <c r="J1926" s="135">
        <f t="shared" si="142"/>
        <v>0.76382508261777382</v>
      </c>
      <c r="K1926" s="112"/>
      <c r="L1926" s="37">
        <v>100.700059633</v>
      </c>
      <c r="M1926" s="37" t="s">
        <v>288</v>
      </c>
      <c r="N1926" s="37">
        <v>3875.3912195121943</v>
      </c>
      <c r="O1926" s="130">
        <f t="shared" si="143"/>
        <v>390252.12690608256</v>
      </c>
      <c r="P1926" s="132">
        <f t="shared" si="144"/>
        <v>77647.513143700824</v>
      </c>
      <c r="Q1926" s="261">
        <v>0.26048838101566463</v>
      </c>
      <c r="R1926" s="92"/>
    </row>
    <row r="1927" spans="1:18" x14ac:dyDescent="0.25">
      <c r="A1927" s="353">
        <v>41898</v>
      </c>
      <c r="B1927" s="353" t="s">
        <v>285</v>
      </c>
      <c r="C1927" s="263" t="s">
        <v>726</v>
      </c>
      <c r="D1927" s="157" t="s">
        <v>727</v>
      </c>
      <c r="E1927" s="44">
        <f t="shared" si="145"/>
        <v>41898</v>
      </c>
      <c r="F1927" s="146" t="str">
        <f t="shared" si="146"/>
        <v>2014-15</v>
      </c>
      <c r="G1927" s="1"/>
      <c r="H1927" s="161"/>
      <c r="I1927" s="37"/>
      <c r="J1927" s="135">
        <f t="shared" si="142"/>
        <v>0.76382508261777382</v>
      </c>
      <c r="K1927" s="112"/>
      <c r="L1927" s="37">
        <v>25.3580095433</v>
      </c>
      <c r="M1927" s="37" t="s">
        <v>288</v>
      </c>
      <c r="N1927" s="37">
        <v>3875.3912195121943</v>
      </c>
      <c r="O1927" s="130">
        <f t="shared" si="143"/>
        <v>98272.207528411251</v>
      </c>
      <c r="P1927" s="132">
        <f t="shared" si="144"/>
        <v>19552.981264235808</v>
      </c>
      <c r="Q1927" s="261">
        <v>0.26048838101566463</v>
      </c>
      <c r="R1927" s="92"/>
    </row>
    <row r="1928" spans="1:18" x14ac:dyDescent="0.25">
      <c r="A1928" s="353">
        <v>41898</v>
      </c>
      <c r="B1928" s="353" t="s">
        <v>285</v>
      </c>
      <c r="C1928" s="263" t="s">
        <v>726</v>
      </c>
      <c r="D1928" s="157" t="s">
        <v>727</v>
      </c>
      <c r="E1928" s="44">
        <f t="shared" si="145"/>
        <v>41898</v>
      </c>
      <c r="F1928" s="146" t="str">
        <f t="shared" si="146"/>
        <v>2014-15</v>
      </c>
      <c r="G1928" s="1"/>
      <c r="H1928" s="161"/>
      <c r="I1928" s="37"/>
      <c r="J1928" s="135">
        <f t="shared" si="142"/>
        <v>0.76382508261777382</v>
      </c>
      <c r="K1928" s="112"/>
      <c r="L1928" s="37">
        <v>78.650912550300006</v>
      </c>
      <c r="M1928" s="37" t="s">
        <v>288</v>
      </c>
      <c r="N1928" s="37">
        <v>1162.6195121951216</v>
      </c>
      <c r="O1928" s="130">
        <f t="shared" si="143"/>
        <v>91441.085582930958</v>
      </c>
      <c r="P1928" s="132">
        <f t="shared" si="144"/>
        <v>18193.809604485818</v>
      </c>
      <c r="Q1928" s="261">
        <v>0.26048838101566463</v>
      </c>
      <c r="R1928" s="92"/>
    </row>
    <row r="1929" spans="1:18" x14ac:dyDescent="0.25">
      <c r="A1929" s="353">
        <v>41898</v>
      </c>
      <c r="B1929" s="353" t="s">
        <v>285</v>
      </c>
      <c r="C1929" s="263" t="s">
        <v>726</v>
      </c>
      <c r="D1929" s="157" t="s">
        <v>727</v>
      </c>
      <c r="E1929" s="44">
        <f t="shared" si="145"/>
        <v>41898</v>
      </c>
      <c r="F1929" s="146" t="str">
        <f t="shared" si="146"/>
        <v>2014-15</v>
      </c>
      <c r="G1929" s="1"/>
      <c r="H1929" s="161"/>
      <c r="I1929" s="37"/>
      <c r="J1929" s="135">
        <f t="shared" si="142"/>
        <v>0.76382508261777382</v>
      </c>
      <c r="K1929" s="112"/>
      <c r="L1929" s="37">
        <v>79.300959024500003</v>
      </c>
      <c r="M1929" s="37" t="s">
        <v>288</v>
      </c>
      <c r="N1929" s="37">
        <v>3875.3912195121943</v>
      </c>
      <c r="O1929" s="130">
        <f t="shared" si="143"/>
        <v>307322.24030244362</v>
      </c>
      <c r="P1929" s="132">
        <f t="shared" si="144"/>
        <v>61147.156025566925</v>
      </c>
      <c r="Q1929" s="261">
        <v>0.26048838101566463</v>
      </c>
      <c r="R1929" s="92"/>
    </row>
    <row r="1930" spans="1:18" x14ac:dyDescent="0.25">
      <c r="A1930" s="353">
        <v>41898</v>
      </c>
      <c r="B1930" s="353" t="s">
        <v>285</v>
      </c>
      <c r="C1930" s="263" t="s">
        <v>726</v>
      </c>
      <c r="D1930" s="157" t="s">
        <v>727</v>
      </c>
      <c r="E1930" s="44">
        <f t="shared" si="145"/>
        <v>41898</v>
      </c>
      <c r="F1930" s="146" t="str">
        <f t="shared" si="146"/>
        <v>2014-15</v>
      </c>
      <c r="G1930" s="1"/>
      <c r="H1930" s="161"/>
      <c r="I1930" s="37"/>
      <c r="J1930" s="135">
        <f t="shared" si="142"/>
        <v>0.76382508261777382</v>
      </c>
      <c r="K1930" s="112"/>
      <c r="L1930" s="37">
        <v>12.2234728699</v>
      </c>
      <c r="M1930" s="37" t="s">
        <v>288</v>
      </c>
      <c r="N1930" s="37">
        <v>1162.6195121951216</v>
      </c>
      <c r="O1930" s="130">
        <f t="shared" si="143"/>
        <v>14211.248065333441</v>
      </c>
      <c r="P1930" s="132">
        <f t="shared" si="144"/>
        <v>2827.5773400382518</v>
      </c>
      <c r="Q1930" s="261">
        <v>0.26048838101566463</v>
      </c>
      <c r="R1930" s="92"/>
    </row>
    <row r="1931" spans="1:18" x14ac:dyDescent="0.25">
      <c r="A1931" s="353">
        <v>41898</v>
      </c>
      <c r="B1931" s="353" t="s">
        <v>285</v>
      </c>
      <c r="C1931" s="263" t="s">
        <v>726</v>
      </c>
      <c r="D1931" s="157" t="s">
        <v>728</v>
      </c>
      <c r="E1931" s="44">
        <f t="shared" si="145"/>
        <v>41898</v>
      </c>
      <c r="F1931" s="146" t="str">
        <f t="shared" si="146"/>
        <v>2014-15</v>
      </c>
      <c r="G1931" s="1"/>
      <c r="H1931" s="161"/>
      <c r="I1931" s="37"/>
      <c r="J1931" s="135">
        <f t="shared" si="142"/>
        <v>0.76382508261777382</v>
      </c>
      <c r="K1931" s="112"/>
      <c r="L1931" s="37">
        <v>64.553617814800006</v>
      </c>
      <c r="M1931" s="37" t="s">
        <v>288</v>
      </c>
      <c r="N1931" s="37">
        <v>950.87219512195099</v>
      </c>
      <c r="O1931" s="130">
        <f t="shared" si="143"/>
        <v>61382.24027462236</v>
      </c>
      <c r="P1931" s="132">
        <f t="shared" si="144"/>
        <v>12213.074522616407</v>
      </c>
      <c r="Q1931" s="261">
        <v>0.26048838101566463</v>
      </c>
      <c r="R1931" s="92"/>
    </row>
    <row r="1932" spans="1:18" x14ac:dyDescent="0.25">
      <c r="A1932" s="353">
        <v>41898</v>
      </c>
      <c r="B1932" s="353" t="s">
        <v>285</v>
      </c>
      <c r="C1932" s="263" t="s">
        <v>726</v>
      </c>
      <c r="D1932" s="157" t="s">
        <v>706</v>
      </c>
      <c r="E1932" s="44">
        <f t="shared" si="145"/>
        <v>41898</v>
      </c>
      <c r="F1932" s="146" t="str">
        <f t="shared" si="146"/>
        <v>2014-15</v>
      </c>
      <c r="G1932" s="1"/>
      <c r="H1932" s="161"/>
      <c r="I1932" s="37"/>
      <c r="J1932" s="135">
        <f t="shared" si="142"/>
        <v>0.76382508261777382</v>
      </c>
      <c r="K1932" s="112"/>
      <c r="L1932" s="37">
        <v>66.580597826000002</v>
      </c>
      <c r="M1932" s="37" t="s">
        <v>288</v>
      </c>
      <c r="N1932" s="37">
        <v>3592.3639024390236</v>
      </c>
      <c r="O1932" s="130">
        <f t="shared" si="143"/>
        <v>239181.73623293254</v>
      </c>
      <c r="P1932" s="132">
        <f t="shared" si="144"/>
        <v>47589.406251587934</v>
      </c>
      <c r="Q1932" s="261">
        <v>0.26048838101566463</v>
      </c>
      <c r="R1932" s="92"/>
    </row>
    <row r="1933" spans="1:18" x14ac:dyDescent="0.25">
      <c r="A1933" s="353">
        <v>41898</v>
      </c>
      <c r="B1933" s="353" t="s">
        <v>285</v>
      </c>
      <c r="C1933" s="263" t="s">
        <v>726</v>
      </c>
      <c r="D1933" s="157" t="s">
        <v>706</v>
      </c>
      <c r="E1933" s="44">
        <f t="shared" si="145"/>
        <v>41898</v>
      </c>
      <c r="F1933" s="146" t="str">
        <f t="shared" si="146"/>
        <v>2014-15</v>
      </c>
      <c r="G1933" s="1"/>
      <c r="H1933" s="161"/>
      <c r="I1933" s="37"/>
      <c r="J1933" s="135">
        <f t="shared" si="142"/>
        <v>0.76382508261777382</v>
      </c>
      <c r="K1933" s="112"/>
      <c r="L1933" s="37">
        <v>6.9230770615399999</v>
      </c>
      <c r="M1933" s="37" t="s">
        <v>288</v>
      </c>
      <c r="N1933" s="37">
        <v>3336.4019512195118</v>
      </c>
      <c r="O1933" s="130">
        <f t="shared" si="143"/>
        <v>23098.167816565099</v>
      </c>
      <c r="P1933" s="132">
        <f t="shared" si="144"/>
        <v>4595.7860713050532</v>
      </c>
      <c r="Q1933" s="261">
        <v>0.26048838101566463</v>
      </c>
      <c r="R1933" s="92"/>
    </row>
    <row r="1934" spans="1:18" x14ac:dyDescent="0.25">
      <c r="A1934" s="353">
        <v>41898</v>
      </c>
      <c r="B1934" s="353" t="s">
        <v>285</v>
      </c>
      <c r="C1934" s="263" t="s">
        <v>726</v>
      </c>
      <c r="D1934" s="157" t="s">
        <v>727</v>
      </c>
      <c r="E1934" s="44">
        <f t="shared" si="145"/>
        <v>41898</v>
      </c>
      <c r="F1934" s="146" t="str">
        <f t="shared" si="146"/>
        <v>2014-15</v>
      </c>
      <c r="G1934" s="1"/>
      <c r="H1934" s="161"/>
      <c r="I1934" s="37"/>
      <c r="J1934" s="135">
        <f t="shared" si="142"/>
        <v>0.76382508261777382</v>
      </c>
      <c r="K1934" s="112"/>
      <c r="L1934" s="37">
        <v>45.977430827600003</v>
      </c>
      <c r="M1934" s="37" t="s">
        <v>288</v>
      </c>
      <c r="N1934" s="37">
        <v>3592.3639024390236</v>
      </c>
      <c r="O1934" s="130">
        <f t="shared" si="143"/>
        <v>165167.66283195742</v>
      </c>
      <c r="P1934" s="132">
        <f t="shared" si="144"/>
        <v>32863.006724227715</v>
      </c>
      <c r="Q1934" s="261">
        <v>0.26048838101566463</v>
      </c>
      <c r="R1934" s="92"/>
    </row>
    <row r="1935" spans="1:18" x14ac:dyDescent="0.25">
      <c r="A1935" s="353">
        <v>41898</v>
      </c>
      <c r="B1935" s="353" t="s">
        <v>285</v>
      </c>
      <c r="C1935" s="263" t="s">
        <v>726</v>
      </c>
      <c r="D1935" s="157" t="s">
        <v>728</v>
      </c>
      <c r="E1935" s="44">
        <f t="shared" si="145"/>
        <v>41898</v>
      </c>
      <c r="F1935" s="146" t="str">
        <f t="shared" si="146"/>
        <v>2014-15</v>
      </c>
      <c r="G1935" s="1"/>
      <c r="H1935" s="161"/>
      <c r="I1935" s="37"/>
      <c r="J1935" s="135">
        <f t="shared" si="142"/>
        <v>0.76382508261777382</v>
      </c>
      <c r="K1935" s="112"/>
      <c r="L1935" s="37">
        <v>21.989815938300001</v>
      </c>
      <c r="M1935" s="37" t="s">
        <v>288</v>
      </c>
      <c r="N1935" s="37">
        <v>950.87219512195099</v>
      </c>
      <c r="O1935" s="130">
        <f t="shared" si="143"/>
        <v>20909.504551578986</v>
      </c>
      <c r="P1935" s="132">
        <f t="shared" si="144"/>
        <v>4160.3130836689261</v>
      </c>
      <c r="Q1935" s="261">
        <v>0.26048838101566463</v>
      </c>
      <c r="R1935" s="92"/>
    </row>
    <row r="1936" spans="1:18" x14ac:dyDescent="0.25">
      <c r="A1936" s="353">
        <v>41898</v>
      </c>
      <c r="B1936" s="353" t="s">
        <v>285</v>
      </c>
      <c r="C1936" s="263" t="s">
        <v>726</v>
      </c>
      <c r="D1936" s="157" t="s">
        <v>727</v>
      </c>
      <c r="E1936" s="44">
        <f t="shared" si="145"/>
        <v>41898</v>
      </c>
      <c r="F1936" s="146" t="str">
        <f t="shared" si="146"/>
        <v>2014-15</v>
      </c>
      <c r="G1936" s="1"/>
      <c r="H1936" s="161"/>
      <c r="I1936" s="37"/>
      <c r="J1936" s="135">
        <f t="shared" si="142"/>
        <v>0.76382508261777382</v>
      </c>
      <c r="K1936" s="112"/>
      <c r="L1936" s="37">
        <v>96.982889135500002</v>
      </c>
      <c r="M1936" s="37" t="s">
        <v>288</v>
      </c>
      <c r="N1936" s="37">
        <v>3592.3639024390236</v>
      </c>
      <c r="O1936" s="130">
        <f t="shared" si="143"/>
        <v>348397.83008461597</v>
      </c>
      <c r="P1936" s="132">
        <f t="shared" si="144"/>
        <v>69319.865865183136</v>
      </c>
      <c r="Q1936" s="261">
        <v>0.26048838101566463</v>
      </c>
      <c r="R1936" s="92"/>
    </row>
    <row r="1937" spans="1:18" x14ac:dyDescent="0.25">
      <c r="A1937" s="353">
        <v>41898</v>
      </c>
      <c r="B1937" s="353" t="s">
        <v>285</v>
      </c>
      <c r="C1937" s="263" t="s">
        <v>726</v>
      </c>
      <c r="D1937" s="157" t="s">
        <v>727</v>
      </c>
      <c r="E1937" s="44">
        <f t="shared" si="145"/>
        <v>41898</v>
      </c>
      <c r="F1937" s="146" t="str">
        <f t="shared" si="146"/>
        <v>2014-15</v>
      </c>
      <c r="G1937" s="1"/>
      <c r="H1937" s="161"/>
      <c r="I1937" s="37"/>
      <c r="J1937" s="135">
        <f t="shared" si="142"/>
        <v>0.76382508261777382</v>
      </c>
      <c r="K1937" s="112"/>
      <c r="L1937" s="37">
        <v>33.978917713999998</v>
      </c>
      <c r="M1937" s="37" t="s">
        <v>288</v>
      </c>
      <c r="N1937" s="37">
        <v>3875.3912195121943</v>
      </c>
      <c r="O1937" s="130">
        <f t="shared" si="143"/>
        <v>131681.59935736295</v>
      </c>
      <c r="P1937" s="132">
        <f t="shared" si="144"/>
        <v>26200.366409136976</v>
      </c>
      <c r="Q1937" s="261">
        <v>0.26048838101566463</v>
      </c>
      <c r="R1937" s="92"/>
    </row>
    <row r="1938" spans="1:18" x14ac:dyDescent="0.25">
      <c r="A1938" s="353">
        <v>41898</v>
      </c>
      <c r="B1938" s="353" t="s">
        <v>285</v>
      </c>
      <c r="C1938" s="263" t="s">
        <v>726</v>
      </c>
      <c r="D1938" s="157" t="s">
        <v>727</v>
      </c>
      <c r="E1938" s="44">
        <f t="shared" si="145"/>
        <v>41898</v>
      </c>
      <c r="F1938" s="146" t="str">
        <f t="shared" si="146"/>
        <v>2014-15</v>
      </c>
      <c r="G1938" s="1"/>
      <c r="H1938" s="161"/>
      <c r="I1938" s="37"/>
      <c r="J1938" s="135">
        <f t="shared" si="142"/>
        <v>0.76382508261777382</v>
      </c>
      <c r="K1938" s="112"/>
      <c r="L1938" s="37">
        <v>3.02881164816</v>
      </c>
      <c r="M1938" s="37" t="s">
        <v>288</v>
      </c>
      <c r="N1938" s="37">
        <v>1162.6195121951216</v>
      </c>
      <c r="O1938" s="130">
        <f t="shared" si="143"/>
        <v>3521.3555209146816</v>
      </c>
      <c r="P1938" s="132">
        <f t="shared" si="144"/>
        <v>700.63551289668726</v>
      </c>
      <c r="Q1938" s="261">
        <v>0.26048838101566463</v>
      </c>
      <c r="R1938" s="92"/>
    </row>
    <row r="1939" spans="1:18" x14ac:dyDescent="0.25">
      <c r="A1939" s="353">
        <v>41898</v>
      </c>
      <c r="B1939" s="353" t="s">
        <v>285</v>
      </c>
      <c r="C1939" s="263" t="s">
        <v>726</v>
      </c>
      <c r="D1939" s="157" t="s">
        <v>727</v>
      </c>
      <c r="E1939" s="44">
        <f t="shared" si="145"/>
        <v>41898</v>
      </c>
      <c r="F1939" s="146" t="str">
        <f t="shared" si="146"/>
        <v>2014-15</v>
      </c>
      <c r="G1939" s="1"/>
      <c r="H1939" s="161"/>
      <c r="I1939" s="37"/>
      <c r="J1939" s="135">
        <f t="shared" si="142"/>
        <v>0.76382508261777382</v>
      </c>
      <c r="K1939" s="112"/>
      <c r="L1939" s="37">
        <v>77.962243252899995</v>
      </c>
      <c r="M1939" s="37" t="s">
        <v>288</v>
      </c>
      <c r="N1939" s="37">
        <v>3592.3639024390236</v>
      </c>
      <c r="O1939" s="130">
        <f t="shared" si="143"/>
        <v>280068.74841488828</v>
      </c>
      <c r="P1939" s="132">
        <f t="shared" si="144"/>
        <v>55724.595266378623</v>
      </c>
      <c r="Q1939" s="261">
        <v>0.26048838101566463</v>
      </c>
      <c r="R1939" s="92"/>
    </row>
    <row r="1940" spans="1:18" x14ac:dyDescent="0.25">
      <c r="A1940" s="353">
        <v>41898</v>
      </c>
      <c r="B1940" s="353" t="s">
        <v>285</v>
      </c>
      <c r="C1940" s="263" t="s">
        <v>726</v>
      </c>
      <c r="D1940" s="157" t="s">
        <v>727</v>
      </c>
      <c r="E1940" s="44">
        <f t="shared" si="145"/>
        <v>41898</v>
      </c>
      <c r="F1940" s="146" t="str">
        <f t="shared" si="146"/>
        <v>2014-15</v>
      </c>
      <c r="G1940" s="1"/>
      <c r="H1940" s="161"/>
      <c r="I1940" s="37"/>
      <c r="J1940" s="135">
        <f t="shared" si="142"/>
        <v>0.76382508261777382</v>
      </c>
      <c r="K1940" s="112"/>
      <c r="L1940" s="37">
        <v>8.0088176405800002</v>
      </c>
      <c r="M1940" s="37" t="s">
        <v>288</v>
      </c>
      <c r="N1940" s="37">
        <v>3592.3639024390236</v>
      </c>
      <c r="O1940" s="130">
        <f t="shared" si="143"/>
        <v>28770.587393236463</v>
      </c>
      <c r="P1940" s="132">
        <f t="shared" si="144"/>
        <v>5724.4135489515056</v>
      </c>
      <c r="Q1940" s="261">
        <v>0.26048838101566463</v>
      </c>
      <c r="R1940" s="92"/>
    </row>
    <row r="1941" spans="1:18" x14ac:dyDescent="0.25">
      <c r="A1941" s="353">
        <v>41898</v>
      </c>
      <c r="B1941" s="353" t="s">
        <v>285</v>
      </c>
      <c r="C1941" s="263" t="s">
        <v>726</v>
      </c>
      <c r="D1941" s="157" t="s">
        <v>727</v>
      </c>
      <c r="E1941" s="44">
        <f t="shared" si="145"/>
        <v>41898</v>
      </c>
      <c r="F1941" s="146" t="str">
        <f t="shared" si="146"/>
        <v>2014-15</v>
      </c>
      <c r="G1941" s="1"/>
      <c r="H1941" s="161"/>
      <c r="I1941" s="37"/>
      <c r="J1941" s="135">
        <f t="shared" si="142"/>
        <v>0.76382508261777382</v>
      </c>
      <c r="K1941" s="112"/>
      <c r="L1941" s="37">
        <v>121.969770657</v>
      </c>
      <c r="M1941" s="37" t="s">
        <v>288</v>
      </c>
      <c r="N1941" s="37">
        <v>3875.3912195121943</v>
      </c>
      <c r="O1941" s="130">
        <f t="shared" si="143"/>
        <v>472680.57825005386</v>
      </c>
      <c r="P1941" s="132">
        <f t="shared" si="144"/>
        <v>94048.10091214678</v>
      </c>
      <c r="Q1941" s="261">
        <v>0.26048838101566463</v>
      </c>
      <c r="R1941" s="92"/>
    </row>
    <row r="1942" spans="1:18" x14ac:dyDescent="0.25">
      <c r="A1942" s="353">
        <v>41898</v>
      </c>
      <c r="B1942" s="353" t="s">
        <v>285</v>
      </c>
      <c r="C1942" s="263" t="s">
        <v>726</v>
      </c>
      <c r="D1942" s="157" t="s">
        <v>706</v>
      </c>
      <c r="E1942" s="44">
        <f t="shared" si="145"/>
        <v>41898</v>
      </c>
      <c r="F1942" s="146" t="str">
        <f t="shared" si="146"/>
        <v>2014-15</v>
      </c>
      <c r="G1942" s="1"/>
      <c r="H1942" s="161"/>
      <c r="I1942" s="37"/>
      <c r="J1942" s="135">
        <f t="shared" si="142"/>
        <v>0.76382508261777382</v>
      </c>
      <c r="K1942" s="112"/>
      <c r="L1942" s="37">
        <v>81.494795412200006</v>
      </c>
      <c r="M1942" s="37" t="s">
        <v>288</v>
      </c>
      <c r="N1942" s="37">
        <v>3336.4019512195118</v>
      </c>
      <c r="O1942" s="130">
        <f t="shared" si="143"/>
        <v>271899.39442749904</v>
      </c>
      <c r="P1942" s="132">
        <f t="shared" si="144"/>
        <v>54099.158843673336</v>
      </c>
      <c r="Q1942" s="261">
        <v>0.26048838101566463</v>
      </c>
      <c r="R1942" s="92"/>
    </row>
    <row r="1943" spans="1:18" x14ac:dyDescent="0.25">
      <c r="A1943" s="353">
        <v>41898</v>
      </c>
      <c r="B1943" s="353" t="s">
        <v>285</v>
      </c>
      <c r="C1943" s="263" t="s">
        <v>726</v>
      </c>
      <c r="D1943" s="157" t="s">
        <v>706</v>
      </c>
      <c r="E1943" s="44">
        <f t="shared" si="145"/>
        <v>41898</v>
      </c>
      <c r="F1943" s="146" t="str">
        <f t="shared" si="146"/>
        <v>2014-15</v>
      </c>
      <c r="G1943" s="1"/>
      <c r="H1943" s="161"/>
      <c r="I1943" s="37"/>
      <c r="J1943" s="135">
        <f t="shared" si="142"/>
        <v>0.76382508261777382</v>
      </c>
      <c r="K1943" s="112"/>
      <c r="L1943" s="37">
        <v>91.496411621099995</v>
      </c>
      <c r="M1943" s="37" t="s">
        <v>288</v>
      </c>
      <c r="N1943" s="37">
        <v>3592.3639024390236</v>
      </c>
      <c r="O1943" s="130">
        <f t="shared" si="143"/>
        <v>328688.40631034202</v>
      </c>
      <c r="P1943" s="132">
        <f t="shared" si="144"/>
        <v>65398.329924557729</v>
      </c>
      <c r="Q1943" s="261">
        <v>0.26048838101566463</v>
      </c>
      <c r="R1943" s="92"/>
    </row>
    <row r="1944" spans="1:18" x14ac:dyDescent="0.25">
      <c r="A1944" s="353">
        <v>41898</v>
      </c>
      <c r="B1944" s="353" t="s">
        <v>285</v>
      </c>
      <c r="C1944" s="263" t="s">
        <v>726</v>
      </c>
      <c r="D1944" s="157" t="s">
        <v>706</v>
      </c>
      <c r="E1944" s="44">
        <f t="shared" si="145"/>
        <v>41898</v>
      </c>
      <c r="F1944" s="146" t="str">
        <f t="shared" si="146"/>
        <v>2014-15</v>
      </c>
      <c r="G1944" s="1"/>
      <c r="H1944" s="161"/>
      <c r="I1944" s="37"/>
      <c r="J1944" s="135">
        <f t="shared" si="142"/>
        <v>0.76382508261777382</v>
      </c>
      <c r="K1944" s="112"/>
      <c r="L1944" s="37">
        <v>40.3590600275</v>
      </c>
      <c r="M1944" s="37" t="s">
        <v>288</v>
      </c>
      <c r="N1944" s="37">
        <v>3592.3639024390236</v>
      </c>
      <c r="O1944" s="130">
        <f t="shared" si="143"/>
        <v>144984.43037916071</v>
      </c>
      <c r="P1944" s="132">
        <f t="shared" si="144"/>
        <v>28847.198227332436</v>
      </c>
      <c r="Q1944" s="261">
        <v>0.26048838101566463</v>
      </c>
      <c r="R1944" s="92"/>
    </row>
    <row r="1945" spans="1:18" x14ac:dyDescent="0.25">
      <c r="A1945" s="353">
        <v>41898</v>
      </c>
      <c r="B1945" s="353" t="s">
        <v>285</v>
      </c>
      <c r="C1945" s="263" t="s">
        <v>726</v>
      </c>
      <c r="D1945" s="157" t="s">
        <v>706</v>
      </c>
      <c r="E1945" s="44">
        <f t="shared" si="145"/>
        <v>41898</v>
      </c>
      <c r="F1945" s="146" t="str">
        <f t="shared" si="146"/>
        <v>2014-15</v>
      </c>
      <c r="G1945" s="1"/>
      <c r="H1945" s="161"/>
      <c r="I1945" s="37"/>
      <c r="J1945" s="135">
        <f t="shared" si="142"/>
        <v>0.76382508261777382</v>
      </c>
      <c r="K1945" s="112"/>
      <c r="L1945" s="37">
        <v>17.1645759912</v>
      </c>
      <c r="M1945" s="37" t="s">
        <v>288</v>
      </c>
      <c r="N1945" s="37">
        <v>812.22926829268283</v>
      </c>
      <c r="O1945" s="130">
        <f t="shared" si="143"/>
        <v>13941.570997886527</v>
      </c>
      <c r="P1945" s="132">
        <f t="shared" si="144"/>
        <v>2773.920352169539</v>
      </c>
      <c r="Q1945" s="261">
        <v>0.26048838101566463</v>
      </c>
      <c r="R1945" s="92"/>
    </row>
    <row r="1946" spans="1:18" x14ac:dyDescent="0.25">
      <c r="A1946" s="353">
        <v>41898</v>
      </c>
      <c r="B1946" s="353" t="s">
        <v>285</v>
      </c>
      <c r="C1946" s="263" t="s">
        <v>726</v>
      </c>
      <c r="D1946" s="157" t="s">
        <v>706</v>
      </c>
      <c r="E1946" s="44">
        <f t="shared" si="145"/>
        <v>41898</v>
      </c>
      <c r="F1946" s="146" t="str">
        <f t="shared" si="146"/>
        <v>2014-15</v>
      </c>
      <c r="G1946" s="1"/>
      <c r="H1946" s="161"/>
      <c r="I1946" s="37"/>
      <c r="J1946" s="135">
        <f t="shared" ref="J1946:J2009" si="147">J1945</f>
        <v>0.76382508261777382</v>
      </c>
      <c r="K1946" s="112"/>
      <c r="L1946" s="37">
        <v>21.769393680099999</v>
      </c>
      <c r="M1946" s="37" t="s">
        <v>288</v>
      </c>
      <c r="N1946" s="37">
        <v>3592.3639024390236</v>
      </c>
      <c r="O1946" s="130">
        <f t="shared" ref="O1946:O2009" si="148">IF(N1946="","-",L1946*N1946)</f>
        <v>78203.584034375453</v>
      </c>
      <c r="P1946" s="132">
        <f t="shared" ref="P1946:P2009" si="149">IF(O1946="-","-",IF(OR(E1946&lt;$E$15,E1946&gt;$E$16),0,O1946*J1946))*Q1946</f>
        <v>15559.976232121942</v>
      </c>
      <c r="Q1946" s="261">
        <v>0.26048838101566463</v>
      </c>
      <c r="R1946" s="92"/>
    </row>
    <row r="1947" spans="1:18" x14ac:dyDescent="0.25">
      <c r="A1947" s="353">
        <v>42149</v>
      </c>
      <c r="B1947" s="353" t="s">
        <v>285</v>
      </c>
      <c r="C1947" s="263" t="s">
        <v>729</v>
      </c>
      <c r="D1947" s="157" t="s">
        <v>727</v>
      </c>
      <c r="E1947" s="44">
        <f t="shared" ref="E1947:E2010" si="150">IF(VALUE(A1947)&lt;2022,DATEVALUE("30 Jun "&amp;A1947),A1947)</f>
        <v>42149</v>
      </c>
      <c r="F1947" s="146" t="str">
        <f t="shared" si="146"/>
        <v>2014-15</v>
      </c>
      <c r="G1947" s="1"/>
      <c r="H1947" s="161"/>
      <c r="I1947" s="37"/>
      <c r="J1947" s="135">
        <f t="shared" si="147"/>
        <v>0.76382508261777382</v>
      </c>
      <c r="K1947" s="112"/>
      <c r="L1947" s="37">
        <v>71.489930123099995</v>
      </c>
      <c r="M1947" s="37" t="s">
        <v>288</v>
      </c>
      <c r="N1947" s="37">
        <v>1162.6195121951216</v>
      </c>
      <c r="O1947" s="130">
        <f t="shared" si="148"/>
        <v>83115.587686581843</v>
      </c>
      <c r="P1947" s="132">
        <f t="shared" si="149"/>
        <v>30422.382846091139</v>
      </c>
      <c r="Q1947" s="261">
        <v>0.47920002456397415</v>
      </c>
      <c r="R1947" s="92"/>
    </row>
    <row r="1948" spans="1:18" x14ac:dyDescent="0.25">
      <c r="A1948" s="353">
        <v>42149</v>
      </c>
      <c r="B1948" s="353" t="s">
        <v>285</v>
      </c>
      <c r="C1948" s="263" t="s">
        <v>729</v>
      </c>
      <c r="D1948" s="157" t="s">
        <v>727</v>
      </c>
      <c r="E1948" s="44">
        <f t="shared" si="150"/>
        <v>42149</v>
      </c>
      <c r="F1948" s="146" t="str">
        <f t="shared" si="146"/>
        <v>2014-15</v>
      </c>
      <c r="G1948" s="1"/>
      <c r="H1948" s="161"/>
      <c r="I1948" s="37"/>
      <c r="J1948" s="135">
        <f t="shared" si="147"/>
        <v>0.76382508261777382</v>
      </c>
      <c r="K1948" s="112"/>
      <c r="L1948" s="37">
        <v>121.596254418</v>
      </c>
      <c r="M1948" s="37" t="s">
        <v>288</v>
      </c>
      <c r="N1948" s="37">
        <v>3875.3912195121943</v>
      </c>
      <c r="O1948" s="130">
        <f t="shared" si="148"/>
        <v>471233.05669708806</v>
      </c>
      <c r="P1948" s="132">
        <f t="shared" si="149"/>
        <v>172483.07880143874</v>
      </c>
      <c r="Q1948" s="261">
        <v>0.47920002456397415</v>
      </c>
      <c r="R1948" s="92"/>
    </row>
    <row r="1949" spans="1:18" x14ac:dyDescent="0.25">
      <c r="A1949" s="353">
        <v>42149</v>
      </c>
      <c r="B1949" s="353" t="s">
        <v>285</v>
      </c>
      <c r="C1949" s="263" t="s">
        <v>729</v>
      </c>
      <c r="D1949" s="157" t="s">
        <v>727</v>
      </c>
      <c r="E1949" s="44">
        <f t="shared" si="150"/>
        <v>42149</v>
      </c>
      <c r="F1949" s="146" t="str">
        <f t="shared" si="146"/>
        <v>2014-15</v>
      </c>
      <c r="G1949" s="1"/>
      <c r="H1949" s="161"/>
      <c r="I1949" s="37"/>
      <c r="J1949" s="135">
        <f t="shared" si="147"/>
        <v>0.76382508261777382</v>
      </c>
      <c r="K1949" s="112"/>
      <c r="L1949" s="37">
        <v>30.313894504</v>
      </c>
      <c r="M1949" s="37" t="s">
        <v>288</v>
      </c>
      <c r="N1949" s="37">
        <v>1162.6195121951216</v>
      </c>
      <c r="O1949" s="130">
        <f t="shared" si="148"/>
        <v>35243.525240974857</v>
      </c>
      <c r="P1949" s="132">
        <f t="shared" si="149"/>
        <v>12900.011268282329</v>
      </c>
      <c r="Q1949" s="261">
        <v>0.47920002456397415</v>
      </c>
      <c r="R1949" s="92"/>
    </row>
    <row r="1950" spans="1:18" x14ac:dyDescent="0.25">
      <c r="A1950" s="353">
        <v>42149</v>
      </c>
      <c r="B1950" s="353" t="s">
        <v>285</v>
      </c>
      <c r="C1950" s="263" t="s">
        <v>729</v>
      </c>
      <c r="D1950" s="157" t="s">
        <v>727</v>
      </c>
      <c r="E1950" s="44">
        <f t="shared" si="150"/>
        <v>42149</v>
      </c>
      <c r="F1950" s="146" t="str">
        <f t="shared" si="146"/>
        <v>2014-15</v>
      </c>
      <c r="G1950" s="1"/>
      <c r="H1950" s="161"/>
      <c r="I1950" s="37"/>
      <c r="J1950" s="135">
        <f t="shared" si="147"/>
        <v>0.76382508261777382</v>
      </c>
      <c r="K1950" s="112"/>
      <c r="L1950" s="37">
        <v>19.422336651399998</v>
      </c>
      <c r="M1950" s="37" t="s">
        <v>288</v>
      </c>
      <c r="N1950" s="37">
        <v>812.22926829268283</v>
      </c>
      <c r="O1950" s="130">
        <f t="shared" si="148"/>
        <v>15775.390286900776</v>
      </c>
      <c r="P1950" s="132">
        <f t="shared" si="149"/>
        <v>5774.1872037810544</v>
      </c>
      <c r="Q1950" s="261">
        <v>0.47920002456397415</v>
      </c>
      <c r="R1950" s="92"/>
    </row>
    <row r="1951" spans="1:18" x14ac:dyDescent="0.25">
      <c r="A1951" s="353">
        <v>42149</v>
      </c>
      <c r="B1951" s="353" t="s">
        <v>285</v>
      </c>
      <c r="C1951" s="263" t="s">
        <v>729</v>
      </c>
      <c r="D1951" s="157" t="s">
        <v>727</v>
      </c>
      <c r="E1951" s="44">
        <f t="shared" si="150"/>
        <v>42149</v>
      </c>
      <c r="F1951" s="146" t="str">
        <f t="shared" si="146"/>
        <v>2014-15</v>
      </c>
      <c r="G1951" s="1"/>
      <c r="H1951" s="161"/>
      <c r="I1951" s="37"/>
      <c r="J1951" s="135">
        <f t="shared" si="147"/>
        <v>0.76382508261777382</v>
      </c>
      <c r="K1951" s="112"/>
      <c r="L1951" s="37">
        <v>15.5917903077</v>
      </c>
      <c r="M1951" s="37" t="s">
        <v>288</v>
      </c>
      <c r="N1951" s="37">
        <v>3336.4019512195118</v>
      </c>
      <c r="O1951" s="130">
        <f t="shared" si="148"/>
        <v>52020.47960561575</v>
      </c>
      <c r="P1951" s="132">
        <f t="shared" si="149"/>
        <v>19040.795961968648</v>
      </c>
      <c r="Q1951" s="261">
        <v>0.47920002456397415</v>
      </c>
      <c r="R1951" s="92"/>
    </row>
    <row r="1952" spans="1:18" x14ac:dyDescent="0.25">
      <c r="A1952" s="353">
        <v>42149</v>
      </c>
      <c r="B1952" s="353" t="s">
        <v>285</v>
      </c>
      <c r="C1952" s="263" t="s">
        <v>729</v>
      </c>
      <c r="D1952" s="157" t="s">
        <v>727</v>
      </c>
      <c r="E1952" s="44">
        <f t="shared" si="150"/>
        <v>42149</v>
      </c>
      <c r="F1952" s="146" t="str">
        <f t="shared" si="146"/>
        <v>2014-15</v>
      </c>
      <c r="G1952" s="1"/>
      <c r="H1952" s="161"/>
      <c r="I1952" s="37"/>
      <c r="J1952" s="135">
        <f t="shared" si="147"/>
        <v>0.76382508261777382</v>
      </c>
      <c r="K1952" s="112"/>
      <c r="L1952" s="37">
        <v>6.7019601079699997</v>
      </c>
      <c r="M1952" s="37" t="s">
        <v>288</v>
      </c>
      <c r="N1952" s="37">
        <v>812.22926829268283</v>
      </c>
      <c r="O1952" s="130">
        <f t="shared" si="148"/>
        <v>5443.5281546232227</v>
      </c>
      <c r="P1952" s="132">
        <f t="shared" si="149"/>
        <v>1992.4673838305657</v>
      </c>
      <c r="Q1952" s="261">
        <v>0.47920002456397415</v>
      </c>
      <c r="R1952" s="92"/>
    </row>
    <row r="1953" spans="1:18" x14ac:dyDescent="0.25">
      <c r="A1953" s="353">
        <v>42779</v>
      </c>
      <c r="B1953" s="353" t="s">
        <v>285</v>
      </c>
      <c r="C1953" s="263" t="s">
        <v>730</v>
      </c>
      <c r="D1953" s="157" t="s">
        <v>701</v>
      </c>
      <c r="E1953" s="44">
        <f t="shared" si="150"/>
        <v>42779</v>
      </c>
      <c r="F1953" s="146" t="str">
        <f t="shared" si="146"/>
        <v>2016-17</v>
      </c>
      <c r="G1953" s="1"/>
      <c r="H1953" s="161"/>
      <c r="I1953" s="37"/>
      <c r="J1953" s="135">
        <f t="shared" si="147"/>
        <v>0.76382508261777382</v>
      </c>
      <c r="K1953" s="112"/>
      <c r="L1953" s="37">
        <v>75.485796445399998</v>
      </c>
      <c r="M1953" s="37" t="s">
        <v>288</v>
      </c>
      <c r="N1953" s="37">
        <v>3592.3639024390236</v>
      </c>
      <c r="O1953" s="130">
        <f t="shared" si="148"/>
        <v>271172.45029731491</v>
      </c>
      <c r="P1953" s="132">
        <f t="shared" si="149"/>
        <v>102048.94439555876</v>
      </c>
      <c r="Q1953" s="261">
        <v>0.49268465444069454</v>
      </c>
      <c r="R1953" s="92"/>
    </row>
    <row r="1954" spans="1:18" x14ac:dyDescent="0.25">
      <c r="A1954" s="353">
        <v>42779</v>
      </c>
      <c r="B1954" s="353" t="s">
        <v>285</v>
      </c>
      <c r="C1954" s="263" t="s">
        <v>730</v>
      </c>
      <c r="D1954" s="157" t="s">
        <v>701</v>
      </c>
      <c r="E1954" s="44">
        <f t="shared" si="150"/>
        <v>42779</v>
      </c>
      <c r="F1954" s="146" t="str">
        <f t="shared" si="146"/>
        <v>2016-17</v>
      </c>
      <c r="G1954" s="1"/>
      <c r="H1954" s="161"/>
      <c r="I1954" s="37"/>
      <c r="J1954" s="135">
        <f t="shared" si="147"/>
        <v>0.76382508261777382</v>
      </c>
      <c r="K1954" s="112"/>
      <c r="L1954" s="37">
        <v>49.265255880799998</v>
      </c>
      <c r="M1954" s="37" t="s">
        <v>288</v>
      </c>
      <c r="N1954" s="37">
        <v>3592.3639024390236</v>
      </c>
      <c r="O1954" s="130">
        <f t="shared" si="148"/>
        <v>176978.72687060773</v>
      </c>
      <c r="P1954" s="132">
        <f t="shared" si="149"/>
        <v>66601.501140008171</v>
      </c>
      <c r="Q1954" s="261">
        <v>0.49268465444069454</v>
      </c>
      <c r="R1954" s="92"/>
    </row>
    <row r="1955" spans="1:18" x14ac:dyDescent="0.25">
      <c r="A1955" s="353">
        <v>42779</v>
      </c>
      <c r="B1955" s="353" t="s">
        <v>285</v>
      </c>
      <c r="C1955" s="263" t="s">
        <v>730</v>
      </c>
      <c r="D1955" s="157" t="s">
        <v>701</v>
      </c>
      <c r="E1955" s="44">
        <f t="shared" si="150"/>
        <v>42779</v>
      </c>
      <c r="F1955" s="146" t="str">
        <f t="shared" si="146"/>
        <v>2016-17</v>
      </c>
      <c r="G1955" s="1"/>
      <c r="H1955" s="161"/>
      <c r="I1955" s="37"/>
      <c r="J1955" s="135">
        <f t="shared" si="147"/>
        <v>0.76382508261777382</v>
      </c>
      <c r="K1955" s="112"/>
      <c r="L1955" s="37">
        <v>87.281082223300004</v>
      </c>
      <c r="M1955" s="37" t="s">
        <v>288</v>
      </c>
      <c r="N1955" s="37">
        <v>3592.3639024390236</v>
      </c>
      <c r="O1955" s="130">
        <f t="shared" si="148"/>
        <v>313545.40914479527</v>
      </c>
      <c r="P1955" s="132">
        <f t="shared" si="149"/>
        <v>117994.94376445054</v>
      </c>
      <c r="Q1955" s="261">
        <v>0.49268465444069454</v>
      </c>
      <c r="R1955" s="92"/>
    </row>
    <row r="1956" spans="1:18" x14ac:dyDescent="0.25">
      <c r="A1956" s="353">
        <v>44069</v>
      </c>
      <c r="B1956" s="353" t="s">
        <v>285</v>
      </c>
      <c r="C1956" s="263" t="s">
        <v>731</v>
      </c>
      <c r="D1956" s="157" t="s">
        <v>703</v>
      </c>
      <c r="E1956" s="44">
        <f t="shared" si="150"/>
        <v>44069</v>
      </c>
      <c r="F1956" s="146" t="str">
        <f t="shared" si="146"/>
        <v>2020-21</v>
      </c>
      <c r="G1956" s="1"/>
      <c r="H1956" s="161"/>
      <c r="I1956" s="37"/>
      <c r="J1956" s="135">
        <f t="shared" si="147"/>
        <v>0.76382508261777382</v>
      </c>
      <c r="K1956" s="112"/>
      <c r="L1956" s="37">
        <v>42.005864316</v>
      </c>
      <c r="M1956" s="37" t="s">
        <v>288</v>
      </c>
      <c r="N1956" s="37">
        <v>3336.4019512195118</v>
      </c>
      <c r="O1956" s="130">
        <f t="shared" si="148"/>
        <v>140148.44766656446</v>
      </c>
      <c r="P1956" s="132">
        <f t="shared" si="149"/>
        <v>53195.935142648799</v>
      </c>
      <c r="Q1956" s="261">
        <v>0.49693117194704767</v>
      </c>
      <c r="R1956" s="92"/>
    </row>
    <row r="1957" spans="1:18" x14ac:dyDescent="0.25">
      <c r="A1957" s="353">
        <v>44069</v>
      </c>
      <c r="B1957" s="353" t="s">
        <v>285</v>
      </c>
      <c r="C1957" s="263" t="s">
        <v>731</v>
      </c>
      <c r="D1957" s="157" t="s">
        <v>703</v>
      </c>
      <c r="E1957" s="44">
        <f t="shared" si="150"/>
        <v>44069</v>
      </c>
      <c r="F1957" s="146" t="str">
        <f t="shared" si="146"/>
        <v>2020-21</v>
      </c>
      <c r="G1957" s="1"/>
      <c r="H1957" s="161"/>
      <c r="I1957" s="37"/>
      <c r="J1957" s="135">
        <f t="shared" si="147"/>
        <v>0.76382508261777382</v>
      </c>
      <c r="K1957" s="112"/>
      <c r="L1957" s="37">
        <v>54.1098620912</v>
      </c>
      <c r="M1957" s="37" t="s">
        <v>288</v>
      </c>
      <c r="N1957" s="37">
        <v>3336.4019512195118</v>
      </c>
      <c r="O1957" s="130">
        <f t="shared" si="148"/>
        <v>180532.24946129837</v>
      </c>
      <c r="P1957" s="132">
        <f t="shared" si="149"/>
        <v>68524.353950378223</v>
      </c>
      <c r="Q1957" s="261">
        <v>0.49693117194704767</v>
      </c>
      <c r="R1957" s="92"/>
    </row>
    <row r="1958" spans="1:18" x14ac:dyDescent="0.25">
      <c r="A1958" s="353">
        <v>44069</v>
      </c>
      <c r="B1958" s="353" t="s">
        <v>285</v>
      </c>
      <c r="C1958" s="263" t="s">
        <v>731</v>
      </c>
      <c r="D1958" s="157" t="s">
        <v>703</v>
      </c>
      <c r="E1958" s="44">
        <f t="shared" si="150"/>
        <v>44069</v>
      </c>
      <c r="F1958" s="146" t="str">
        <f t="shared" si="146"/>
        <v>2020-21</v>
      </c>
      <c r="G1958" s="1"/>
      <c r="H1958" s="161"/>
      <c r="I1958" s="37"/>
      <c r="J1958" s="135">
        <f t="shared" si="147"/>
        <v>0.76382508261777382</v>
      </c>
      <c r="K1958" s="112"/>
      <c r="L1958" s="37">
        <v>38.059027938100002</v>
      </c>
      <c r="M1958" s="37" t="s">
        <v>288</v>
      </c>
      <c r="N1958" s="37">
        <v>812.22926829268283</v>
      </c>
      <c r="O1958" s="130">
        <f t="shared" si="148"/>
        <v>30912.656414093737</v>
      </c>
      <c r="P1958" s="132">
        <f t="shared" si="149"/>
        <v>11733.470424185311</v>
      </c>
      <c r="Q1958" s="261">
        <v>0.49693117194704767</v>
      </c>
      <c r="R1958" s="92"/>
    </row>
    <row r="1959" spans="1:18" x14ac:dyDescent="0.25">
      <c r="A1959" s="353">
        <v>44069</v>
      </c>
      <c r="B1959" s="353" t="s">
        <v>285</v>
      </c>
      <c r="C1959" s="263" t="s">
        <v>731</v>
      </c>
      <c r="D1959" s="157" t="s">
        <v>703</v>
      </c>
      <c r="E1959" s="44">
        <f t="shared" si="150"/>
        <v>44069</v>
      </c>
      <c r="F1959" s="146" t="str">
        <f t="shared" si="146"/>
        <v>2020-21</v>
      </c>
      <c r="G1959" s="1"/>
      <c r="H1959" s="161"/>
      <c r="I1959" s="37"/>
      <c r="J1959" s="135">
        <f t="shared" si="147"/>
        <v>0.76382508261777382</v>
      </c>
      <c r="K1959" s="112"/>
      <c r="L1959" s="37">
        <v>6.3265672366599999</v>
      </c>
      <c r="M1959" s="37" t="s">
        <v>288</v>
      </c>
      <c r="N1959" s="37">
        <v>3336.4019512195118</v>
      </c>
      <c r="O1959" s="130">
        <f t="shared" si="148"/>
        <v>21107.971272913859</v>
      </c>
      <c r="P1959" s="132">
        <f t="shared" si="149"/>
        <v>8011.9208562215317</v>
      </c>
      <c r="Q1959" s="261">
        <v>0.49693117194704767</v>
      </c>
      <c r="R1959" s="92"/>
    </row>
    <row r="1960" spans="1:18" x14ac:dyDescent="0.25">
      <c r="A1960" s="353">
        <v>44069</v>
      </c>
      <c r="B1960" s="353" t="s">
        <v>285</v>
      </c>
      <c r="C1960" s="263" t="s">
        <v>731</v>
      </c>
      <c r="D1960" s="157" t="s">
        <v>703</v>
      </c>
      <c r="E1960" s="44">
        <f t="shared" si="150"/>
        <v>44069</v>
      </c>
      <c r="F1960" s="146" t="str">
        <f t="shared" si="146"/>
        <v>2020-21</v>
      </c>
      <c r="G1960" s="1"/>
      <c r="H1960" s="161"/>
      <c r="I1960" s="37"/>
      <c r="J1960" s="135">
        <f t="shared" si="147"/>
        <v>0.76382508261777382</v>
      </c>
      <c r="K1960" s="112"/>
      <c r="L1960" s="37">
        <v>6.12232537521</v>
      </c>
      <c r="M1960" s="37" t="s">
        <v>288</v>
      </c>
      <c r="N1960" s="37">
        <v>3336.4019512195118</v>
      </c>
      <c r="O1960" s="130">
        <f t="shared" si="148"/>
        <v>20426.538327851373</v>
      </c>
      <c r="P1960" s="132">
        <f t="shared" si="149"/>
        <v>7753.2703798648372</v>
      </c>
      <c r="Q1960" s="261">
        <v>0.49693117194704767</v>
      </c>
      <c r="R1960" s="92"/>
    </row>
    <row r="1961" spans="1:18" x14ac:dyDescent="0.25">
      <c r="A1961" s="353">
        <v>44069</v>
      </c>
      <c r="B1961" s="353" t="s">
        <v>285</v>
      </c>
      <c r="C1961" s="263" t="s">
        <v>731</v>
      </c>
      <c r="D1961" s="157" t="s">
        <v>703</v>
      </c>
      <c r="E1961" s="44">
        <f t="shared" si="150"/>
        <v>44069</v>
      </c>
      <c r="F1961" s="146" t="str">
        <f t="shared" si="146"/>
        <v>2020-21</v>
      </c>
      <c r="G1961" s="1"/>
      <c r="H1961" s="161"/>
      <c r="I1961" s="37"/>
      <c r="J1961" s="135">
        <f t="shared" si="147"/>
        <v>0.76382508261777382</v>
      </c>
      <c r="K1961" s="112"/>
      <c r="L1961" s="37">
        <v>16.9362211925</v>
      </c>
      <c r="M1961" s="37" t="s">
        <v>288</v>
      </c>
      <c r="N1961" s="37">
        <v>3336.4019512195118</v>
      </c>
      <c r="O1961" s="130">
        <f t="shared" si="148"/>
        <v>56506.041432942249</v>
      </c>
      <c r="P1961" s="132">
        <f t="shared" si="149"/>
        <v>21447.913018531024</v>
      </c>
      <c r="Q1961" s="261">
        <v>0.49693117194704767</v>
      </c>
      <c r="R1961" s="92"/>
    </row>
    <row r="1962" spans="1:18" x14ac:dyDescent="0.25">
      <c r="A1962" s="353">
        <v>44069</v>
      </c>
      <c r="B1962" s="353" t="s">
        <v>285</v>
      </c>
      <c r="C1962" s="263" t="s">
        <v>731</v>
      </c>
      <c r="D1962" s="157" t="s">
        <v>703</v>
      </c>
      <c r="E1962" s="44">
        <f t="shared" si="150"/>
        <v>44069</v>
      </c>
      <c r="F1962" s="146" t="str">
        <f t="shared" si="146"/>
        <v>2020-21</v>
      </c>
      <c r="G1962" s="1"/>
      <c r="H1962" s="161"/>
      <c r="I1962" s="37"/>
      <c r="J1962" s="135">
        <f t="shared" si="147"/>
        <v>0.76382508261777382</v>
      </c>
      <c r="K1962" s="112"/>
      <c r="L1962" s="37">
        <v>20.6919400102</v>
      </c>
      <c r="M1962" s="37" t="s">
        <v>288</v>
      </c>
      <c r="N1962" s="37">
        <v>3336.4019512195118</v>
      </c>
      <c r="O1962" s="130">
        <f t="shared" si="148"/>
        <v>69036.629024548369</v>
      </c>
      <c r="P1962" s="132">
        <f t="shared" si="149"/>
        <v>26204.129272943279</v>
      </c>
      <c r="Q1962" s="261">
        <v>0.49693117194704767</v>
      </c>
      <c r="R1962" s="92"/>
    </row>
    <row r="1963" spans="1:18" x14ac:dyDescent="0.25">
      <c r="A1963" s="353">
        <v>44069</v>
      </c>
      <c r="B1963" s="353" t="s">
        <v>285</v>
      </c>
      <c r="C1963" s="263" t="s">
        <v>731</v>
      </c>
      <c r="D1963" s="157" t="s">
        <v>703</v>
      </c>
      <c r="E1963" s="44">
        <f t="shared" si="150"/>
        <v>44069</v>
      </c>
      <c r="F1963" s="146" t="str">
        <f t="shared" si="146"/>
        <v>2020-21</v>
      </c>
      <c r="G1963" s="1"/>
      <c r="H1963" s="161"/>
      <c r="I1963" s="37"/>
      <c r="J1963" s="135">
        <f t="shared" si="147"/>
        <v>0.76382508261777382</v>
      </c>
      <c r="K1963" s="112"/>
      <c r="L1963" s="37">
        <v>6.2412799969200004</v>
      </c>
      <c r="M1963" s="37" t="s">
        <v>288</v>
      </c>
      <c r="N1963" s="37">
        <v>3336.4019512195118</v>
      </c>
      <c r="O1963" s="130">
        <f t="shared" si="148"/>
        <v>20823.418759831198</v>
      </c>
      <c r="P1963" s="132">
        <f t="shared" si="149"/>
        <v>7903.9136875182694</v>
      </c>
      <c r="Q1963" s="261">
        <v>0.49693117194704767</v>
      </c>
      <c r="R1963" s="92"/>
    </row>
    <row r="1964" spans="1:18" x14ac:dyDescent="0.25">
      <c r="A1964" s="353">
        <v>44069</v>
      </c>
      <c r="B1964" s="353" t="s">
        <v>285</v>
      </c>
      <c r="C1964" s="263" t="s">
        <v>731</v>
      </c>
      <c r="D1964" s="157" t="s">
        <v>703</v>
      </c>
      <c r="E1964" s="44">
        <f t="shared" si="150"/>
        <v>44069</v>
      </c>
      <c r="F1964" s="146" t="str">
        <f t="shared" si="146"/>
        <v>2020-21</v>
      </c>
      <c r="G1964" s="1"/>
      <c r="H1964" s="161"/>
      <c r="I1964" s="37"/>
      <c r="J1964" s="135">
        <f t="shared" si="147"/>
        <v>0.76382508261777382</v>
      </c>
      <c r="K1964" s="112"/>
      <c r="L1964" s="37">
        <v>48.4448125499</v>
      </c>
      <c r="M1964" s="37" t="s">
        <v>288</v>
      </c>
      <c r="N1964" s="37">
        <v>812.22926829268283</v>
      </c>
      <c r="O1964" s="130">
        <f t="shared" si="148"/>
        <v>39348.294649981457</v>
      </c>
      <c r="P1964" s="132">
        <f t="shared" si="149"/>
        <v>14935.37292082059</v>
      </c>
      <c r="Q1964" s="261">
        <v>0.49693117194704767</v>
      </c>
      <c r="R1964" s="92"/>
    </row>
    <row r="1965" spans="1:18" x14ac:dyDescent="0.25">
      <c r="A1965" s="353">
        <v>44069</v>
      </c>
      <c r="B1965" s="353" t="s">
        <v>285</v>
      </c>
      <c r="C1965" s="263" t="s">
        <v>731</v>
      </c>
      <c r="D1965" s="157" t="s">
        <v>703</v>
      </c>
      <c r="E1965" s="44">
        <f t="shared" si="150"/>
        <v>44069</v>
      </c>
      <c r="F1965" s="146" t="str">
        <f t="shared" si="146"/>
        <v>2020-21</v>
      </c>
      <c r="G1965" s="1"/>
      <c r="H1965" s="161"/>
      <c r="I1965" s="37"/>
      <c r="J1965" s="135">
        <f t="shared" si="147"/>
        <v>0.76382508261777382</v>
      </c>
      <c r="K1965" s="112"/>
      <c r="L1965" s="37">
        <v>89.271526270799995</v>
      </c>
      <c r="M1965" s="37" t="s">
        <v>288</v>
      </c>
      <c r="N1965" s="37">
        <v>3336.4019512195118</v>
      </c>
      <c r="O1965" s="130">
        <f t="shared" si="148"/>
        <v>297845.69443824101</v>
      </c>
      <c r="P1965" s="132">
        <f t="shared" si="149"/>
        <v>113052.84152379409</v>
      </c>
      <c r="Q1965" s="261">
        <v>0.49693117194704767</v>
      </c>
      <c r="R1965" s="92"/>
    </row>
    <row r="1966" spans="1:18" x14ac:dyDescent="0.25">
      <c r="A1966" s="353">
        <v>44069</v>
      </c>
      <c r="B1966" s="353" t="s">
        <v>285</v>
      </c>
      <c r="C1966" s="263" t="s">
        <v>731</v>
      </c>
      <c r="D1966" s="157" t="s">
        <v>703</v>
      </c>
      <c r="E1966" s="44">
        <f t="shared" si="150"/>
        <v>44069</v>
      </c>
      <c r="F1966" s="146" t="str">
        <f t="shared" si="146"/>
        <v>2020-21</v>
      </c>
      <c r="G1966" s="1"/>
      <c r="H1966" s="161"/>
      <c r="I1966" s="37"/>
      <c r="J1966" s="135">
        <f t="shared" si="147"/>
        <v>0.76382508261777382</v>
      </c>
      <c r="K1966" s="112"/>
      <c r="L1966" s="37">
        <v>89.439407733099998</v>
      </c>
      <c r="M1966" s="37" t="s">
        <v>288</v>
      </c>
      <c r="N1966" s="37">
        <v>3336.4019512195118</v>
      </c>
      <c r="O1966" s="130">
        <f t="shared" si="148"/>
        <v>298405.81447663234</v>
      </c>
      <c r="P1966" s="132">
        <f t="shared" si="149"/>
        <v>113265.44544292742</v>
      </c>
      <c r="Q1966" s="261">
        <v>0.49693117194704767</v>
      </c>
      <c r="R1966" s="92"/>
    </row>
    <row r="1967" spans="1:18" x14ac:dyDescent="0.25">
      <c r="A1967" s="353">
        <v>44069</v>
      </c>
      <c r="B1967" s="353" t="s">
        <v>285</v>
      </c>
      <c r="C1967" s="263" t="s">
        <v>731</v>
      </c>
      <c r="D1967" s="157" t="s">
        <v>703</v>
      </c>
      <c r="E1967" s="44">
        <f t="shared" si="150"/>
        <v>44069</v>
      </c>
      <c r="F1967" s="146" t="str">
        <f t="shared" si="146"/>
        <v>2020-21</v>
      </c>
      <c r="G1967" s="1"/>
      <c r="H1967" s="161"/>
      <c r="I1967" s="37"/>
      <c r="J1967" s="135">
        <f t="shared" si="147"/>
        <v>0.76382508261777382</v>
      </c>
      <c r="K1967" s="112"/>
      <c r="L1967" s="37">
        <v>17.807810118300001</v>
      </c>
      <c r="M1967" s="37" t="s">
        <v>288</v>
      </c>
      <c r="N1967" s="37">
        <v>3336.4019512195118</v>
      </c>
      <c r="O1967" s="130">
        <f t="shared" si="148"/>
        <v>59414.012425642686</v>
      </c>
      <c r="P1967" s="132">
        <f t="shared" si="149"/>
        <v>22551.687187278396</v>
      </c>
      <c r="Q1967" s="261">
        <v>0.49693117194704767</v>
      </c>
      <c r="R1967" s="92"/>
    </row>
    <row r="1968" spans="1:18" x14ac:dyDescent="0.25">
      <c r="A1968" s="353">
        <v>44069</v>
      </c>
      <c r="B1968" s="353" t="s">
        <v>285</v>
      </c>
      <c r="C1968" s="263" t="s">
        <v>731</v>
      </c>
      <c r="D1968" s="157" t="s">
        <v>703</v>
      </c>
      <c r="E1968" s="44">
        <f t="shared" si="150"/>
        <v>44069</v>
      </c>
      <c r="F1968" s="146" t="str">
        <f t="shared" si="146"/>
        <v>2020-21</v>
      </c>
      <c r="G1968" s="1"/>
      <c r="H1968" s="161"/>
      <c r="I1968" s="37"/>
      <c r="J1968" s="135">
        <f t="shared" si="147"/>
        <v>0.76382508261777382</v>
      </c>
      <c r="K1968" s="112"/>
      <c r="L1968" s="37">
        <v>6.43251342789</v>
      </c>
      <c r="M1968" s="37" t="s">
        <v>288</v>
      </c>
      <c r="N1968" s="37">
        <v>3336.4019512195118</v>
      </c>
      <c r="O1968" s="130">
        <f t="shared" si="148"/>
        <v>21461.450352057906</v>
      </c>
      <c r="P1968" s="132">
        <f t="shared" si="149"/>
        <v>8146.0903777646236</v>
      </c>
      <c r="Q1968" s="261">
        <v>0.49693117194704767</v>
      </c>
      <c r="R1968" s="92"/>
    </row>
    <row r="1969" spans="1:18" x14ac:dyDescent="0.25">
      <c r="A1969" s="353">
        <v>44069</v>
      </c>
      <c r="B1969" s="353" t="s">
        <v>285</v>
      </c>
      <c r="C1969" s="263" t="s">
        <v>731</v>
      </c>
      <c r="D1969" s="157" t="s">
        <v>703</v>
      </c>
      <c r="E1969" s="44">
        <f t="shared" si="150"/>
        <v>44069</v>
      </c>
      <c r="F1969" s="146" t="str">
        <f t="shared" si="146"/>
        <v>2020-21</v>
      </c>
      <c r="G1969" s="1"/>
      <c r="H1969" s="161"/>
      <c r="I1969" s="37"/>
      <c r="J1969" s="135">
        <f t="shared" si="147"/>
        <v>0.76382508261777382</v>
      </c>
      <c r="K1969" s="112"/>
      <c r="L1969" s="37">
        <v>41.918173128399999</v>
      </c>
      <c r="M1969" s="37" t="s">
        <v>288</v>
      </c>
      <c r="N1969" s="37">
        <v>3336.4019512195118</v>
      </c>
      <c r="O1969" s="130">
        <f t="shared" si="148"/>
        <v>139855.87461715107</v>
      </c>
      <c r="P1969" s="132">
        <f t="shared" si="149"/>
        <v>53084.883631053686</v>
      </c>
      <c r="Q1969" s="261">
        <v>0.49693117194704767</v>
      </c>
      <c r="R1969" s="92"/>
    </row>
    <row r="1970" spans="1:18" x14ac:dyDescent="0.25">
      <c r="A1970" s="353">
        <v>44069</v>
      </c>
      <c r="B1970" s="353" t="s">
        <v>285</v>
      </c>
      <c r="C1970" s="263" t="s">
        <v>731</v>
      </c>
      <c r="D1970" s="157" t="s">
        <v>703</v>
      </c>
      <c r="E1970" s="44">
        <f t="shared" si="150"/>
        <v>44069</v>
      </c>
      <c r="F1970" s="146" t="str">
        <f t="shared" si="146"/>
        <v>2020-21</v>
      </c>
      <c r="G1970" s="1"/>
      <c r="H1970" s="161"/>
      <c r="I1970" s="37"/>
      <c r="J1970" s="135">
        <f t="shared" si="147"/>
        <v>0.76382508261777382</v>
      </c>
      <c r="K1970" s="112"/>
      <c r="L1970" s="37">
        <v>6.0326578019500001</v>
      </c>
      <c r="M1970" s="37" t="s">
        <v>288</v>
      </c>
      <c r="N1970" s="37">
        <v>3336.4019512195118</v>
      </c>
      <c r="O1970" s="130">
        <f t="shared" si="148"/>
        <v>20127.371261465592</v>
      </c>
      <c r="P1970" s="132">
        <f t="shared" si="149"/>
        <v>7639.7159871816057</v>
      </c>
      <c r="Q1970" s="261">
        <v>0.49693117194704767</v>
      </c>
      <c r="R1970" s="92"/>
    </row>
    <row r="1971" spans="1:18" x14ac:dyDescent="0.25">
      <c r="A1971" s="353">
        <v>44069</v>
      </c>
      <c r="B1971" s="353" t="s">
        <v>285</v>
      </c>
      <c r="C1971" s="263" t="s">
        <v>731</v>
      </c>
      <c r="D1971" s="157" t="s">
        <v>703</v>
      </c>
      <c r="E1971" s="44">
        <f t="shared" si="150"/>
        <v>44069</v>
      </c>
      <c r="F1971" s="146" t="str">
        <f t="shared" si="146"/>
        <v>2020-21</v>
      </c>
      <c r="G1971" s="1"/>
      <c r="H1971" s="161"/>
      <c r="I1971" s="37"/>
      <c r="J1971" s="135">
        <f t="shared" si="147"/>
        <v>0.76382508261777382</v>
      </c>
      <c r="K1971" s="112"/>
      <c r="L1971" s="37">
        <v>67.717530655100006</v>
      </c>
      <c r="M1971" s="37" t="s">
        <v>288</v>
      </c>
      <c r="N1971" s="37">
        <v>812.22926829268283</v>
      </c>
      <c r="O1971" s="130">
        <f t="shared" si="148"/>
        <v>55002.160374579194</v>
      </c>
      <c r="P1971" s="132">
        <f t="shared" si="149"/>
        <v>20877.087150853396</v>
      </c>
      <c r="Q1971" s="261">
        <v>0.49693117194704767</v>
      </c>
      <c r="R1971" s="92"/>
    </row>
    <row r="1972" spans="1:18" x14ac:dyDescent="0.25">
      <c r="A1972" s="353">
        <v>44069</v>
      </c>
      <c r="B1972" s="353" t="s">
        <v>285</v>
      </c>
      <c r="C1972" s="263" t="s">
        <v>731</v>
      </c>
      <c r="D1972" s="157" t="s">
        <v>703</v>
      </c>
      <c r="E1972" s="44">
        <f t="shared" si="150"/>
        <v>44069</v>
      </c>
      <c r="F1972" s="146" t="str">
        <f t="shared" si="146"/>
        <v>2020-21</v>
      </c>
      <c r="G1972" s="1"/>
      <c r="H1972" s="161"/>
      <c r="I1972" s="37"/>
      <c r="J1972" s="135">
        <f t="shared" si="147"/>
        <v>0.76382508261777382</v>
      </c>
      <c r="K1972" s="112"/>
      <c r="L1972" s="37">
        <v>28.396173439799998</v>
      </c>
      <c r="M1972" s="37" t="s">
        <v>288</v>
      </c>
      <c r="N1972" s="37">
        <v>3336.4019512195118</v>
      </c>
      <c r="O1972" s="130">
        <f t="shared" si="148"/>
        <v>94741.048471716393</v>
      </c>
      <c r="P1972" s="132">
        <f t="shared" si="149"/>
        <v>35960.717037969283</v>
      </c>
      <c r="Q1972" s="261">
        <v>0.49693117194704767</v>
      </c>
      <c r="R1972" s="92"/>
    </row>
    <row r="1973" spans="1:18" x14ac:dyDescent="0.25">
      <c r="A1973" s="353">
        <v>44069</v>
      </c>
      <c r="B1973" s="353" t="s">
        <v>285</v>
      </c>
      <c r="C1973" s="263" t="s">
        <v>731</v>
      </c>
      <c r="D1973" s="157" t="s">
        <v>703</v>
      </c>
      <c r="E1973" s="44">
        <f t="shared" si="150"/>
        <v>44069</v>
      </c>
      <c r="F1973" s="146" t="str">
        <f t="shared" si="146"/>
        <v>2020-21</v>
      </c>
      <c r="G1973" s="1"/>
      <c r="H1973" s="161"/>
      <c r="I1973" s="37"/>
      <c r="J1973" s="135">
        <f t="shared" si="147"/>
        <v>0.76382508261777382</v>
      </c>
      <c r="K1973" s="112"/>
      <c r="L1973" s="37">
        <v>20.048889894799999</v>
      </c>
      <c r="M1973" s="37" t="s">
        <v>288</v>
      </c>
      <c r="N1973" s="37">
        <v>3336.4019512195118</v>
      </c>
      <c r="O1973" s="130">
        <f t="shared" si="148"/>
        <v>66891.155364795864</v>
      </c>
      <c r="P1973" s="132">
        <f t="shared" si="149"/>
        <v>25389.775068136172</v>
      </c>
      <c r="Q1973" s="261">
        <v>0.49693117194704767</v>
      </c>
      <c r="R1973" s="92"/>
    </row>
    <row r="1974" spans="1:18" x14ac:dyDescent="0.25">
      <c r="A1974" s="353">
        <v>44069</v>
      </c>
      <c r="B1974" s="353" t="s">
        <v>285</v>
      </c>
      <c r="C1974" s="263" t="s">
        <v>731</v>
      </c>
      <c r="D1974" s="157" t="s">
        <v>703</v>
      </c>
      <c r="E1974" s="44">
        <f t="shared" si="150"/>
        <v>44069</v>
      </c>
      <c r="F1974" s="146" t="str">
        <f t="shared" si="146"/>
        <v>2020-21</v>
      </c>
      <c r="G1974" s="1"/>
      <c r="H1974" s="161"/>
      <c r="I1974" s="37"/>
      <c r="J1974" s="135">
        <f t="shared" si="147"/>
        <v>0.76382508261777382</v>
      </c>
      <c r="K1974" s="112"/>
      <c r="L1974" s="37">
        <v>6.4042511662199999</v>
      </c>
      <c r="M1974" s="37" t="s">
        <v>288</v>
      </c>
      <c r="N1974" s="37">
        <v>3336.4019512195118</v>
      </c>
      <c r="O1974" s="130">
        <f t="shared" si="148"/>
        <v>21367.156087076241</v>
      </c>
      <c r="P1974" s="132">
        <f t="shared" si="149"/>
        <v>8110.299245662879</v>
      </c>
      <c r="Q1974" s="261">
        <v>0.49693117194704767</v>
      </c>
      <c r="R1974" s="92"/>
    </row>
    <row r="1975" spans="1:18" x14ac:dyDescent="0.25">
      <c r="A1975" s="353">
        <v>44069</v>
      </c>
      <c r="B1975" s="353" t="s">
        <v>285</v>
      </c>
      <c r="C1975" s="263" t="s">
        <v>731</v>
      </c>
      <c r="D1975" s="157" t="s">
        <v>703</v>
      </c>
      <c r="E1975" s="44">
        <f t="shared" si="150"/>
        <v>44069</v>
      </c>
      <c r="F1975" s="146" t="str">
        <f t="shared" si="146"/>
        <v>2020-21</v>
      </c>
      <c r="G1975" s="1"/>
      <c r="H1975" s="161"/>
      <c r="I1975" s="37"/>
      <c r="J1975" s="135">
        <f t="shared" si="147"/>
        <v>0.76382508261777382</v>
      </c>
      <c r="K1975" s="112"/>
      <c r="L1975" s="37">
        <v>59.8108751531</v>
      </c>
      <c r="M1975" s="37" t="s">
        <v>288</v>
      </c>
      <c r="N1975" s="37">
        <v>3336.4019512195118</v>
      </c>
      <c r="O1975" s="130">
        <f t="shared" si="148"/>
        <v>199553.12056494947</v>
      </c>
      <c r="P1975" s="132">
        <f t="shared" si="149"/>
        <v>75744.077339636307</v>
      </c>
      <c r="Q1975" s="261">
        <v>0.49693117194704767</v>
      </c>
      <c r="R1975" s="92"/>
    </row>
    <row r="1976" spans="1:18" x14ac:dyDescent="0.25">
      <c r="A1976" s="353">
        <v>44069</v>
      </c>
      <c r="B1976" s="353" t="s">
        <v>285</v>
      </c>
      <c r="C1976" s="263" t="s">
        <v>731</v>
      </c>
      <c r="D1976" s="157" t="s">
        <v>703</v>
      </c>
      <c r="E1976" s="44">
        <f t="shared" si="150"/>
        <v>44069</v>
      </c>
      <c r="F1976" s="146" t="str">
        <f t="shared" si="146"/>
        <v>2020-21</v>
      </c>
      <c r="G1976" s="1"/>
      <c r="H1976" s="161"/>
      <c r="I1976" s="37"/>
      <c r="J1976" s="135">
        <f t="shared" si="147"/>
        <v>0.76382508261777382</v>
      </c>
      <c r="K1976" s="112"/>
      <c r="L1976" s="37">
        <v>9.8941895113800005</v>
      </c>
      <c r="M1976" s="37" t="s">
        <v>288</v>
      </c>
      <c r="N1976" s="37">
        <v>3336.4019512195118</v>
      </c>
      <c r="O1976" s="130">
        <f t="shared" si="148"/>
        <v>33010.993191503861</v>
      </c>
      <c r="P1976" s="132">
        <f t="shared" si="149"/>
        <v>12529.932953574953</v>
      </c>
      <c r="Q1976" s="261">
        <v>0.49693117194704767</v>
      </c>
      <c r="R1976" s="92"/>
    </row>
    <row r="1977" spans="1:18" x14ac:dyDescent="0.25">
      <c r="A1977" s="353">
        <v>44069</v>
      </c>
      <c r="B1977" s="353" t="s">
        <v>285</v>
      </c>
      <c r="C1977" s="263" t="s">
        <v>731</v>
      </c>
      <c r="D1977" s="157" t="s">
        <v>703</v>
      </c>
      <c r="E1977" s="44">
        <f t="shared" si="150"/>
        <v>44069</v>
      </c>
      <c r="F1977" s="146" t="str">
        <f t="shared" si="146"/>
        <v>2020-21</v>
      </c>
      <c r="G1977" s="1"/>
      <c r="H1977" s="161"/>
      <c r="I1977" s="37"/>
      <c r="J1977" s="135">
        <f t="shared" si="147"/>
        <v>0.76382508261777382</v>
      </c>
      <c r="K1977" s="112"/>
      <c r="L1977" s="37">
        <v>23.3358015743</v>
      </c>
      <c r="M1977" s="37" t="s">
        <v>288</v>
      </c>
      <c r="N1977" s="37">
        <v>3336.4019512195118</v>
      </c>
      <c r="O1977" s="130">
        <f t="shared" si="148"/>
        <v>77857.613905765873</v>
      </c>
      <c r="P1977" s="132">
        <f t="shared" si="149"/>
        <v>29552.297215209255</v>
      </c>
      <c r="Q1977" s="261">
        <v>0.49693117194704767</v>
      </c>
      <c r="R1977" s="92"/>
    </row>
    <row r="1978" spans="1:18" x14ac:dyDescent="0.25">
      <c r="A1978" s="353">
        <v>44069</v>
      </c>
      <c r="B1978" s="353" t="s">
        <v>285</v>
      </c>
      <c r="C1978" s="263" t="s">
        <v>731</v>
      </c>
      <c r="D1978" s="157" t="s">
        <v>703</v>
      </c>
      <c r="E1978" s="44">
        <f t="shared" si="150"/>
        <v>44069</v>
      </c>
      <c r="F1978" s="146" t="str">
        <f t="shared" si="146"/>
        <v>2020-21</v>
      </c>
      <c r="G1978" s="1"/>
      <c r="H1978" s="161"/>
      <c r="I1978" s="37"/>
      <c r="J1978" s="135">
        <f t="shared" si="147"/>
        <v>0.76382508261777382</v>
      </c>
      <c r="K1978" s="112"/>
      <c r="L1978" s="37">
        <v>42.2195624804</v>
      </c>
      <c r="M1978" s="37" t="s">
        <v>288</v>
      </c>
      <c r="N1978" s="37">
        <v>3336.4019512195118</v>
      </c>
      <c r="O1978" s="130">
        <f t="shared" si="148"/>
        <v>140861.43063924066</v>
      </c>
      <c r="P1978" s="132">
        <f t="shared" si="149"/>
        <v>53466.5610154557</v>
      </c>
      <c r="Q1978" s="261">
        <v>0.49693117194704767</v>
      </c>
      <c r="R1978" s="92"/>
    </row>
    <row r="1979" spans="1:18" x14ac:dyDescent="0.25">
      <c r="A1979" s="353">
        <v>44069</v>
      </c>
      <c r="B1979" s="353" t="s">
        <v>285</v>
      </c>
      <c r="C1979" s="263" t="s">
        <v>731</v>
      </c>
      <c r="D1979" s="157" t="s">
        <v>703</v>
      </c>
      <c r="E1979" s="44">
        <f t="shared" si="150"/>
        <v>44069</v>
      </c>
      <c r="F1979" s="146" t="str">
        <f t="shared" ref="F1979:F2042" si="151">IF(E1979="","-",IF(OR(E1979&lt;$E$15,E1979&gt;$E$16),"ERROR - date outside of range",IF(MONTH(E1979)&gt;=7,YEAR(E1979)&amp;"-"&amp;IF(YEAR(E1979)=1999,"00",IF(AND(YEAR(E1979)&gt;=2000,YEAR(E1979)&lt;2009),"0","")&amp;RIGHT(YEAR(E1979),2)+1),RIGHT(YEAR(E1979),4)-1&amp;"-"&amp;RIGHT(YEAR(E1979),2))))</f>
        <v>2020-21</v>
      </c>
      <c r="G1979" s="1"/>
      <c r="H1979" s="161"/>
      <c r="I1979" s="37"/>
      <c r="J1979" s="135">
        <f t="shared" si="147"/>
        <v>0.76382508261777382</v>
      </c>
      <c r="K1979" s="112"/>
      <c r="L1979" s="37">
        <v>65.343534696700004</v>
      </c>
      <c r="M1979" s="37" t="s">
        <v>288</v>
      </c>
      <c r="N1979" s="37">
        <v>812.22926829268283</v>
      </c>
      <c r="O1979" s="130">
        <f t="shared" si="148"/>
        <v>53073.931374358181</v>
      </c>
      <c r="P1979" s="132">
        <f t="shared" si="149"/>
        <v>20145.192174178585</v>
      </c>
      <c r="Q1979" s="261">
        <v>0.49693117194704767</v>
      </c>
      <c r="R1979" s="92"/>
    </row>
    <row r="1980" spans="1:18" x14ac:dyDescent="0.25">
      <c r="A1980" s="353">
        <v>44069</v>
      </c>
      <c r="B1980" s="353" t="s">
        <v>285</v>
      </c>
      <c r="C1980" s="263" t="s">
        <v>731</v>
      </c>
      <c r="D1980" s="157" t="s">
        <v>703</v>
      </c>
      <c r="E1980" s="44">
        <f t="shared" si="150"/>
        <v>44069</v>
      </c>
      <c r="F1980" s="146" t="str">
        <f t="shared" si="151"/>
        <v>2020-21</v>
      </c>
      <c r="G1980" s="1"/>
      <c r="H1980" s="161"/>
      <c r="I1980" s="37"/>
      <c r="J1980" s="135">
        <f t="shared" si="147"/>
        <v>0.76382508261777382</v>
      </c>
      <c r="K1980" s="112"/>
      <c r="L1980" s="37">
        <v>60.370468058599997</v>
      </c>
      <c r="M1980" s="37" t="s">
        <v>288</v>
      </c>
      <c r="N1980" s="37">
        <v>950.87219512195099</v>
      </c>
      <c r="O1980" s="130">
        <f t="shared" si="148"/>
        <v>57404.599483420607</v>
      </c>
      <c r="P1980" s="132">
        <f t="shared" si="149"/>
        <v>21788.977344044459</v>
      </c>
      <c r="Q1980" s="261">
        <v>0.49693117194704767</v>
      </c>
      <c r="R1980" s="92"/>
    </row>
    <row r="1981" spans="1:18" x14ac:dyDescent="0.25">
      <c r="A1981" s="353">
        <v>44069</v>
      </c>
      <c r="B1981" s="353" t="s">
        <v>285</v>
      </c>
      <c r="C1981" s="263" t="s">
        <v>731</v>
      </c>
      <c r="D1981" s="157" t="s">
        <v>703</v>
      </c>
      <c r="E1981" s="44">
        <f t="shared" si="150"/>
        <v>44069</v>
      </c>
      <c r="F1981" s="146" t="str">
        <f t="shared" si="151"/>
        <v>2020-21</v>
      </c>
      <c r="G1981" s="1"/>
      <c r="H1981" s="161"/>
      <c r="I1981" s="37"/>
      <c r="J1981" s="135">
        <f t="shared" si="147"/>
        <v>0.76382508261777382</v>
      </c>
      <c r="K1981" s="112"/>
      <c r="L1981" s="37">
        <v>68.693586429099994</v>
      </c>
      <c r="M1981" s="37" t="s">
        <v>288</v>
      </c>
      <c r="N1981" s="37">
        <v>3336.4019512195118</v>
      </c>
      <c r="O1981" s="130">
        <f t="shared" si="148"/>
        <v>229189.4157983154</v>
      </c>
      <c r="P1981" s="132">
        <f t="shared" si="149"/>
        <v>86993.081273331976</v>
      </c>
      <c r="Q1981" s="261">
        <v>0.49693117194704767</v>
      </c>
      <c r="R1981" s="92"/>
    </row>
    <row r="1982" spans="1:18" x14ac:dyDescent="0.25">
      <c r="A1982" s="353">
        <v>44069</v>
      </c>
      <c r="B1982" s="353" t="s">
        <v>285</v>
      </c>
      <c r="C1982" s="263" t="s">
        <v>731</v>
      </c>
      <c r="D1982" s="157" t="s">
        <v>703</v>
      </c>
      <c r="E1982" s="44">
        <f t="shared" si="150"/>
        <v>44069</v>
      </c>
      <c r="F1982" s="146" t="str">
        <f t="shared" si="151"/>
        <v>2020-21</v>
      </c>
      <c r="G1982" s="1"/>
      <c r="H1982" s="161"/>
      <c r="I1982" s="37"/>
      <c r="J1982" s="135">
        <f t="shared" si="147"/>
        <v>0.76382508261777382</v>
      </c>
      <c r="K1982" s="112"/>
      <c r="L1982" s="37">
        <v>52.389977374300003</v>
      </c>
      <c r="M1982" s="37" t="s">
        <v>288</v>
      </c>
      <c r="N1982" s="37">
        <v>812.22926829268283</v>
      </c>
      <c r="O1982" s="130">
        <f t="shared" si="148"/>
        <v>42552.6729885979</v>
      </c>
      <c r="P1982" s="132">
        <f t="shared" si="149"/>
        <v>16151.653979310087</v>
      </c>
      <c r="Q1982" s="261">
        <v>0.49693117194704767</v>
      </c>
      <c r="R1982" s="92"/>
    </row>
    <row r="1983" spans="1:18" x14ac:dyDescent="0.25">
      <c r="A1983" s="353">
        <v>44069</v>
      </c>
      <c r="B1983" s="353" t="s">
        <v>285</v>
      </c>
      <c r="C1983" s="263" t="s">
        <v>731</v>
      </c>
      <c r="D1983" s="157" t="s">
        <v>703</v>
      </c>
      <c r="E1983" s="44">
        <f t="shared" si="150"/>
        <v>44069</v>
      </c>
      <c r="F1983" s="146" t="str">
        <f t="shared" si="151"/>
        <v>2020-21</v>
      </c>
      <c r="G1983" s="1"/>
      <c r="H1983" s="161"/>
      <c r="I1983" s="37"/>
      <c r="J1983" s="135">
        <f t="shared" si="147"/>
        <v>0.76382508261777382</v>
      </c>
      <c r="K1983" s="112"/>
      <c r="L1983" s="37">
        <v>50.573672384600002</v>
      </c>
      <c r="M1983" s="37" t="s">
        <v>288</v>
      </c>
      <c r="N1983" s="37">
        <v>3336.4019512195118</v>
      </c>
      <c r="O1983" s="130">
        <f t="shared" si="148"/>
        <v>168734.09922431578</v>
      </c>
      <c r="P1983" s="132">
        <f t="shared" si="149"/>
        <v>64046.147839219964</v>
      </c>
      <c r="Q1983" s="261">
        <v>0.49693117194704767</v>
      </c>
      <c r="R1983" s="92"/>
    </row>
    <row r="1984" spans="1:18" x14ac:dyDescent="0.25">
      <c r="A1984" s="353">
        <v>44069</v>
      </c>
      <c r="B1984" s="353" t="s">
        <v>285</v>
      </c>
      <c r="C1984" s="263" t="s">
        <v>731</v>
      </c>
      <c r="D1984" s="157" t="s">
        <v>703</v>
      </c>
      <c r="E1984" s="44">
        <f t="shared" si="150"/>
        <v>44069</v>
      </c>
      <c r="F1984" s="146" t="str">
        <f t="shared" si="151"/>
        <v>2020-21</v>
      </c>
      <c r="G1984" s="1"/>
      <c r="H1984" s="161"/>
      <c r="I1984" s="37"/>
      <c r="J1984" s="135">
        <f t="shared" si="147"/>
        <v>0.76382508261777382</v>
      </c>
      <c r="K1984" s="112"/>
      <c r="L1984" s="37">
        <v>45.251722392600001</v>
      </c>
      <c r="M1984" s="37" t="s">
        <v>288</v>
      </c>
      <c r="N1984" s="37">
        <v>3592.3639024390236</v>
      </c>
      <c r="O1984" s="130">
        <f t="shared" si="148"/>
        <v>162560.65404636788</v>
      </c>
      <c r="P1984" s="132">
        <f t="shared" si="149"/>
        <v>61702.902553520224</v>
      </c>
      <c r="Q1984" s="261">
        <v>0.49693117194704767</v>
      </c>
      <c r="R1984" s="92"/>
    </row>
    <row r="1985" spans="1:18" x14ac:dyDescent="0.25">
      <c r="A1985" s="353">
        <v>44069</v>
      </c>
      <c r="B1985" s="353" t="s">
        <v>285</v>
      </c>
      <c r="C1985" s="263" t="s">
        <v>731</v>
      </c>
      <c r="D1985" s="157" t="s">
        <v>703</v>
      </c>
      <c r="E1985" s="44">
        <f t="shared" si="150"/>
        <v>44069</v>
      </c>
      <c r="F1985" s="146" t="str">
        <f t="shared" si="151"/>
        <v>2020-21</v>
      </c>
      <c r="G1985" s="1"/>
      <c r="H1985" s="161"/>
      <c r="I1985" s="37"/>
      <c r="J1985" s="135">
        <f t="shared" si="147"/>
        <v>0.76382508261777382</v>
      </c>
      <c r="K1985" s="112"/>
      <c r="L1985" s="37">
        <v>75.816262400400007</v>
      </c>
      <c r="M1985" s="37" t="s">
        <v>288</v>
      </c>
      <c r="N1985" s="37">
        <v>3592.3639024390236</v>
      </c>
      <c r="O1985" s="130">
        <f t="shared" si="148"/>
        <v>272359.604265042</v>
      </c>
      <c r="P1985" s="132">
        <f t="shared" si="149"/>
        <v>103379.12467236842</v>
      </c>
      <c r="Q1985" s="261">
        <v>0.49693117194704767</v>
      </c>
      <c r="R1985" s="92"/>
    </row>
    <row r="1986" spans="1:18" x14ac:dyDescent="0.25">
      <c r="A1986" s="353">
        <v>44069</v>
      </c>
      <c r="B1986" s="353" t="s">
        <v>285</v>
      </c>
      <c r="C1986" s="263" t="s">
        <v>731</v>
      </c>
      <c r="D1986" s="157" t="s">
        <v>703</v>
      </c>
      <c r="E1986" s="44">
        <f t="shared" si="150"/>
        <v>44069</v>
      </c>
      <c r="F1986" s="146" t="str">
        <f t="shared" si="151"/>
        <v>2020-21</v>
      </c>
      <c r="G1986" s="1"/>
      <c r="H1986" s="161"/>
      <c r="I1986" s="37"/>
      <c r="J1986" s="135">
        <f t="shared" si="147"/>
        <v>0.76382508261777382</v>
      </c>
      <c r="K1986" s="112"/>
      <c r="L1986" s="37">
        <v>18.5128509645</v>
      </c>
      <c r="M1986" s="37" t="s">
        <v>288</v>
      </c>
      <c r="N1986" s="37">
        <v>3336.4019512195118</v>
      </c>
      <c r="O1986" s="130">
        <f t="shared" si="148"/>
        <v>61766.312080593823</v>
      </c>
      <c r="P1986" s="132">
        <f t="shared" si="149"/>
        <v>23444.546023493025</v>
      </c>
      <c r="Q1986" s="261">
        <v>0.49693117194704767</v>
      </c>
      <c r="R1986" s="92"/>
    </row>
    <row r="1987" spans="1:18" x14ac:dyDescent="0.25">
      <c r="A1987" s="353">
        <v>44069</v>
      </c>
      <c r="B1987" s="353" t="s">
        <v>285</v>
      </c>
      <c r="C1987" s="263" t="s">
        <v>731</v>
      </c>
      <c r="D1987" s="157" t="s">
        <v>703</v>
      </c>
      <c r="E1987" s="44">
        <f t="shared" si="150"/>
        <v>44069</v>
      </c>
      <c r="F1987" s="146" t="str">
        <f t="shared" si="151"/>
        <v>2020-21</v>
      </c>
      <c r="G1987" s="1"/>
      <c r="H1987" s="161"/>
      <c r="I1987" s="37"/>
      <c r="J1987" s="135">
        <f t="shared" si="147"/>
        <v>0.76382508261777382</v>
      </c>
      <c r="K1987" s="112"/>
      <c r="L1987" s="37">
        <v>39.943854549400001</v>
      </c>
      <c r="M1987" s="37" t="s">
        <v>288</v>
      </c>
      <c r="N1987" s="37">
        <v>3336.4019512195118</v>
      </c>
      <c r="O1987" s="130">
        <f t="shared" si="148"/>
        <v>133268.75425784654</v>
      </c>
      <c r="P1987" s="132">
        <f t="shared" si="149"/>
        <v>50584.620279981376</v>
      </c>
      <c r="Q1987" s="261">
        <v>0.49693117194704767</v>
      </c>
      <c r="R1987" s="92"/>
    </row>
    <row r="1988" spans="1:18" x14ac:dyDescent="0.25">
      <c r="A1988" s="353">
        <v>44069</v>
      </c>
      <c r="B1988" s="353" t="s">
        <v>285</v>
      </c>
      <c r="C1988" s="263" t="s">
        <v>731</v>
      </c>
      <c r="D1988" s="157" t="s">
        <v>703</v>
      </c>
      <c r="E1988" s="44">
        <f t="shared" si="150"/>
        <v>44069</v>
      </c>
      <c r="F1988" s="146" t="str">
        <f t="shared" si="151"/>
        <v>2020-21</v>
      </c>
      <c r="G1988" s="1"/>
      <c r="H1988" s="161"/>
      <c r="I1988" s="37"/>
      <c r="J1988" s="135">
        <f t="shared" si="147"/>
        <v>0.76382508261777382</v>
      </c>
      <c r="K1988" s="112"/>
      <c r="L1988" s="37">
        <v>22.776437034800001</v>
      </c>
      <c r="M1988" s="37" t="s">
        <v>288</v>
      </c>
      <c r="N1988" s="37">
        <v>3336.4019512195118</v>
      </c>
      <c r="O1988" s="130">
        <f t="shared" si="148"/>
        <v>75991.34896473508</v>
      </c>
      <c r="P1988" s="132">
        <f t="shared" si="149"/>
        <v>28843.921843130422</v>
      </c>
      <c r="Q1988" s="261">
        <v>0.49693117194704767</v>
      </c>
      <c r="R1988" s="92"/>
    </row>
    <row r="1989" spans="1:18" x14ac:dyDescent="0.25">
      <c r="A1989" s="353">
        <v>44069</v>
      </c>
      <c r="B1989" s="353" t="s">
        <v>285</v>
      </c>
      <c r="C1989" s="263" t="s">
        <v>731</v>
      </c>
      <c r="D1989" s="157" t="s">
        <v>703</v>
      </c>
      <c r="E1989" s="44">
        <f t="shared" si="150"/>
        <v>44069</v>
      </c>
      <c r="F1989" s="146" t="str">
        <f t="shared" si="151"/>
        <v>2020-21</v>
      </c>
      <c r="G1989" s="1"/>
      <c r="H1989" s="161"/>
      <c r="I1989" s="37"/>
      <c r="J1989" s="135">
        <f t="shared" si="147"/>
        <v>0.76382508261777382</v>
      </c>
      <c r="K1989" s="112"/>
      <c r="L1989" s="37">
        <v>7.2912656198999999</v>
      </c>
      <c r="M1989" s="37" t="s">
        <v>288</v>
      </c>
      <c r="N1989" s="37">
        <v>3336.4019512195118</v>
      </c>
      <c r="O1989" s="130">
        <f t="shared" si="148"/>
        <v>24326.592841094101</v>
      </c>
      <c r="P1989" s="132">
        <f t="shared" si="149"/>
        <v>9233.6081958986779</v>
      </c>
      <c r="Q1989" s="261">
        <v>0.49693117194704767</v>
      </c>
      <c r="R1989" s="92"/>
    </row>
    <row r="1990" spans="1:18" x14ac:dyDescent="0.25">
      <c r="A1990" s="353">
        <v>44069</v>
      </c>
      <c r="B1990" s="353" t="s">
        <v>285</v>
      </c>
      <c r="C1990" s="263" t="s">
        <v>731</v>
      </c>
      <c r="D1990" s="157" t="s">
        <v>703</v>
      </c>
      <c r="E1990" s="44">
        <f t="shared" si="150"/>
        <v>44069</v>
      </c>
      <c r="F1990" s="146" t="str">
        <f t="shared" si="151"/>
        <v>2020-21</v>
      </c>
      <c r="G1990" s="1"/>
      <c r="H1990" s="161"/>
      <c r="I1990" s="37"/>
      <c r="J1990" s="135">
        <f t="shared" si="147"/>
        <v>0.76382508261777382</v>
      </c>
      <c r="K1990" s="112"/>
      <c r="L1990" s="37">
        <v>24.662076829099998</v>
      </c>
      <c r="M1990" s="37" t="s">
        <v>288</v>
      </c>
      <c r="N1990" s="37">
        <v>3592.3639024390236</v>
      </c>
      <c r="O1990" s="130">
        <f t="shared" si="148"/>
        <v>88595.154560036695</v>
      </c>
      <c r="P1990" s="132">
        <f t="shared" si="149"/>
        <v>33627.929344900098</v>
      </c>
      <c r="Q1990" s="261">
        <v>0.49693117194704767</v>
      </c>
      <c r="R1990" s="92"/>
    </row>
    <row r="1991" spans="1:18" x14ac:dyDescent="0.25">
      <c r="A1991" s="353">
        <v>44069</v>
      </c>
      <c r="B1991" s="353" t="s">
        <v>285</v>
      </c>
      <c r="C1991" s="263" t="s">
        <v>731</v>
      </c>
      <c r="D1991" s="157" t="s">
        <v>703</v>
      </c>
      <c r="E1991" s="44">
        <f t="shared" si="150"/>
        <v>44069</v>
      </c>
      <c r="F1991" s="146" t="str">
        <f t="shared" si="151"/>
        <v>2020-21</v>
      </c>
      <c r="G1991" s="1"/>
      <c r="H1991" s="161"/>
      <c r="I1991" s="37"/>
      <c r="J1991" s="135">
        <f t="shared" si="147"/>
        <v>0.76382508261777382</v>
      </c>
      <c r="K1991" s="112"/>
      <c r="L1991" s="37">
        <v>4.7328454443399997</v>
      </c>
      <c r="M1991" s="37" t="s">
        <v>288</v>
      </c>
      <c r="N1991" s="37">
        <v>3336.4019512195118</v>
      </c>
      <c r="O1991" s="130">
        <f t="shared" si="148"/>
        <v>15790.674775316353</v>
      </c>
      <c r="P1991" s="132">
        <f t="shared" si="149"/>
        <v>5993.6426353068318</v>
      </c>
      <c r="Q1991" s="261">
        <v>0.49693117194704767</v>
      </c>
      <c r="R1991" s="92"/>
    </row>
    <row r="1992" spans="1:18" x14ac:dyDescent="0.25">
      <c r="A1992" s="353">
        <v>44069</v>
      </c>
      <c r="B1992" s="353" t="s">
        <v>285</v>
      </c>
      <c r="C1992" s="263" t="s">
        <v>731</v>
      </c>
      <c r="D1992" s="157" t="s">
        <v>703</v>
      </c>
      <c r="E1992" s="44">
        <f t="shared" si="150"/>
        <v>44069</v>
      </c>
      <c r="F1992" s="146" t="str">
        <f t="shared" si="151"/>
        <v>2020-21</v>
      </c>
      <c r="G1992" s="1"/>
      <c r="H1992" s="161"/>
      <c r="I1992" s="37"/>
      <c r="J1992" s="135">
        <f t="shared" si="147"/>
        <v>0.76382508261777382</v>
      </c>
      <c r="K1992" s="112"/>
      <c r="L1992" s="37">
        <v>57.199748571199997</v>
      </c>
      <c r="M1992" s="37" t="s">
        <v>288</v>
      </c>
      <c r="N1992" s="37">
        <v>3336.4019512195118</v>
      </c>
      <c r="O1992" s="130">
        <f t="shared" si="148"/>
        <v>190841.35274221716</v>
      </c>
      <c r="P1992" s="132">
        <f t="shared" si="149"/>
        <v>72437.364751720525</v>
      </c>
      <c r="Q1992" s="261">
        <v>0.49693117194704767</v>
      </c>
      <c r="R1992" s="92"/>
    </row>
    <row r="1993" spans="1:18" x14ac:dyDescent="0.25">
      <c r="A1993" s="353">
        <v>44069</v>
      </c>
      <c r="B1993" s="353" t="s">
        <v>285</v>
      </c>
      <c r="C1993" s="263" t="s">
        <v>731</v>
      </c>
      <c r="D1993" s="157" t="s">
        <v>703</v>
      </c>
      <c r="E1993" s="44">
        <f t="shared" si="150"/>
        <v>44069</v>
      </c>
      <c r="F1993" s="146" t="str">
        <f t="shared" si="151"/>
        <v>2020-21</v>
      </c>
      <c r="G1993" s="1"/>
      <c r="H1993" s="161"/>
      <c r="I1993" s="37"/>
      <c r="J1993" s="135">
        <f t="shared" si="147"/>
        <v>0.76382508261777382</v>
      </c>
      <c r="K1993" s="112"/>
      <c r="L1993" s="37">
        <v>46.223880538899998</v>
      </c>
      <c r="M1993" s="37" t="s">
        <v>288</v>
      </c>
      <c r="N1993" s="37">
        <v>812.22926829268283</v>
      </c>
      <c r="O1993" s="130">
        <f t="shared" si="148"/>
        <v>37544.388667759129</v>
      </c>
      <c r="P1993" s="132">
        <f t="shared" si="149"/>
        <v>14250.667044790907</v>
      </c>
      <c r="Q1993" s="261">
        <v>0.49693117194704767</v>
      </c>
      <c r="R1993" s="92"/>
    </row>
    <row r="1994" spans="1:18" x14ac:dyDescent="0.25">
      <c r="A1994" s="353">
        <v>44069</v>
      </c>
      <c r="B1994" s="353" t="s">
        <v>285</v>
      </c>
      <c r="C1994" s="263" t="s">
        <v>731</v>
      </c>
      <c r="D1994" s="157" t="s">
        <v>703</v>
      </c>
      <c r="E1994" s="44">
        <f t="shared" si="150"/>
        <v>44069</v>
      </c>
      <c r="F1994" s="146" t="str">
        <f t="shared" si="151"/>
        <v>2020-21</v>
      </c>
      <c r="G1994" s="1"/>
      <c r="H1994" s="161"/>
      <c r="I1994" s="37"/>
      <c r="J1994" s="135">
        <f t="shared" si="147"/>
        <v>0.76382508261777382</v>
      </c>
      <c r="K1994" s="112"/>
      <c r="L1994" s="37">
        <v>18.0296949805</v>
      </c>
      <c r="M1994" s="37" t="s">
        <v>288</v>
      </c>
      <c r="N1994" s="37">
        <v>3592.3639024390236</v>
      </c>
      <c r="O1994" s="130">
        <f t="shared" si="148"/>
        <v>64769.225419934257</v>
      </c>
      <c r="P1994" s="132">
        <f t="shared" si="149"/>
        <v>24584.357315720834</v>
      </c>
      <c r="Q1994" s="261">
        <v>0.49693117194704767</v>
      </c>
      <c r="R1994" s="92"/>
    </row>
    <row r="1995" spans="1:18" x14ac:dyDescent="0.25">
      <c r="A1995" s="353">
        <v>44069</v>
      </c>
      <c r="B1995" s="353" t="s">
        <v>285</v>
      </c>
      <c r="C1995" s="263" t="s">
        <v>731</v>
      </c>
      <c r="D1995" s="157" t="s">
        <v>703</v>
      </c>
      <c r="E1995" s="44">
        <f t="shared" si="150"/>
        <v>44069</v>
      </c>
      <c r="F1995" s="146" t="str">
        <f t="shared" si="151"/>
        <v>2020-21</v>
      </c>
      <c r="G1995" s="1"/>
      <c r="H1995" s="161"/>
      <c r="I1995" s="37"/>
      <c r="J1995" s="135">
        <f t="shared" si="147"/>
        <v>0.76382508261777382</v>
      </c>
      <c r="K1995" s="112"/>
      <c r="L1995" s="37">
        <v>6.2234961235600004</v>
      </c>
      <c r="M1995" s="37" t="s">
        <v>288</v>
      </c>
      <c r="N1995" s="37">
        <v>3592.3639024390236</v>
      </c>
      <c r="O1995" s="130">
        <f t="shared" si="148"/>
        <v>22357.062821246138</v>
      </c>
      <c r="P1995" s="132">
        <f t="shared" si="149"/>
        <v>8486.036653425379</v>
      </c>
      <c r="Q1995" s="261">
        <v>0.49693117194704767</v>
      </c>
      <c r="R1995" s="92"/>
    </row>
    <row r="1996" spans="1:18" x14ac:dyDescent="0.25">
      <c r="A1996" s="353">
        <v>44069</v>
      </c>
      <c r="B1996" s="353" t="s">
        <v>285</v>
      </c>
      <c r="C1996" s="263" t="s">
        <v>731</v>
      </c>
      <c r="D1996" s="157" t="s">
        <v>703</v>
      </c>
      <c r="E1996" s="44">
        <f t="shared" si="150"/>
        <v>44069</v>
      </c>
      <c r="F1996" s="146" t="str">
        <f t="shared" si="151"/>
        <v>2020-21</v>
      </c>
      <c r="G1996" s="1"/>
      <c r="H1996" s="161"/>
      <c r="I1996" s="37"/>
      <c r="J1996" s="135">
        <f t="shared" si="147"/>
        <v>0.76382508261777382</v>
      </c>
      <c r="K1996" s="112"/>
      <c r="L1996" s="37">
        <v>33.195166622899997</v>
      </c>
      <c r="M1996" s="37" t="s">
        <v>288</v>
      </c>
      <c r="N1996" s="37">
        <v>3336.4019512195118</v>
      </c>
      <c r="O1996" s="130">
        <f t="shared" si="148"/>
        <v>110752.41869170037</v>
      </c>
      <c r="P1996" s="132">
        <f t="shared" si="149"/>
        <v>42038.128710723817</v>
      </c>
      <c r="Q1996" s="261">
        <v>0.49693117194704767</v>
      </c>
      <c r="R1996" s="92"/>
    </row>
    <row r="1997" spans="1:18" x14ac:dyDescent="0.25">
      <c r="A1997" s="353">
        <v>44069</v>
      </c>
      <c r="B1997" s="353" t="s">
        <v>285</v>
      </c>
      <c r="C1997" s="263" t="s">
        <v>731</v>
      </c>
      <c r="D1997" s="157" t="s">
        <v>703</v>
      </c>
      <c r="E1997" s="44">
        <f t="shared" si="150"/>
        <v>44069</v>
      </c>
      <c r="F1997" s="146" t="str">
        <f t="shared" si="151"/>
        <v>2020-21</v>
      </c>
      <c r="G1997" s="1"/>
      <c r="H1997" s="161"/>
      <c r="I1997" s="37"/>
      <c r="J1997" s="135">
        <f t="shared" si="147"/>
        <v>0.76382508261777382</v>
      </c>
      <c r="K1997" s="112"/>
      <c r="L1997" s="37">
        <v>23.620840059999999</v>
      </c>
      <c r="M1997" s="37" t="s">
        <v>288</v>
      </c>
      <c r="N1997" s="37">
        <v>3336.4019512195118</v>
      </c>
      <c r="O1997" s="130">
        <f t="shared" si="148"/>
        <v>78808.616865628006</v>
      </c>
      <c r="P1997" s="132">
        <f t="shared" si="149"/>
        <v>29913.267975967545</v>
      </c>
      <c r="Q1997" s="261">
        <v>0.49693117194704767</v>
      </c>
      <c r="R1997" s="92"/>
    </row>
    <row r="1998" spans="1:18" x14ac:dyDescent="0.25">
      <c r="A1998" s="353">
        <v>44069</v>
      </c>
      <c r="B1998" s="353" t="s">
        <v>285</v>
      </c>
      <c r="C1998" s="263" t="s">
        <v>731</v>
      </c>
      <c r="D1998" s="157" t="s">
        <v>703</v>
      </c>
      <c r="E1998" s="44">
        <f t="shared" si="150"/>
        <v>44069</v>
      </c>
      <c r="F1998" s="146" t="str">
        <f t="shared" si="151"/>
        <v>2020-21</v>
      </c>
      <c r="G1998" s="1"/>
      <c r="H1998" s="161"/>
      <c r="I1998" s="37"/>
      <c r="J1998" s="135">
        <f t="shared" si="147"/>
        <v>0.76382508261777382</v>
      </c>
      <c r="K1998" s="112"/>
      <c r="L1998" s="37">
        <v>41.950331105799997</v>
      </c>
      <c r="M1998" s="37" t="s">
        <v>288</v>
      </c>
      <c r="N1998" s="37">
        <v>3592.3639024390236</v>
      </c>
      <c r="O1998" s="130">
        <f t="shared" si="148"/>
        <v>150700.85515984084</v>
      </c>
      <c r="P1998" s="132">
        <f t="shared" si="149"/>
        <v>57201.296557330053</v>
      </c>
      <c r="Q1998" s="261">
        <v>0.49693117194704767</v>
      </c>
      <c r="R1998" s="92"/>
    </row>
    <row r="1999" spans="1:18" x14ac:dyDescent="0.25">
      <c r="A1999" s="353">
        <v>44069</v>
      </c>
      <c r="B1999" s="353" t="s">
        <v>285</v>
      </c>
      <c r="C1999" s="263" t="s">
        <v>731</v>
      </c>
      <c r="D1999" s="157" t="s">
        <v>703</v>
      </c>
      <c r="E1999" s="44">
        <f t="shared" si="150"/>
        <v>44069</v>
      </c>
      <c r="F1999" s="146" t="str">
        <f t="shared" si="151"/>
        <v>2020-21</v>
      </c>
      <c r="G1999" s="1"/>
      <c r="H1999" s="161"/>
      <c r="I1999" s="37"/>
      <c r="J1999" s="135">
        <f t="shared" si="147"/>
        <v>0.76382508261777382</v>
      </c>
      <c r="K1999" s="112"/>
      <c r="L1999" s="37">
        <v>6.2699901116300003</v>
      </c>
      <c r="M1999" s="37" t="s">
        <v>288</v>
      </c>
      <c r="N1999" s="37">
        <v>3336.4019512195118</v>
      </c>
      <c r="O1999" s="130">
        <f t="shared" si="148"/>
        <v>20919.207242569377</v>
      </c>
      <c r="P1999" s="132">
        <f t="shared" si="149"/>
        <v>7940.271977602767</v>
      </c>
      <c r="Q1999" s="261">
        <v>0.49693117194704767</v>
      </c>
      <c r="R1999" s="92"/>
    </row>
    <row r="2000" spans="1:18" x14ac:dyDescent="0.25">
      <c r="A2000" s="353">
        <v>44069</v>
      </c>
      <c r="B2000" s="353" t="s">
        <v>285</v>
      </c>
      <c r="C2000" s="263" t="s">
        <v>731</v>
      </c>
      <c r="D2000" s="157" t="s">
        <v>703</v>
      </c>
      <c r="E2000" s="44">
        <f t="shared" si="150"/>
        <v>44069</v>
      </c>
      <c r="F2000" s="146" t="str">
        <f t="shared" si="151"/>
        <v>2020-21</v>
      </c>
      <c r="G2000" s="1"/>
      <c r="H2000" s="161"/>
      <c r="I2000" s="37"/>
      <c r="J2000" s="135">
        <f t="shared" si="147"/>
        <v>0.76382508261777382</v>
      </c>
      <c r="K2000" s="112"/>
      <c r="L2000" s="37">
        <v>45.056537526200003</v>
      </c>
      <c r="M2000" s="37" t="s">
        <v>288</v>
      </c>
      <c r="N2000" s="37">
        <v>812.22926829268283</v>
      </c>
      <c r="O2000" s="130">
        <f t="shared" si="148"/>
        <v>36596.238506707232</v>
      </c>
      <c r="P2000" s="132">
        <f t="shared" si="149"/>
        <v>13890.779116579186</v>
      </c>
      <c r="Q2000" s="261">
        <v>0.49693117194704767</v>
      </c>
      <c r="R2000" s="92"/>
    </row>
    <row r="2001" spans="1:18" x14ac:dyDescent="0.25">
      <c r="A2001" s="353">
        <v>44069</v>
      </c>
      <c r="B2001" s="353" t="s">
        <v>285</v>
      </c>
      <c r="C2001" s="263" t="s">
        <v>731</v>
      </c>
      <c r="D2001" s="157" t="s">
        <v>703</v>
      </c>
      <c r="E2001" s="44">
        <f t="shared" si="150"/>
        <v>44069</v>
      </c>
      <c r="F2001" s="146" t="str">
        <f t="shared" si="151"/>
        <v>2020-21</v>
      </c>
      <c r="G2001" s="1"/>
      <c r="H2001" s="161"/>
      <c r="I2001" s="37"/>
      <c r="J2001" s="135">
        <f t="shared" si="147"/>
        <v>0.76382508261777382</v>
      </c>
      <c r="K2001" s="112"/>
      <c r="L2001" s="37">
        <v>20.3646881156</v>
      </c>
      <c r="M2001" s="37" t="s">
        <v>288</v>
      </c>
      <c r="N2001" s="37">
        <v>3592.3639024390236</v>
      </c>
      <c r="O2001" s="130">
        <f t="shared" si="148"/>
        <v>73157.37047091042</v>
      </c>
      <c r="P2001" s="132">
        <f t="shared" si="149"/>
        <v>27768.23289570925</v>
      </c>
      <c r="Q2001" s="261">
        <v>0.49693117194704767</v>
      </c>
      <c r="R2001" s="92"/>
    </row>
    <row r="2002" spans="1:18" x14ac:dyDescent="0.25">
      <c r="A2002" s="353">
        <v>44069</v>
      </c>
      <c r="B2002" s="353" t="s">
        <v>285</v>
      </c>
      <c r="C2002" s="263" t="s">
        <v>731</v>
      </c>
      <c r="D2002" s="157" t="s">
        <v>703</v>
      </c>
      <c r="E2002" s="44">
        <f t="shared" si="150"/>
        <v>44069</v>
      </c>
      <c r="F2002" s="146" t="str">
        <f t="shared" si="151"/>
        <v>2020-21</v>
      </c>
      <c r="G2002" s="1"/>
      <c r="H2002" s="161"/>
      <c r="I2002" s="37"/>
      <c r="J2002" s="135">
        <f t="shared" si="147"/>
        <v>0.76382508261777382</v>
      </c>
      <c r="K2002" s="112"/>
      <c r="L2002" s="37">
        <v>7.34289111999</v>
      </c>
      <c r="M2002" s="37" t="s">
        <v>288</v>
      </c>
      <c r="N2002" s="37">
        <v>3592.3639024390236</v>
      </c>
      <c r="O2002" s="130">
        <f t="shared" si="148"/>
        <v>26378.33699899213</v>
      </c>
      <c r="P2002" s="132">
        <f t="shared" si="149"/>
        <v>10012.385634893395</v>
      </c>
      <c r="Q2002" s="261">
        <v>0.49693117194704767</v>
      </c>
      <c r="R2002" s="92"/>
    </row>
    <row r="2003" spans="1:18" x14ac:dyDescent="0.25">
      <c r="A2003" s="353">
        <v>44069</v>
      </c>
      <c r="B2003" s="353" t="s">
        <v>285</v>
      </c>
      <c r="C2003" s="263" t="s">
        <v>731</v>
      </c>
      <c r="D2003" s="157" t="s">
        <v>703</v>
      </c>
      <c r="E2003" s="44">
        <f t="shared" si="150"/>
        <v>44069</v>
      </c>
      <c r="F2003" s="146" t="str">
        <f t="shared" si="151"/>
        <v>2020-21</v>
      </c>
      <c r="G2003" s="1"/>
      <c r="H2003" s="161"/>
      <c r="I2003" s="37"/>
      <c r="J2003" s="135">
        <f t="shared" si="147"/>
        <v>0.76382508261777382</v>
      </c>
      <c r="K2003" s="112"/>
      <c r="L2003" s="37">
        <v>90.960774436700007</v>
      </c>
      <c r="M2003" s="37" t="s">
        <v>288</v>
      </c>
      <c r="N2003" s="37">
        <v>3336.4019512195118</v>
      </c>
      <c r="O2003" s="130">
        <f t="shared" si="148"/>
        <v>303481.7053150438</v>
      </c>
      <c r="P2003" s="132">
        <f t="shared" si="149"/>
        <v>115192.09368147026</v>
      </c>
      <c r="Q2003" s="261">
        <v>0.49693117194704767</v>
      </c>
      <c r="R2003" s="92"/>
    </row>
    <row r="2004" spans="1:18" x14ac:dyDescent="0.25">
      <c r="A2004" s="353">
        <v>44069</v>
      </c>
      <c r="B2004" s="353" t="s">
        <v>285</v>
      </c>
      <c r="C2004" s="263" t="s">
        <v>731</v>
      </c>
      <c r="D2004" s="157" t="s">
        <v>703</v>
      </c>
      <c r="E2004" s="44">
        <f t="shared" si="150"/>
        <v>44069</v>
      </c>
      <c r="F2004" s="146" t="str">
        <f t="shared" si="151"/>
        <v>2020-21</v>
      </c>
      <c r="G2004" s="1"/>
      <c r="H2004" s="161"/>
      <c r="I2004" s="37"/>
      <c r="J2004" s="135">
        <f t="shared" si="147"/>
        <v>0.76382508261777382</v>
      </c>
      <c r="K2004" s="112"/>
      <c r="L2004" s="37">
        <v>5.96902945184</v>
      </c>
      <c r="M2004" s="37" t="s">
        <v>288</v>
      </c>
      <c r="N2004" s="37">
        <v>3592.3639024390236</v>
      </c>
      <c r="O2004" s="130">
        <f t="shared" si="148"/>
        <v>21442.925935385407</v>
      </c>
      <c r="P2004" s="132">
        <f t="shared" si="149"/>
        <v>8139.0590928358733</v>
      </c>
      <c r="Q2004" s="261">
        <v>0.49693117194704767</v>
      </c>
      <c r="R2004" s="92"/>
    </row>
    <row r="2005" spans="1:18" x14ac:dyDescent="0.25">
      <c r="A2005" s="353">
        <v>44069</v>
      </c>
      <c r="B2005" s="353" t="s">
        <v>285</v>
      </c>
      <c r="C2005" s="263" t="s">
        <v>731</v>
      </c>
      <c r="D2005" s="157" t="s">
        <v>703</v>
      </c>
      <c r="E2005" s="44">
        <f t="shared" si="150"/>
        <v>44069</v>
      </c>
      <c r="F2005" s="146" t="str">
        <f t="shared" si="151"/>
        <v>2020-21</v>
      </c>
      <c r="G2005" s="1"/>
      <c r="H2005" s="161"/>
      <c r="I2005" s="37"/>
      <c r="J2005" s="135">
        <f t="shared" si="147"/>
        <v>0.76382508261777382</v>
      </c>
      <c r="K2005" s="112"/>
      <c r="L2005" s="37">
        <v>50.669506483100001</v>
      </c>
      <c r="M2005" s="37" t="s">
        <v>288</v>
      </c>
      <c r="N2005" s="37">
        <v>812.22926829268283</v>
      </c>
      <c r="O2005" s="130">
        <f t="shared" si="148"/>
        <v>41155.256175519666</v>
      </c>
      <c r="P2005" s="132">
        <f t="shared" si="149"/>
        <v>15621.238584823408</v>
      </c>
      <c r="Q2005" s="261">
        <v>0.49693117194704767</v>
      </c>
      <c r="R2005" s="92"/>
    </row>
    <row r="2006" spans="1:18" x14ac:dyDescent="0.25">
      <c r="A2006" s="353">
        <v>44069</v>
      </c>
      <c r="B2006" s="353" t="s">
        <v>285</v>
      </c>
      <c r="C2006" s="263" t="s">
        <v>731</v>
      </c>
      <c r="D2006" s="157" t="s">
        <v>703</v>
      </c>
      <c r="E2006" s="44">
        <f t="shared" si="150"/>
        <v>44069</v>
      </c>
      <c r="F2006" s="146" t="str">
        <f t="shared" si="151"/>
        <v>2020-21</v>
      </c>
      <c r="G2006" s="1"/>
      <c r="H2006" s="161"/>
      <c r="I2006" s="37"/>
      <c r="J2006" s="135">
        <f t="shared" si="147"/>
        <v>0.76382508261777382</v>
      </c>
      <c r="K2006" s="112"/>
      <c r="L2006" s="37">
        <v>18.172666641399999</v>
      </c>
      <c r="M2006" s="37" t="s">
        <v>288</v>
      </c>
      <c r="N2006" s="37">
        <v>3592.3639024390236</v>
      </c>
      <c r="O2006" s="130">
        <f t="shared" si="148"/>
        <v>65282.831653623165</v>
      </c>
      <c r="P2006" s="132">
        <f t="shared" si="149"/>
        <v>24779.306060077804</v>
      </c>
      <c r="Q2006" s="261">
        <v>0.49693117194704767</v>
      </c>
      <c r="R2006" s="92"/>
    </row>
    <row r="2007" spans="1:18" x14ac:dyDescent="0.25">
      <c r="A2007" s="353">
        <v>44069</v>
      </c>
      <c r="B2007" s="353" t="s">
        <v>285</v>
      </c>
      <c r="C2007" s="263" t="s">
        <v>731</v>
      </c>
      <c r="D2007" s="157" t="s">
        <v>703</v>
      </c>
      <c r="E2007" s="44">
        <f t="shared" si="150"/>
        <v>44069</v>
      </c>
      <c r="F2007" s="146" t="str">
        <f t="shared" si="151"/>
        <v>2020-21</v>
      </c>
      <c r="G2007" s="1"/>
      <c r="H2007" s="161"/>
      <c r="I2007" s="37"/>
      <c r="J2007" s="135">
        <f t="shared" si="147"/>
        <v>0.76382508261777382</v>
      </c>
      <c r="K2007" s="112"/>
      <c r="L2007" s="37">
        <v>87.057006617900001</v>
      </c>
      <c r="M2007" s="37" t="s">
        <v>288</v>
      </c>
      <c r="N2007" s="37">
        <v>3592.3639024390236</v>
      </c>
      <c r="O2007" s="130">
        <f t="shared" si="148"/>
        <v>312740.44802853913</v>
      </c>
      <c r="P2007" s="132">
        <f t="shared" si="149"/>
        <v>118706.42070463767</v>
      </c>
      <c r="Q2007" s="261">
        <v>0.49693117194704767</v>
      </c>
      <c r="R2007" s="92"/>
    </row>
    <row r="2008" spans="1:18" x14ac:dyDescent="0.25">
      <c r="A2008" s="353">
        <v>44069</v>
      </c>
      <c r="B2008" s="353" t="s">
        <v>285</v>
      </c>
      <c r="C2008" s="263" t="s">
        <v>731</v>
      </c>
      <c r="D2008" s="157" t="s">
        <v>703</v>
      </c>
      <c r="E2008" s="44">
        <f t="shared" si="150"/>
        <v>44069</v>
      </c>
      <c r="F2008" s="146" t="str">
        <f t="shared" si="151"/>
        <v>2020-21</v>
      </c>
      <c r="G2008" s="1"/>
      <c r="H2008" s="161"/>
      <c r="I2008" s="37"/>
      <c r="J2008" s="135">
        <f t="shared" si="147"/>
        <v>0.76382508261777382</v>
      </c>
      <c r="K2008" s="112"/>
      <c r="L2008" s="37">
        <v>16.5564159467</v>
      </c>
      <c r="M2008" s="37" t="s">
        <v>288</v>
      </c>
      <c r="N2008" s="37">
        <v>812.22926829268283</v>
      </c>
      <c r="O2008" s="130">
        <f t="shared" si="148"/>
        <v>13447.605609937447</v>
      </c>
      <c r="P2008" s="132">
        <f t="shared" si="149"/>
        <v>5104.2874021131038</v>
      </c>
      <c r="Q2008" s="261">
        <v>0.49693117194704767</v>
      </c>
      <c r="R2008" s="92"/>
    </row>
    <row r="2009" spans="1:18" x14ac:dyDescent="0.25">
      <c r="A2009" s="353">
        <v>44069</v>
      </c>
      <c r="B2009" s="353" t="s">
        <v>285</v>
      </c>
      <c r="C2009" s="263" t="s">
        <v>731</v>
      </c>
      <c r="D2009" s="157" t="s">
        <v>703</v>
      </c>
      <c r="E2009" s="44">
        <f t="shared" si="150"/>
        <v>44069</v>
      </c>
      <c r="F2009" s="146" t="str">
        <f t="shared" si="151"/>
        <v>2020-21</v>
      </c>
      <c r="G2009" s="1"/>
      <c r="H2009" s="161"/>
      <c r="I2009" s="37"/>
      <c r="J2009" s="135">
        <f t="shared" si="147"/>
        <v>0.76382508261777382</v>
      </c>
      <c r="K2009" s="112"/>
      <c r="L2009" s="37">
        <v>40.629518038000001</v>
      </c>
      <c r="M2009" s="37" t="s">
        <v>288</v>
      </c>
      <c r="N2009" s="37">
        <v>3592.3639024390236</v>
      </c>
      <c r="O2009" s="130">
        <f t="shared" si="148"/>
        <v>145956.0139732064</v>
      </c>
      <c r="P2009" s="132">
        <f t="shared" si="149"/>
        <v>55400.304336375244</v>
      </c>
      <c r="Q2009" s="261">
        <v>0.49693117194704767</v>
      </c>
      <c r="R2009" s="92"/>
    </row>
    <row r="2010" spans="1:18" x14ac:dyDescent="0.25">
      <c r="A2010" s="353">
        <v>42781</v>
      </c>
      <c r="B2010" s="353" t="s">
        <v>285</v>
      </c>
      <c r="C2010" s="263" t="s">
        <v>732</v>
      </c>
      <c r="D2010" s="157" t="s">
        <v>701</v>
      </c>
      <c r="E2010" s="44">
        <f t="shared" si="150"/>
        <v>42781</v>
      </c>
      <c r="F2010" s="146" t="str">
        <f t="shared" si="151"/>
        <v>2016-17</v>
      </c>
      <c r="G2010" s="1"/>
      <c r="H2010" s="161"/>
      <c r="I2010" s="37"/>
      <c r="J2010" s="135">
        <f t="shared" ref="J2010:J2073" si="152">J2009</f>
        <v>0.76382508261777382</v>
      </c>
      <c r="K2010" s="112"/>
      <c r="L2010" s="37">
        <v>37.839756997000002</v>
      </c>
      <c r="M2010" s="37" t="s">
        <v>288</v>
      </c>
      <c r="N2010" s="37">
        <v>812.22926829268283</v>
      </c>
      <c r="O2010" s="130">
        <f t="shared" ref="O2010:O2073" si="153">IF(N2010="","-",L2010*N2010)</f>
        <v>30734.558138046235</v>
      </c>
      <c r="P2010" s="132">
        <f t="shared" ref="P2010:P2073" si="154">IF(O2010="-","-",IF(OR(E2010&lt;$E$15,E2010&gt;$E$16),0,O2010*J2010))*Q2010</f>
        <v>12282.896478518078</v>
      </c>
      <c r="Q2010" s="261">
        <v>0.52321465768727327</v>
      </c>
      <c r="R2010" s="92"/>
    </row>
    <row r="2011" spans="1:18" x14ac:dyDescent="0.25">
      <c r="A2011" s="353">
        <v>42781</v>
      </c>
      <c r="B2011" s="353" t="s">
        <v>285</v>
      </c>
      <c r="C2011" s="263" t="s">
        <v>732</v>
      </c>
      <c r="D2011" s="157" t="s">
        <v>701</v>
      </c>
      <c r="E2011" s="44">
        <f t="shared" ref="E2011:E2074" si="155">IF(VALUE(A2011)&lt;2022,DATEVALUE("30 Jun "&amp;A2011),A2011)</f>
        <v>42781</v>
      </c>
      <c r="F2011" s="146" t="str">
        <f t="shared" si="151"/>
        <v>2016-17</v>
      </c>
      <c r="G2011" s="1"/>
      <c r="H2011" s="161"/>
      <c r="I2011" s="37"/>
      <c r="J2011" s="135">
        <f t="shared" si="152"/>
        <v>0.76382508261777382</v>
      </c>
      <c r="K2011" s="112"/>
      <c r="L2011" s="37">
        <v>8.1440232072400001</v>
      </c>
      <c r="M2011" s="37" t="s">
        <v>288</v>
      </c>
      <c r="N2011" s="37">
        <v>812.22926829268283</v>
      </c>
      <c r="O2011" s="130">
        <f t="shared" si="153"/>
        <v>6614.8140105751736</v>
      </c>
      <c r="P2011" s="132">
        <f t="shared" si="154"/>
        <v>2643.5738998299703</v>
      </c>
      <c r="Q2011" s="261">
        <v>0.52321465768727327</v>
      </c>
      <c r="R2011" s="92"/>
    </row>
    <row r="2012" spans="1:18" x14ac:dyDescent="0.25">
      <c r="A2012" s="353">
        <v>42781</v>
      </c>
      <c r="B2012" s="353" t="s">
        <v>285</v>
      </c>
      <c r="C2012" s="263" t="s">
        <v>732</v>
      </c>
      <c r="D2012" s="157" t="s">
        <v>701</v>
      </c>
      <c r="E2012" s="44">
        <f t="shared" si="155"/>
        <v>42781</v>
      </c>
      <c r="F2012" s="146" t="str">
        <f t="shared" si="151"/>
        <v>2016-17</v>
      </c>
      <c r="G2012" s="1"/>
      <c r="H2012" s="161"/>
      <c r="I2012" s="37"/>
      <c r="J2012" s="135">
        <f t="shared" si="152"/>
        <v>0.76382508261777382</v>
      </c>
      <c r="K2012" s="112"/>
      <c r="L2012" s="37">
        <v>4.43820369068</v>
      </c>
      <c r="M2012" s="37" t="s">
        <v>288</v>
      </c>
      <c r="N2012" s="37">
        <v>3336.4019512195118</v>
      </c>
      <c r="O2012" s="130">
        <f t="shared" si="153"/>
        <v>14807.63145349439</v>
      </c>
      <c r="P2012" s="132">
        <f t="shared" si="154"/>
        <v>5917.7881594520213</v>
      </c>
      <c r="Q2012" s="261">
        <v>0.52321465768727327</v>
      </c>
      <c r="R2012" s="92"/>
    </row>
    <row r="2013" spans="1:18" x14ac:dyDescent="0.25">
      <c r="A2013" s="353">
        <v>42781</v>
      </c>
      <c r="B2013" s="353" t="s">
        <v>285</v>
      </c>
      <c r="C2013" s="263" t="s">
        <v>732</v>
      </c>
      <c r="D2013" s="157" t="s">
        <v>701</v>
      </c>
      <c r="E2013" s="44">
        <f t="shared" si="155"/>
        <v>42781</v>
      </c>
      <c r="F2013" s="146" t="str">
        <f t="shared" si="151"/>
        <v>2016-17</v>
      </c>
      <c r="G2013" s="1"/>
      <c r="H2013" s="161"/>
      <c r="I2013" s="37"/>
      <c r="J2013" s="135">
        <f t="shared" si="152"/>
        <v>0.76382508261777382</v>
      </c>
      <c r="K2013" s="112"/>
      <c r="L2013" s="37">
        <v>12.3431507323</v>
      </c>
      <c r="M2013" s="37" t="s">
        <v>288</v>
      </c>
      <c r="N2013" s="37">
        <v>812.22926829268283</v>
      </c>
      <c r="O2013" s="130">
        <f t="shared" si="153"/>
        <v>10025.46828772232</v>
      </c>
      <c r="P2013" s="132">
        <f t="shared" si="154"/>
        <v>4006.6230519293595</v>
      </c>
      <c r="Q2013" s="261">
        <v>0.52321465768727327</v>
      </c>
      <c r="R2013" s="92"/>
    </row>
    <row r="2014" spans="1:18" x14ac:dyDescent="0.25">
      <c r="A2014" s="353">
        <v>42781</v>
      </c>
      <c r="B2014" s="353" t="s">
        <v>285</v>
      </c>
      <c r="C2014" s="263" t="s">
        <v>732</v>
      </c>
      <c r="D2014" s="157" t="s">
        <v>701</v>
      </c>
      <c r="E2014" s="44">
        <f t="shared" si="155"/>
        <v>42781</v>
      </c>
      <c r="F2014" s="146" t="str">
        <f t="shared" si="151"/>
        <v>2016-17</v>
      </c>
      <c r="G2014" s="1"/>
      <c r="H2014" s="161"/>
      <c r="I2014" s="37"/>
      <c r="J2014" s="135">
        <f t="shared" si="152"/>
        <v>0.76382508261777382</v>
      </c>
      <c r="K2014" s="112"/>
      <c r="L2014" s="37">
        <v>20.896174291000001</v>
      </c>
      <c r="M2014" s="37" t="s">
        <v>288</v>
      </c>
      <c r="N2014" s="37">
        <v>812.22926829268283</v>
      </c>
      <c r="O2014" s="130">
        <f t="shared" si="153"/>
        <v>16972.4843544953</v>
      </c>
      <c r="P2014" s="132">
        <f t="shared" si="154"/>
        <v>6782.9596694760157</v>
      </c>
      <c r="Q2014" s="261">
        <v>0.52321465768727327</v>
      </c>
      <c r="R2014" s="92"/>
    </row>
    <row r="2015" spans="1:18" x14ac:dyDescent="0.25">
      <c r="A2015" s="353">
        <v>42781</v>
      </c>
      <c r="B2015" s="353" t="s">
        <v>285</v>
      </c>
      <c r="C2015" s="263" t="s">
        <v>732</v>
      </c>
      <c r="D2015" s="157" t="s">
        <v>701</v>
      </c>
      <c r="E2015" s="44">
        <f t="shared" si="155"/>
        <v>42781</v>
      </c>
      <c r="F2015" s="146" t="str">
        <f t="shared" si="151"/>
        <v>2016-17</v>
      </c>
      <c r="G2015" s="1"/>
      <c r="H2015" s="161"/>
      <c r="I2015" s="37"/>
      <c r="J2015" s="135">
        <f t="shared" si="152"/>
        <v>0.76382508261777382</v>
      </c>
      <c r="K2015" s="112"/>
      <c r="L2015" s="37">
        <v>38.952099951699999</v>
      </c>
      <c r="M2015" s="37" t="s">
        <v>288</v>
      </c>
      <c r="N2015" s="37">
        <v>812.22926829268283</v>
      </c>
      <c r="O2015" s="130">
        <f t="shared" si="153"/>
        <v>31638.035642232735</v>
      </c>
      <c r="P2015" s="132">
        <f t="shared" si="154"/>
        <v>12643.966275088711</v>
      </c>
      <c r="Q2015" s="261">
        <v>0.52321465768727327</v>
      </c>
      <c r="R2015" s="92"/>
    </row>
    <row r="2016" spans="1:18" x14ac:dyDescent="0.25">
      <c r="A2016" s="353">
        <v>42781</v>
      </c>
      <c r="B2016" s="353" t="s">
        <v>285</v>
      </c>
      <c r="C2016" s="263" t="s">
        <v>732</v>
      </c>
      <c r="D2016" s="157" t="s">
        <v>701</v>
      </c>
      <c r="E2016" s="44">
        <f t="shared" si="155"/>
        <v>42781</v>
      </c>
      <c r="F2016" s="146" t="str">
        <f t="shared" si="151"/>
        <v>2016-17</v>
      </c>
      <c r="G2016" s="1"/>
      <c r="H2016" s="161"/>
      <c r="I2016" s="37"/>
      <c r="J2016" s="135">
        <f t="shared" si="152"/>
        <v>0.76382508261777382</v>
      </c>
      <c r="K2016" s="112"/>
      <c r="L2016" s="37">
        <v>49.082992246800003</v>
      </c>
      <c r="M2016" s="37" t="s">
        <v>288</v>
      </c>
      <c r="N2016" s="37">
        <v>812.22926829268283</v>
      </c>
      <c r="O2016" s="130">
        <f t="shared" si="153"/>
        <v>39866.64287823379</v>
      </c>
      <c r="P2016" s="132">
        <f t="shared" si="154"/>
        <v>15932.483727925295</v>
      </c>
      <c r="Q2016" s="261">
        <v>0.52321465768727327</v>
      </c>
      <c r="R2016" s="92"/>
    </row>
    <row r="2017" spans="1:18" x14ac:dyDescent="0.25">
      <c r="A2017" s="353">
        <v>43045</v>
      </c>
      <c r="B2017" s="353" t="s">
        <v>285</v>
      </c>
      <c r="C2017" s="263" t="s">
        <v>733</v>
      </c>
      <c r="D2017" s="157" t="s">
        <v>724</v>
      </c>
      <c r="E2017" s="44">
        <f t="shared" si="155"/>
        <v>43045</v>
      </c>
      <c r="F2017" s="146" t="str">
        <f t="shared" si="151"/>
        <v>2017-18</v>
      </c>
      <c r="G2017" s="1"/>
      <c r="H2017" s="161"/>
      <c r="I2017" s="37"/>
      <c r="J2017" s="135">
        <f t="shared" si="152"/>
        <v>0.76382508261777382</v>
      </c>
      <c r="K2017" s="112"/>
      <c r="L2017" s="37">
        <v>95.131498306300003</v>
      </c>
      <c r="M2017" s="37" t="s">
        <v>288</v>
      </c>
      <c r="N2017" s="37">
        <v>812.22926829268283</v>
      </c>
      <c r="O2017" s="130">
        <f t="shared" si="153"/>
        <v>77268.587260912653</v>
      </c>
      <c r="P2017" s="132">
        <f t="shared" si="154"/>
        <v>31525.303810557845</v>
      </c>
      <c r="Q2017" s="261">
        <v>0.53414896715807536</v>
      </c>
      <c r="R2017" s="92"/>
    </row>
    <row r="2018" spans="1:18" x14ac:dyDescent="0.25">
      <c r="A2018" s="353">
        <v>43045</v>
      </c>
      <c r="B2018" s="353" t="s">
        <v>285</v>
      </c>
      <c r="C2018" s="263" t="s">
        <v>733</v>
      </c>
      <c r="D2018" s="157" t="s">
        <v>724</v>
      </c>
      <c r="E2018" s="44">
        <f t="shared" si="155"/>
        <v>43045</v>
      </c>
      <c r="F2018" s="146" t="str">
        <f t="shared" si="151"/>
        <v>2017-18</v>
      </c>
      <c r="G2018" s="1"/>
      <c r="H2018" s="161"/>
      <c r="I2018" s="37"/>
      <c r="J2018" s="135">
        <f t="shared" si="152"/>
        <v>0.76382508261777382</v>
      </c>
      <c r="K2018" s="112"/>
      <c r="L2018" s="37">
        <v>32.298187812899997</v>
      </c>
      <c r="M2018" s="37" t="s">
        <v>288</v>
      </c>
      <c r="N2018" s="37">
        <v>3336.4019512195118</v>
      </c>
      <c r="O2018" s="130">
        <f t="shared" si="153"/>
        <v>107759.73683981381</v>
      </c>
      <c r="P2018" s="132">
        <f t="shared" si="154"/>
        <v>43965.582429373484</v>
      </c>
      <c r="Q2018" s="261">
        <v>0.53414896715807536</v>
      </c>
      <c r="R2018" s="92"/>
    </row>
    <row r="2019" spans="1:18" x14ac:dyDescent="0.25">
      <c r="A2019" s="353">
        <v>43045</v>
      </c>
      <c r="B2019" s="353" t="s">
        <v>285</v>
      </c>
      <c r="C2019" s="263" t="s">
        <v>733</v>
      </c>
      <c r="D2019" s="157" t="s">
        <v>724</v>
      </c>
      <c r="E2019" s="44">
        <f t="shared" si="155"/>
        <v>43045</v>
      </c>
      <c r="F2019" s="146" t="str">
        <f t="shared" si="151"/>
        <v>2017-18</v>
      </c>
      <c r="G2019" s="1"/>
      <c r="H2019" s="161"/>
      <c r="I2019" s="37"/>
      <c r="J2019" s="135">
        <f t="shared" si="152"/>
        <v>0.76382508261777382</v>
      </c>
      <c r="K2019" s="112"/>
      <c r="L2019" s="37">
        <v>41.422633921600003</v>
      </c>
      <c r="M2019" s="37" t="s">
        <v>288</v>
      </c>
      <c r="N2019" s="37">
        <v>812.22926829268283</v>
      </c>
      <c r="O2019" s="130">
        <f t="shared" si="153"/>
        <v>33644.675640896836</v>
      </c>
      <c r="P2019" s="132">
        <f t="shared" si="154"/>
        <v>13726.905833096502</v>
      </c>
      <c r="Q2019" s="261">
        <v>0.53414896715807536</v>
      </c>
      <c r="R2019" s="92"/>
    </row>
    <row r="2020" spans="1:18" x14ac:dyDescent="0.25">
      <c r="A2020" s="353">
        <v>43045</v>
      </c>
      <c r="B2020" s="353" t="s">
        <v>285</v>
      </c>
      <c r="C2020" s="263" t="s">
        <v>733</v>
      </c>
      <c r="D2020" s="157" t="s">
        <v>724</v>
      </c>
      <c r="E2020" s="44">
        <f t="shared" si="155"/>
        <v>43045</v>
      </c>
      <c r="F2020" s="146" t="str">
        <f t="shared" si="151"/>
        <v>2017-18</v>
      </c>
      <c r="G2020" s="1"/>
      <c r="H2020" s="161"/>
      <c r="I2020" s="37"/>
      <c r="J2020" s="135">
        <f t="shared" si="152"/>
        <v>0.76382508261777382</v>
      </c>
      <c r="K2020" s="112"/>
      <c r="L2020" s="37">
        <v>1.00084464329</v>
      </c>
      <c r="M2020" s="37" t="s">
        <v>288</v>
      </c>
      <c r="N2020" s="37">
        <v>812.22926829268283</v>
      </c>
      <c r="O2020" s="130">
        <f t="shared" si="153"/>
        <v>812.91531229408781</v>
      </c>
      <c r="P2020" s="132">
        <f t="shared" si="154"/>
        <v>331.66650382502326</v>
      </c>
      <c r="Q2020" s="261">
        <v>0.53414896715807536</v>
      </c>
      <c r="R2020" s="92"/>
    </row>
    <row r="2021" spans="1:18" x14ac:dyDescent="0.25">
      <c r="A2021" s="353">
        <v>43045</v>
      </c>
      <c r="B2021" s="353" t="s">
        <v>285</v>
      </c>
      <c r="C2021" s="263" t="s">
        <v>733</v>
      </c>
      <c r="D2021" s="157" t="s">
        <v>724</v>
      </c>
      <c r="E2021" s="44">
        <f t="shared" si="155"/>
        <v>43045</v>
      </c>
      <c r="F2021" s="146" t="str">
        <f t="shared" si="151"/>
        <v>2017-18</v>
      </c>
      <c r="G2021" s="1"/>
      <c r="H2021" s="161"/>
      <c r="I2021" s="37"/>
      <c r="J2021" s="135">
        <f t="shared" si="152"/>
        <v>0.76382508261777382</v>
      </c>
      <c r="K2021" s="112"/>
      <c r="L2021" s="37">
        <v>15.482295049499999</v>
      </c>
      <c r="M2021" s="37" t="s">
        <v>288</v>
      </c>
      <c r="N2021" s="37">
        <v>950.87219512195099</v>
      </c>
      <c r="O2021" s="130">
        <f t="shared" si="153"/>
        <v>14721.683879243779</v>
      </c>
      <c r="P2021" s="132">
        <f t="shared" si="154"/>
        <v>6006.3937150682959</v>
      </c>
      <c r="Q2021" s="261">
        <v>0.53414896715807536</v>
      </c>
      <c r="R2021" s="92"/>
    </row>
    <row r="2022" spans="1:18" x14ac:dyDescent="0.25">
      <c r="A2022" s="353">
        <v>43045</v>
      </c>
      <c r="B2022" s="353" t="s">
        <v>285</v>
      </c>
      <c r="C2022" s="263" t="s">
        <v>733</v>
      </c>
      <c r="D2022" s="157" t="s">
        <v>724</v>
      </c>
      <c r="E2022" s="44">
        <f t="shared" si="155"/>
        <v>43045</v>
      </c>
      <c r="F2022" s="146" t="str">
        <f t="shared" si="151"/>
        <v>2017-18</v>
      </c>
      <c r="G2022" s="1"/>
      <c r="H2022" s="161"/>
      <c r="I2022" s="37"/>
      <c r="J2022" s="135">
        <f t="shared" si="152"/>
        <v>0.76382508261777382</v>
      </c>
      <c r="K2022" s="112"/>
      <c r="L2022" s="37">
        <v>61.969917492299999</v>
      </c>
      <c r="M2022" s="37" t="s">
        <v>288</v>
      </c>
      <c r="N2022" s="37">
        <v>812.22926829268283</v>
      </c>
      <c r="O2022" s="130">
        <f t="shared" si="153"/>
        <v>50333.780740928756</v>
      </c>
      <c r="P2022" s="132">
        <f t="shared" si="154"/>
        <v>20536.000282154535</v>
      </c>
      <c r="Q2022" s="261">
        <v>0.53414896715807536</v>
      </c>
      <c r="R2022" s="92"/>
    </row>
    <row r="2023" spans="1:18" x14ac:dyDescent="0.25">
      <c r="A2023" s="353">
        <v>43231</v>
      </c>
      <c r="B2023" s="353" t="s">
        <v>285</v>
      </c>
      <c r="C2023" s="263" t="s">
        <v>734</v>
      </c>
      <c r="D2023" s="157" t="s">
        <v>724</v>
      </c>
      <c r="E2023" s="44">
        <f t="shared" si="155"/>
        <v>43231</v>
      </c>
      <c r="F2023" s="146" t="str">
        <f t="shared" si="151"/>
        <v>2017-18</v>
      </c>
      <c r="G2023" s="1"/>
      <c r="H2023" s="161"/>
      <c r="I2023" s="37"/>
      <c r="J2023" s="135">
        <f t="shared" si="152"/>
        <v>0.76382508261777382</v>
      </c>
      <c r="K2023" s="112"/>
      <c r="L2023" s="37">
        <v>51.343404577699999</v>
      </c>
      <c r="M2023" s="37" t="s">
        <v>288</v>
      </c>
      <c r="N2023" s="37">
        <v>812.22926829268283</v>
      </c>
      <c r="O2023" s="130">
        <f t="shared" si="153"/>
        <v>41702.61593180045</v>
      </c>
      <c r="P2023" s="132">
        <f t="shared" si="154"/>
        <v>17567.816888202535</v>
      </c>
      <c r="Q2023" s="261">
        <v>0.55151913131426755</v>
      </c>
      <c r="R2023" s="92"/>
    </row>
    <row r="2024" spans="1:18" x14ac:dyDescent="0.25">
      <c r="A2024" s="353">
        <v>43231</v>
      </c>
      <c r="B2024" s="353" t="s">
        <v>285</v>
      </c>
      <c r="C2024" s="263" t="s">
        <v>734</v>
      </c>
      <c r="D2024" s="157" t="s">
        <v>724</v>
      </c>
      <c r="E2024" s="44">
        <f t="shared" si="155"/>
        <v>43231</v>
      </c>
      <c r="F2024" s="146" t="str">
        <f t="shared" si="151"/>
        <v>2017-18</v>
      </c>
      <c r="G2024" s="1"/>
      <c r="H2024" s="161"/>
      <c r="I2024" s="37"/>
      <c r="J2024" s="135">
        <f t="shared" si="152"/>
        <v>0.76382508261777382</v>
      </c>
      <c r="K2024" s="112"/>
      <c r="L2024" s="37">
        <v>21.904436429299999</v>
      </c>
      <c r="M2024" s="37" t="s">
        <v>288</v>
      </c>
      <c r="N2024" s="37">
        <v>3336.4019512195118</v>
      </c>
      <c r="O2024" s="130">
        <f t="shared" si="153"/>
        <v>73082.004443080266</v>
      </c>
      <c r="P2024" s="132">
        <f t="shared" si="154"/>
        <v>30786.82819270825</v>
      </c>
      <c r="Q2024" s="261">
        <v>0.55151913131426755</v>
      </c>
      <c r="R2024" s="92"/>
    </row>
    <row r="2025" spans="1:18" x14ac:dyDescent="0.25">
      <c r="A2025" s="353">
        <v>43231</v>
      </c>
      <c r="B2025" s="353" t="s">
        <v>285</v>
      </c>
      <c r="C2025" s="263" t="s">
        <v>734</v>
      </c>
      <c r="D2025" s="157" t="s">
        <v>724</v>
      </c>
      <c r="E2025" s="44">
        <f t="shared" si="155"/>
        <v>43231</v>
      </c>
      <c r="F2025" s="146" t="str">
        <f t="shared" si="151"/>
        <v>2017-18</v>
      </c>
      <c r="G2025" s="1"/>
      <c r="H2025" s="161"/>
      <c r="I2025" s="37"/>
      <c r="J2025" s="135">
        <f t="shared" si="152"/>
        <v>0.76382508261777382</v>
      </c>
      <c r="K2025" s="112"/>
      <c r="L2025" s="37">
        <v>4.1117064583899996</v>
      </c>
      <c r="M2025" s="37" t="s">
        <v>288</v>
      </c>
      <c r="N2025" s="37">
        <v>812.22926829268283</v>
      </c>
      <c r="O2025" s="130">
        <f t="shared" si="153"/>
        <v>3339.6483281324076</v>
      </c>
      <c r="P2025" s="132">
        <f t="shared" si="154"/>
        <v>1406.8741010292988</v>
      </c>
      <c r="Q2025" s="261">
        <v>0.55151913131426755</v>
      </c>
      <c r="R2025" s="92"/>
    </row>
    <row r="2026" spans="1:18" x14ac:dyDescent="0.25">
      <c r="A2026" s="353">
        <v>43231</v>
      </c>
      <c r="B2026" s="353" t="s">
        <v>285</v>
      </c>
      <c r="C2026" s="263" t="s">
        <v>734</v>
      </c>
      <c r="D2026" s="157" t="s">
        <v>724</v>
      </c>
      <c r="E2026" s="44">
        <f t="shared" si="155"/>
        <v>43231</v>
      </c>
      <c r="F2026" s="146" t="str">
        <f t="shared" si="151"/>
        <v>2017-18</v>
      </c>
      <c r="G2026" s="1"/>
      <c r="H2026" s="161"/>
      <c r="I2026" s="37"/>
      <c r="J2026" s="135">
        <f t="shared" si="152"/>
        <v>0.76382508261777382</v>
      </c>
      <c r="K2026" s="112"/>
      <c r="L2026" s="37">
        <v>61.160195460300002</v>
      </c>
      <c r="M2026" s="37" t="s">
        <v>288</v>
      </c>
      <c r="N2026" s="37">
        <v>3336.4019512195118</v>
      </c>
      <c r="O2026" s="130">
        <f t="shared" si="153"/>
        <v>204054.99547071167</v>
      </c>
      <c r="P2026" s="132">
        <f t="shared" si="154"/>
        <v>85961.053412451773</v>
      </c>
      <c r="Q2026" s="261">
        <v>0.55151913131426755</v>
      </c>
      <c r="R2026" s="92"/>
    </row>
    <row r="2027" spans="1:18" x14ac:dyDescent="0.25">
      <c r="A2027" s="353">
        <v>43231</v>
      </c>
      <c r="B2027" s="353" t="s">
        <v>285</v>
      </c>
      <c r="C2027" s="263" t="s">
        <v>734</v>
      </c>
      <c r="D2027" s="157" t="s">
        <v>724</v>
      </c>
      <c r="E2027" s="44">
        <f t="shared" si="155"/>
        <v>43231</v>
      </c>
      <c r="F2027" s="146" t="str">
        <f t="shared" si="151"/>
        <v>2017-18</v>
      </c>
      <c r="G2027" s="1"/>
      <c r="H2027" s="161"/>
      <c r="I2027" s="37"/>
      <c r="J2027" s="135">
        <f t="shared" si="152"/>
        <v>0.76382508261777382</v>
      </c>
      <c r="K2027" s="112"/>
      <c r="L2027" s="37">
        <v>24.998398145199999</v>
      </c>
      <c r="M2027" s="37" t="s">
        <v>288</v>
      </c>
      <c r="N2027" s="37">
        <v>3336.4019512195118</v>
      </c>
      <c r="O2027" s="130">
        <f t="shared" si="153"/>
        <v>83404.704349007501</v>
      </c>
      <c r="P2027" s="132">
        <f t="shared" si="154"/>
        <v>35135.411553420359</v>
      </c>
      <c r="Q2027" s="261">
        <v>0.55151913131426755</v>
      </c>
      <c r="R2027" s="92"/>
    </row>
    <row r="2028" spans="1:18" x14ac:dyDescent="0.25">
      <c r="A2028" s="353">
        <v>44001</v>
      </c>
      <c r="B2028" s="353" t="s">
        <v>285</v>
      </c>
      <c r="C2028" s="263" t="s">
        <v>735</v>
      </c>
      <c r="D2028" s="157" t="s">
        <v>699</v>
      </c>
      <c r="E2028" s="44">
        <f t="shared" si="155"/>
        <v>44001</v>
      </c>
      <c r="F2028" s="146" t="str">
        <f t="shared" si="151"/>
        <v>2019-20</v>
      </c>
      <c r="G2028" s="1"/>
      <c r="H2028" s="161"/>
      <c r="I2028" s="37"/>
      <c r="J2028" s="135">
        <f t="shared" si="152"/>
        <v>0.76382508261777382</v>
      </c>
      <c r="K2028" s="112"/>
      <c r="L2028" s="37">
        <v>45.331067536500001</v>
      </c>
      <c r="M2028" s="37" t="s">
        <v>288</v>
      </c>
      <c r="N2028" s="37">
        <v>950.87219512195099</v>
      </c>
      <c r="O2028" s="130">
        <f t="shared" si="153"/>
        <v>43104.051695653165</v>
      </c>
      <c r="P2028" s="132">
        <f t="shared" si="154"/>
        <v>23346.945143518962</v>
      </c>
      <c r="Q2028" s="261">
        <v>0.70911725345500221</v>
      </c>
      <c r="R2028" s="92"/>
    </row>
    <row r="2029" spans="1:18" x14ac:dyDescent="0.25">
      <c r="A2029" s="353">
        <v>44001</v>
      </c>
      <c r="B2029" s="353" t="s">
        <v>285</v>
      </c>
      <c r="C2029" s="263" t="s">
        <v>735</v>
      </c>
      <c r="D2029" s="157" t="s">
        <v>699</v>
      </c>
      <c r="E2029" s="44">
        <f t="shared" si="155"/>
        <v>44001</v>
      </c>
      <c r="F2029" s="146" t="str">
        <f t="shared" si="151"/>
        <v>2019-20</v>
      </c>
      <c r="G2029" s="1"/>
      <c r="H2029" s="161"/>
      <c r="I2029" s="37"/>
      <c r="J2029" s="135">
        <f t="shared" si="152"/>
        <v>0.76382508261777382</v>
      </c>
      <c r="K2029" s="112"/>
      <c r="L2029" s="37">
        <v>30.5500038789</v>
      </c>
      <c r="M2029" s="37" t="s">
        <v>288</v>
      </c>
      <c r="N2029" s="37">
        <v>950.87219512195099</v>
      </c>
      <c r="O2029" s="130">
        <f t="shared" si="153"/>
        <v>29049.149249313759</v>
      </c>
      <c r="P2029" s="132">
        <f t="shared" si="154"/>
        <v>15734.226071792165</v>
      </c>
      <c r="Q2029" s="261">
        <v>0.70911725345500221</v>
      </c>
      <c r="R2029" s="92"/>
    </row>
    <row r="2030" spans="1:18" x14ac:dyDescent="0.25">
      <c r="A2030" s="353">
        <v>44001</v>
      </c>
      <c r="B2030" s="353" t="s">
        <v>285</v>
      </c>
      <c r="C2030" s="263" t="s">
        <v>735</v>
      </c>
      <c r="D2030" s="157" t="s">
        <v>699</v>
      </c>
      <c r="E2030" s="44">
        <f t="shared" si="155"/>
        <v>44001</v>
      </c>
      <c r="F2030" s="146" t="str">
        <f t="shared" si="151"/>
        <v>2019-20</v>
      </c>
      <c r="G2030" s="1"/>
      <c r="H2030" s="161"/>
      <c r="I2030" s="37"/>
      <c r="J2030" s="135">
        <f t="shared" si="152"/>
        <v>0.76382508261777382</v>
      </c>
      <c r="K2030" s="112"/>
      <c r="L2030" s="37">
        <v>33.091016613199997</v>
      </c>
      <c r="M2030" s="37" t="s">
        <v>288</v>
      </c>
      <c r="N2030" s="37">
        <v>950.87219512195099</v>
      </c>
      <c r="O2030" s="130">
        <f t="shared" si="153"/>
        <v>31465.327605810431</v>
      </c>
      <c r="P2030" s="132">
        <f t="shared" si="154"/>
        <v>17042.928649090118</v>
      </c>
      <c r="Q2030" s="261">
        <v>0.70911725345500221</v>
      </c>
      <c r="R2030" s="92"/>
    </row>
    <row r="2031" spans="1:18" x14ac:dyDescent="0.25">
      <c r="A2031" s="353">
        <v>44001</v>
      </c>
      <c r="B2031" s="353" t="s">
        <v>285</v>
      </c>
      <c r="C2031" s="263" t="s">
        <v>735</v>
      </c>
      <c r="D2031" s="157" t="s">
        <v>699</v>
      </c>
      <c r="E2031" s="44">
        <f t="shared" si="155"/>
        <v>44001</v>
      </c>
      <c r="F2031" s="146" t="str">
        <f t="shared" si="151"/>
        <v>2019-20</v>
      </c>
      <c r="G2031" s="1"/>
      <c r="H2031" s="161"/>
      <c r="I2031" s="37"/>
      <c r="J2031" s="135">
        <f t="shared" si="152"/>
        <v>0.76382508261777382</v>
      </c>
      <c r="K2031" s="112"/>
      <c r="L2031" s="37">
        <v>79.430430944299999</v>
      </c>
      <c r="M2031" s="37" t="s">
        <v>288</v>
      </c>
      <c r="N2031" s="37">
        <v>950.87219512195099</v>
      </c>
      <c r="O2031" s="130">
        <f t="shared" si="153"/>
        <v>75528.188231489083</v>
      </c>
      <c r="P2031" s="132">
        <f t="shared" si="154"/>
        <v>40909.204542545944</v>
      </c>
      <c r="Q2031" s="261">
        <v>0.70911725345500221</v>
      </c>
      <c r="R2031" s="92"/>
    </row>
    <row r="2032" spans="1:18" x14ac:dyDescent="0.25">
      <c r="A2032" s="353">
        <v>44001</v>
      </c>
      <c r="B2032" s="353" t="s">
        <v>285</v>
      </c>
      <c r="C2032" s="263" t="s">
        <v>735</v>
      </c>
      <c r="D2032" s="157" t="s">
        <v>699</v>
      </c>
      <c r="E2032" s="44">
        <f t="shared" si="155"/>
        <v>44001</v>
      </c>
      <c r="F2032" s="146" t="str">
        <f t="shared" si="151"/>
        <v>2019-20</v>
      </c>
      <c r="G2032" s="1"/>
      <c r="H2032" s="161"/>
      <c r="I2032" s="37"/>
      <c r="J2032" s="135">
        <f t="shared" si="152"/>
        <v>0.76382508261777382</v>
      </c>
      <c r="K2032" s="112"/>
      <c r="L2032" s="37">
        <v>108.203629019</v>
      </c>
      <c r="M2032" s="37" t="s">
        <v>288</v>
      </c>
      <c r="N2032" s="37">
        <v>3592.3639024390236</v>
      </c>
      <c r="O2032" s="130">
        <f t="shared" si="153"/>
        <v>388706.81100075925</v>
      </c>
      <c r="P2032" s="132">
        <f t="shared" si="154"/>
        <v>210539.75754817732</v>
      </c>
      <c r="Q2032" s="261">
        <v>0.70911725345500221</v>
      </c>
      <c r="R2032" s="92"/>
    </row>
    <row r="2033" spans="1:18" x14ac:dyDescent="0.25">
      <c r="A2033" s="353">
        <v>44001</v>
      </c>
      <c r="B2033" s="353" t="s">
        <v>285</v>
      </c>
      <c r="C2033" s="263" t="s">
        <v>735</v>
      </c>
      <c r="D2033" s="157" t="s">
        <v>699</v>
      </c>
      <c r="E2033" s="44">
        <f t="shared" si="155"/>
        <v>44001</v>
      </c>
      <c r="F2033" s="146" t="str">
        <f t="shared" si="151"/>
        <v>2019-20</v>
      </c>
      <c r="G2033" s="1"/>
      <c r="H2033" s="161"/>
      <c r="I2033" s="37"/>
      <c r="J2033" s="135">
        <f t="shared" si="152"/>
        <v>0.76382508261777382</v>
      </c>
      <c r="K2033" s="112"/>
      <c r="L2033" s="37">
        <v>54.456087744999998</v>
      </c>
      <c r="M2033" s="37" t="s">
        <v>288</v>
      </c>
      <c r="N2033" s="37">
        <v>3592.3639024390236</v>
      </c>
      <c r="O2033" s="130">
        <f t="shared" si="153"/>
        <v>195626.08388319009</v>
      </c>
      <c r="P2033" s="132">
        <f t="shared" si="154"/>
        <v>105959.214259268</v>
      </c>
      <c r="Q2033" s="261">
        <v>0.70911725345500221</v>
      </c>
      <c r="R2033" s="92"/>
    </row>
    <row r="2034" spans="1:18" x14ac:dyDescent="0.25">
      <c r="A2034" s="353">
        <v>44001</v>
      </c>
      <c r="B2034" s="353" t="s">
        <v>285</v>
      </c>
      <c r="C2034" s="263" t="s">
        <v>735</v>
      </c>
      <c r="D2034" s="157" t="s">
        <v>699</v>
      </c>
      <c r="E2034" s="44">
        <f t="shared" si="155"/>
        <v>44001</v>
      </c>
      <c r="F2034" s="146" t="str">
        <f t="shared" si="151"/>
        <v>2019-20</v>
      </c>
      <c r="G2034" s="1"/>
      <c r="H2034" s="161"/>
      <c r="I2034" s="37"/>
      <c r="J2034" s="135">
        <f t="shared" si="152"/>
        <v>0.76382508261777382</v>
      </c>
      <c r="K2034" s="112"/>
      <c r="L2034" s="37">
        <v>3.6632455555100001</v>
      </c>
      <c r="M2034" s="37" t="s">
        <v>288</v>
      </c>
      <c r="N2034" s="37">
        <v>950.87219512195099</v>
      </c>
      <c r="O2034" s="130">
        <f t="shared" si="153"/>
        <v>3483.2783426385245</v>
      </c>
      <c r="P2034" s="132">
        <f t="shared" si="154"/>
        <v>1886.6882621475322</v>
      </c>
      <c r="Q2034" s="261">
        <v>0.70911725345500221</v>
      </c>
      <c r="R2034" s="92"/>
    </row>
    <row r="2035" spans="1:18" x14ac:dyDescent="0.25">
      <c r="A2035" s="353">
        <v>42523</v>
      </c>
      <c r="B2035" s="353" t="s">
        <v>285</v>
      </c>
      <c r="C2035" s="263" t="s">
        <v>736</v>
      </c>
      <c r="D2035" s="157" t="s">
        <v>728</v>
      </c>
      <c r="E2035" s="44">
        <f t="shared" si="155"/>
        <v>42523</v>
      </c>
      <c r="F2035" s="146" t="str">
        <f t="shared" si="151"/>
        <v>2015-16</v>
      </c>
      <c r="G2035" s="1"/>
      <c r="H2035" s="161"/>
      <c r="I2035" s="37"/>
      <c r="J2035" s="135">
        <f t="shared" si="152"/>
        <v>0.76382508261777382</v>
      </c>
      <c r="K2035" s="112"/>
      <c r="L2035" s="37">
        <v>120.497435595</v>
      </c>
      <c r="M2035" s="37" t="s">
        <v>288</v>
      </c>
      <c r="N2035" s="37">
        <v>950.87219512195099</v>
      </c>
      <c r="O2035" s="130">
        <f t="shared" si="153"/>
        <v>114577.66109078356</v>
      </c>
      <c r="P2035" s="132">
        <f t="shared" si="154"/>
        <v>62880.43688953753</v>
      </c>
      <c r="Q2035" s="261">
        <v>0.71849157861918767</v>
      </c>
      <c r="R2035" s="92"/>
    </row>
    <row r="2036" spans="1:18" x14ac:dyDescent="0.25">
      <c r="A2036" s="353">
        <v>42523</v>
      </c>
      <c r="B2036" s="353" t="s">
        <v>285</v>
      </c>
      <c r="C2036" s="263" t="s">
        <v>736</v>
      </c>
      <c r="D2036" s="157" t="s">
        <v>728</v>
      </c>
      <c r="E2036" s="44">
        <f t="shared" si="155"/>
        <v>42523</v>
      </c>
      <c r="F2036" s="146" t="str">
        <f t="shared" si="151"/>
        <v>2015-16</v>
      </c>
      <c r="G2036" s="1"/>
      <c r="H2036" s="161"/>
      <c r="I2036" s="37"/>
      <c r="J2036" s="135">
        <f t="shared" si="152"/>
        <v>0.76382508261777382</v>
      </c>
      <c r="K2036" s="112"/>
      <c r="L2036" s="37">
        <v>54.865637816400003</v>
      </c>
      <c r="M2036" s="37" t="s">
        <v>288</v>
      </c>
      <c r="N2036" s="37">
        <v>950.87219512195099</v>
      </c>
      <c r="O2036" s="130">
        <f t="shared" si="153"/>
        <v>52170.209467246197</v>
      </c>
      <c r="P2036" s="132">
        <f t="shared" si="154"/>
        <v>28631.109525965046</v>
      </c>
      <c r="Q2036" s="261">
        <v>0.71849157861918767</v>
      </c>
      <c r="R2036" s="92"/>
    </row>
    <row r="2037" spans="1:18" x14ac:dyDescent="0.25">
      <c r="A2037" s="353">
        <v>42523</v>
      </c>
      <c r="B2037" s="353" t="s">
        <v>285</v>
      </c>
      <c r="C2037" s="263" t="s">
        <v>736</v>
      </c>
      <c r="D2037" s="157" t="s">
        <v>728</v>
      </c>
      <c r="E2037" s="44">
        <f t="shared" si="155"/>
        <v>42523</v>
      </c>
      <c r="F2037" s="146" t="str">
        <f t="shared" si="151"/>
        <v>2015-16</v>
      </c>
      <c r="G2037" s="1"/>
      <c r="H2037" s="161"/>
      <c r="I2037" s="37"/>
      <c r="J2037" s="135">
        <f t="shared" si="152"/>
        <v>0.76382508261777382</v>
      </c>
      <c r="K2037" s="112"/>
      <c r="L2037" s="37">
        <v>116.581631645</v>
      </c>
      <c r="M2037" s="37" t="s">
        <v>288</v>
      </c>
      <c r="N2037" s="37">
        <v>3592.3639024390236</v>
      </c>
      <c r="O2037" s="130">
        <f t="shared" si="153"/>
        <v>418803.64520894096</v>
      </c>
      <c r="P2037" s="132">
        <f t="shared" si="154"/>
        <v>229840.23177784513</v>
      </c>
      <c r="Q2037" s="261">
        <v>0.71849157861918767</v>
      </c>
      <c r="R2037" s="92"/>
    </row>
    <row r="2038" spans="1:18" x14ac:dyDescent="0.25">
      <c r="A2038" s="353">
        <v>42523</v>
      </c>
      <c r="B2038" s="353" t="s">
        <v>285</v>
      </c>
      <c r="C2038" s="263" t="s">
        <v>736</v>
      </c>
      <c r="D2038" s="157" t="s">
        <v>728</v>
      </c>
      <c r="E2038" s="44">
        <f t="shared" si="155"/>
        <v>42523</v>
      </c>
      <c r="F2038" s="146" t="str">
        <f t="shared" si="151"/>
        <v>2015-16</v>
      </c>
      <c r="G2038" s="1"/>
      <c r="H2038" s="161"/>
      <c r="I2038" s="37"/>
      <c r="J2038" s="135">
        <f t="shared" si="152"/>
        <v>0.76382508261777382</v>
      </c>
      <c r="K2038" s="112"/>
      <c r="L2038" s="37">
        <v>119.64275641</v>
      </c>
      <c r="M2038" s="37" t="s">
        <v>288</v>
      </c>
      <c r="N2038" s="37">
        <v>3592.3639024390236</v>
      </c>
      <c r="O2038" s="130">
        <f t="shared" si="153"/>
        <v>429800.31931558915</v>
      </c>
      <c r="P2038" s="132">
        <f t="shared" si="154"/>
        <v>235875.22730467841</v>
      </c>
      <c r="Q2038" s="261">
        <v>0.71849157861918767</v>
      </c>
      <c r="R2038" s="92"/>
    </row>
    <row r="2039" spans="1:18" x14ac:dyDescent="0.25">
      <c r="A2039" s="353">
        <v>42523</v>
      </c>
      <c r="B2039" s="353" t="s">
        <v>285</v>
      </c>
      <c r="C2039" s="263" t="s">
        <v>736</v>
      </c>
      <c r="D2039" s="157" t="s">
        <v>728</v>
      </c>
      <c r="E2039" s="44">
        <f t="shared" si="155"/>
        <v>42523</v>
      </c>
      <c r="F2039" s="146" t="str">
        <f t="shared" si="151"/>
        <v>2015-16</v>
      </c>
      <c r="G2039" s="1"/>
      <c r="H2039" s="161"/>
      <c r="I2039" s="37"/>
      <c r="J2039" s="135">
        <f t="shared" si="152"/>
        <v>0.76382508261777382</v>
      </c>
      <c r="K2039" s="112"/>
      <c r="L2039" s="37">
        <v>87.088804791399994</v>
      </c>
      <c r="M2039" s="37" t="s">
        <v>288</v>
      </c>
      <c r="N2039" s="37">
        <v>950.87219512195099</v>
      </c>
      <c r="O2039" s="130">
        <f t="shared" si="153"/>
        <v>82810.322982545593</v>
      </c>
      <c r="P2039" s="132">
        <f t="shared" si="154"/>
        <v>45446.46171456045</v>
      </c>
      <c r="Q2039" s="261">
        <v>0.71849157861918767</v>
      </c>
      <c r="R2039" s="92"/>
    </row>
    <row r="2040" spans="1:18" x14ac:dyDescent="0.25">
      <c r="A2040" s="353">
        <v>42523</v>
      </c>
      <c r="B2040" s="353" t="s">
        <v>285</v>
      </c>
      <c r="C2040" s="263" t="s">
        <v>736</v>
      </c>
      <c r="D2040" s="157" t="s">
        <v>728</v>
      </c>
      <c r="E2040" s="44">
        <f t="shared" si="155"/>
        <v>42523</v>
      </c>
      <c r="F2040" s="146" t="str">
        <f t="shared" si="151"/>
        <v>2015-16</v>
      </c>
      <c r="G2040" s="1"/>
      <c r="H2040" s="161"/>
      <c r="I2040" s="37"/>
      <c r="J2040" s="135">
        <f t="shared" si="152"/>
        <v>0.76382508261777382</v>
      </c>
      <c r="K2040" s="112"/>
      <c r="L2040" s="37">
        <v>22.1594285125</v>
      </c>
      <c r="M2040" s="37" t="s">
        <v>288</v>
      </c>
      <c r="N2040" s="37">
        <v>950.87219512195099</v>
      </c>
      <c r="O2040" s="130">
        <f t="shared" si="153"/>
        <v>21070.784432328823</v>
      </c>
      <c r="P2040" s="132">
        <f t="shared" si="154"/>
        <v>11563.686307580583</v>
      </c>
      <c r="Q2040" s="261">
        <v>0.71849157861918767</v>
      </c>
      <c r="R2040" s="92"/>
    </row>
    <row r="2041" spans="1:18" x14ac:dyDescent="0.25">
      <c r="A2041" s="353">
        <v>42523</v>
      </c>
      <c r="B2041" s="353" t="s">
        <v>285</v>
      </c>
      <c r="C2041" s="263" t="s">
        <v>736</v>
      </c>
      <c r="D2041" s="157" t="s">
        <v>728</v>
      </c>
      <c r="E2041" s="44">
        <f t="shared" si="155"/>
        <v>42523</v>
      </c>
      <c r="F2041" s="146" t="str">
        <f t="shared" si="151"/>
        <v>2015-16</v>
      </c>
      <c r="G2041" s="1"/>
      <c r="H2041" s="161"/>
      <c r="I2041" s="37"/>
      <c r="J2041" s="135">
        <f t="shared" si="152"/>
        <v>0.76382508261777382</v>
      </c>
      <c r="K2041" s="112"/>
      <c r="L2041" s="37">
        <v>108.64945247599999</v>
      </c>
      <c r="M2041" s="37" t="s">
        <v>288</v>
      </c>
      <c r="N2041" s="37">
        <v>950.87219512195099</v>
      </c>
      <c r="O2041" s="130">
        <f t="shared" si="153"/>
        <v>103311.7433746522</v>
      </c>
      <c r="P2041" s="132">
        <f t="shared" si="154"/>
        <v>56697.679961111244</v>
      </c>
      <c r="Q2041" s="261">
        <v>0.71849157861918767</v>
      </c>
      <c r="R2041" s="92"/>
    </row>
    <row r="2042" spans="1:18" x14ac:dyDescent="0.25">
      <c r="A2042" s="353">
        <v>42523</v>
      </c>
      <c r="B2042" s="353" t="s">
        <v>285</v>
      </c>
      <c r="C2042" s="263" t="s">
        <v>736</v>
      </c>
      <c r="D2042" s="157" t="s">
        <v>728</v>
      </c>
      <c r="E2042" s="44">
        <f t="shared" si="155"/>
        <v>42523</v>
      </c>
      <c r="F2042" s="146" t="str">
        <f t="shared" si="151"/>
        <v>2015-16</v>
      </c>
      <c r="G2042" s="1"/>
      <c r="H2042" s="161"/>
      <c r="I2042" s="37"/>
      <c r="J2042" s="135">
        <f t="shared" si="152"/>
        <v>0.76382508261777382</v>
      </c>
      <c r="K2042" s="112"/>
      <c r="L2042" s="37">
        <v>56.5872117145</v>
      </c>
      <c r="M2042" s="37" t="s">
        <v>288</v>
      </c>
      <c r="N2042" s="37">
        <v>3592.3639024390236</v>
      </c>
      <c r="O2042" s="130">
        <f t="shared" si="153"/>
        <v>203281.85670284447</v>
      </c>
      <c r="P2042" s="132">
        <f t="shared" si="154"/>
        <v>111561.46703905288</v>
      </c>
      <c r="Q2042" s="261">
        <v>0.71849157861918767</v>
      </c>
      <c r="R2042" s="92"/>
    </row>
    <row r="2043" spans="1:18" x14ac:dyDescent="0.25">
      <c r="A2043" s="353">
        <v>42523</v>
      </c>
      <c r="B2043" s="353" t="s">
        <v>285</v>
      </c>
      <c r="C2043" s="263" t="s">
        <v>736</v>
      </c>
      <c r="D2043" s="157" t="s">
        <v>728</v>
      </c>
      <c r="E2043" s="44">
        <f t="shared" si="155"/>
        <v>42523</v>
      </c>
      <c r="F2043" s="146" t="str">
        <f t="shared" ref="F2043:F2106" si="156">IF(E2043="","-",IF(OR(E2043&lt;$E$15,E2043&gt;$E$16),"ERROR - date outside of range",IF(MONTH(E2043)&gt;=7,YEAR(E2043)&amp;"-"&amp;IF(YEAR(E2043)=1999,"00",IF(AND(YEAR(E2043)&gt;=2000,YEAR(E2043)&lt;2009),"0","")&amp;RIGHT(YEAR(E2043),2)+1),RIGHT(YEAR(E2043),4)-1&amp;"-"&amp;RIGHT(YEAR(E2043),2))))</f>
        <v>2015-16</v>
      </c>
      <c r="G2043" s="1"/>
      <c r="H2043" s="161"/>
      <c r="I2043" s="37"/>
      <c r="J2043" s="135">
        <f t="shared" si="152"/>
        <v>0.76382508261777382</v>
      </c>
      <c r="K2043" s="112"/>
      <c r="L2043" s="37">
        <v>121.730094009</v>
      </c>
      <c r="M2043" s="37" t="s">
        <v>288</v>
      </c>
      <c r="N2043" s="37">
        <v>812.22926829268283</v>
      </c>
      <c r="O2043" s="130">
        <f t="shared" si="153"/>
        <v>98872.745186129556</v>
      </c>
      <c r="P2043" s="132">
        <f t="shared" si="154"/>
        <v>54261.549368211381</v>
      </c>
      <c r="Q2043" s="261">
        <v>0.71849157861918767</v>
      </c>
      <c r="R2043" s="92"/>
    </row>
    <row r="2044" spans="1:18" x14ac:dyDescent="0.25">
      <c r="A2044" s="353">
        <v>42523</v>
      </c>
      <c r="B2044" s="353" t="s">
        <v>285</v>
      </c>
      <c r="C2044" s="263" t="s">
        <v>736</v>
      </c>
      <c r="D2044" s="157" t="s">
        <v>728</v>
      </c>
      <c r="E2044" s="44">
        <f t="shared" si="155"/>
        <v>42523</v>
      </c>
      <c r="F2044" s="146" t="str">
        <f t="shared" si="156"/>
        <v>2015-16</v>
      </c>
      <c r="G2044" s="1"/>
      <c r="H2044" s="161"/>
      <c r="I2044" s="37"/>
      <c r="J2044" s="135">
        <f t="shared" si="152"/>
        <v>0.76382508261777382</v>
      </c>
      <c r="K2044" s="112"/>
      <c r="L2044" s="37">
        <v>90.026143223199995</v>
      </c>
      <c r="M2044" s="37" t="s">
        <v>288</v>
      </c>
      <c r="N2044" s="37">
        <v>3336.4019512195118</v>
      </c>
      <c r="O2044" s="130">
        <f t="shared" si="153"/>
        <v>300363.39991065167</v>
      </c>
      <c r="P2044" s="132">
        <f t="shared" si="154"/>
        <v>164840.00137726578</v>
      </c>
      <c r="Q2044" s="261">
        <v>0.71849157861918767</v>
      </c>
      <c r="R2044" s="92"/>
    </row>
    <row r="2045" spans="1:18" x14ac:dyDescent="0.25">
      <c r="A2045" s="353">
        <v>42523</v>
      </c>
      <c r="B2045" s="353" t="s">
        <v>285</v>
      </c>
      <c r="C2045" s="263" t="s">
        <v>736</v>
      </c>
      <c r="D2045" s="157" t="s">
        <v>728</v>
      </c>
      <c r="E2045" s="44">
        <f t="shared" si="155"/>
        <v>42523</v>
      </c>
      <c r="F2045" s="146" t="str">
        <f t="shared" si="156"/>
        <v>2015-16</v>
      </c>
      <c r="G2045" s="1"/>
      <c r="H2045" s="161"/>
      <c r="I2045" s="37"/>
      <c r="J2045" s="135">
        <f t="shared" si="152"/>
        <v>0.76382508261777382</v>
      </c>
      <c r="K2045" s="112"/>
      <c r="L2045" s="37">
        <v>66.370073226800002</v>
      </c>
      <c r="M2045" s="37" t="s">
        <v>288</v>
      </c>
      <c r="N2045" s="37">
        <v>3592.3639024390236</v>
      </c>
      <c r="O2045" s="130">
        <f t="shared" si="153"/>
        <v>238425.45526219101</v>
      </c>
      <c r="P2045" s="132">
        <f t="shared" si="154"/>
        <v>130848.34032870139</v>
      </c>
      <c r="Q2045" s="261">
        <v>0.71849157861918767</v>
      </c>
      <c r="R2045" s="92"/>
    </row>
    <row r="2046" spans="1:18" x14ac:dyDescent="0.25">
      <c r="A2046" s="353">
        <v>42523</v>
      </c>
      <c r="B2046" s="353" t="s">
        <v>285</v>
      </c>
      <c r="C2046" s="263" t="s">
        <v>736</v>
      </c>
      <c r="D2046" s="157" t="s">
        <v>728</v>
      </c>
      <c r="E2046" s="44">
        <f t="shared" si="155"/>
        <v>42523</v>
      </c>
      <c r="F2046" s="146" t="str">
        <f t="shared" si="156"/>
        <v>2015-16</v>
      </c>
      <c r="G2046" s="1"/>
      <c r="H2046" s="161"/>
      <c r="I2046" s="37"/>
      <c r="J2046" s="135">
        <f t="shared" si="152"/>
        <v>0.76382508261777382</v>
      </c>
      <c r="K2046" s="112"/>
      <c r="L2046" s="37">
        <v>18.173977275199999</v>
      </c>
      <c r="M2046" s="37" t="s">
        <v>288</v>
      </c>
      <c r="N2046" s="37">
        <v>812.22926829268283</v>
      </c>
      <c r="O2046" s="130">
        <f t="shared" si="153"/>
        <v>14761.436264203541</v>
      </c>
      <c r="P2046" s="132">
        <f t="shared" si="154"/>
        <v>8101.1041120374612</v>
      </c>
      <c r="Q2046" s="261">
        <v>0.71849157861918767</v>
      </c>
      <c r="R2046" s="92"/>
    </row>
    <row r="2047" spans="1:18" x14ac:dyDescent="0.25">
      <c r="A2047" s="353">
        <v>42523</v>
      </c>
      <c r="B2047" s="353" t="s">
        <v>285</v>
      </c>
      <c r="C2047" s="263" t="s">
        <v>736</v>
      </c>
      <c r="D2047" s="157" t="s">
        <v>728</v>
      </c>
      <c r="E2047" s="44">
        <f t="shared" si="155"/>
        <v>42523</v>
      </c>
      <c r="F2047" s="146" t="str">
        <f t="shared" si="156"/>
        <v>2015-16</v>
      </c>
      <c r="G2047" s="1"/>
      <c r="H2047" s="161"/>
      <c r="I2047" s="37"/>
      <c r="J2047" s="135">
        <f t="shared" si="152"/>
        <v>0.76382508261777382</v>
      </c>
      <c r="K2047" s="112"/>
      <c r="L2047" s="37">
        <v>37.534590513300003</v>
      </c>
      <c r="M2047" s="37" t="s">
        <v>288</v>
      </c>
      <c r="N2047" s="37">
        <v>812.22926829268283</v>
      </c>
      <c r="O2047" s="130">
        <f t="shared" si="153"/>
        <v>30486.692988283135</v>
      </c>
      <c r="P2047" s="132">
        <f t="shared" si="154"/>
        <v>16731.154713496289</v>
      </c>
      <c r="Q2047" s="261">
        <v>0.71849157861918767</v>
      </c>
      <c r="R2047" s="92"/>
    </row>
    <row r="2048" spans="1:18" x14ac:dyDescent="0.25">
      <c r="A2048" s="353">
        <v>42563</v>
      </c>
      <c r="B2048" s="353" t="s">
        <v>285</v>
      </c>
      <c r="C2048" s="263" t="s">
        <v>737</v>
      </c>
      <c r="D2048" s="157" t="s">
        <v>738</v>
      </c>
      <c r="E2048" s="44">
        <f t="shared" si="155"/>
        <v>42563</v>
      </c>
      <c r="F2048" s="146" t="str">
        <f t="shared" si="156"/>
        <v>2016-17</v>
      </c>
      <c r="G2048" s="1"/>
      <c r="H2048" s="161"/>
      <c r="I2048" s="37"/>
      <c r="J2048" s="135">
        <f t="shared" si="152"/>
        <v>0.76382508261777382</v>
      </c>
      <c r="K2048" s="112"/>
      <c r="L2048" s="37">
        <v>107.16844209</v>
      </c>
      <c r="M2048" s="37" t="s">
        <v>288</v>
      </c>
      <c r="N2048" s="37">
        <v>950.87219512195099</v>
      </c>
      <c r="O2048" s="130">
        <f t="shared" si="153"/>
        <v>101903.49177791798</v>
      </c>
      <c r="P2048" s="132">
        <f t="shared" si="154"/>
        <v>58768.290825224016</v>
      </c>
      <c r="Q2048" s="261">
        <v>0.75502282144831567</v>
      </c>
      <c r="R2048" s="92"/>
    </row>
    <row r="2049" spans="1:18" x14ac:dyDescent="0.25">
      <c r="A2049" s="353">
        <v>42563</v>
      </c>
      <c r="B2049" s="353" t="s">
        <v>285</v>
      </c>
      <c r="C2049" s="263" t="s">
        <v>737</v>
      </c>
      <c r="D2049" s="157" t="s">
        <v>738</v>
      </c>
      <c r="E2049" s="44">
        <f t="shared" si="155"/>
        <v>42563</v>
      </c>
      <c r="F2049" s="146" t="str">
        <f t="shared" si="156"/>
        <v>2016-17</v>
      </c>
      <c r="G2049" s="1"/>
      <c r="H2049" s="161"/>
      <c r="I2049" s="37"/>
      <c r="J2049" s="135">
        <f t="shared" si="152"/>
        <v>0.76382508261777382</v>
      </c>
      <c r="K2049" s="112"/>
      <c r="L2049" s="37">
        <v>8.5908081109999994</v>
      </c>
      <c r="M2049" s="37" t="s">
        <v>288</v>
      </c>
      <c r="N2049" s="37">
        <v>950.87219512195099</v>
      </c>
      <c r="O2049" s="130">
        <f t="shared" si="153"/>
        <v>8168.7605663780305</v>
      </c>
      <c r="P2049" s="132">
        <f t="shared" si="154"/>
        <v>4710.968076469323</v>
      </c>
      <c r="Q2049" s="261">
        <v>0.75502282144831567</v>
      </c>
      <c r="R2049" s="92"/>
    </row>
    <row r="2050" spans="1:18" x14ac:dyDescent="0.25">
      <c r="A2050" s="353">
        <v>42142</v>
      </c>
      <c r="B2050" s="353" t="s">
        <v>285</v>
      </c>
      <c r="C2050" s="263" t="s">
        <v>739</v>
      </c>
      <c r="D2050" s="157" t="s">
        <v>740</v>
      </c>
      <c r="E2050" s="44">
        <f t="shared" si="155"/>
        <v>42142</v>
      </c>
      <c r="F2050" s="146" t="str">
        <f t="shared" si="156"/>
        <v>2014-15</v>
      </c>
      <c r="G2050" s="1"/>
      <c r="H2050" s="161"/>
      <c r="I2050" s="37"/>
      <c r="J2050" s="135">
        <f t="shared" si="152"/>
        <v>0.76382508261777382</v>
      </c>
      <c r="K2050" s="112"/>
      <c r="L2050" s="37">
        <v>22.856121324499998</v>
      </c>
      <c r="M2050" s="37" t="s">
        <v>288</v>
      </c>
      <c r="N2050" s="37">
        <v>4137.5668292682922</v>
      </c>
      <c r="O2050" s="130">
        <f t="shared" si="153"/>
        <v>94568.729437982853</v>
      </c>
      <c r="P2050" s="132">
        <f t="shared" si="154"/>
        <v>56257.13896741761</v>
      </c>
      <c r="Q2050" s="261">
        <v>0.77881834343666401</v>
      </c>
      <c r="R2050" s="92"/>
    </row>
    <row r="2051" spans="1:18" x14ac:dyDescent="0.25">
      <c r="A2051" s="353">
        <v>42142</v>
      </c>
      <c r="B2051" s="353" t="s">
        <v>285</v>
      </c>
      <c r="C2051" s="263" t="s">
        <v>739</v>
      </c>
      <c r="D2051" s="157" t="s">
        <v>740</v>
      </c>
      <c r="E2051" s="44">
        <f t="shared" si="155"/>
        <v>42142</v>
      </c>
      <c r="F2051" s="146" t="str">
        <f t="shared" si="156"/>
        <v>2014-15</v>
      </c>
      <c r="G2051" s="1"/>
      <c r="H2051" s="161"/>
      <c r="I2051" s="37"/>
      <c r="J2051" s="135">
        <f t="shared" si="152"/>
        <v>0.76382508261777382</v>
      </c>
      <c r="K2051" s="112"/>
      <c r="L2051" s="37">
        <v>73.113666807200005</v>
      </c>
      <c r="M2051" s="37" t="s">
        <v>288</v>
      </c>
      <c r="N2051" s="37">
        <v>1361.4565853658535</v>
      </c>
      <c r="O2051" s="130">
        <f t="shared" si="153"/>
        <v>99541.083154907261</v>
      </c>
      <c r="P2051" s="132">
        <f t="shared" si="154"/>
        <v>59215.097646894377</v>
      </c>
      <c r="Q2051" s="261">
        <v>0.77881834343666401</v>
      </c>
      <c r="R2051" s="92"/>
    </row>
    <row r="2052" spans="1:18" x14ac:dyDescent="0.25">
      <c r="A2052" s="353">
        <v>42142</v>
      </c>
      <c r="B2052" s="353" t="s">
        <v>285</v>
      </c>
      <c r="C2052" s="263" t="s">
        <v>739</v>
      </c>
      <c r="D2052" s="157" t="s">
        <v>740</v>
      </c>
      <c r="E2052" s="44">
        <f t="shared" si="155"/>
        <v>42142</v>
      </c>
      <c r="F2052" s="146" t="str">
        <f t="shared" si="156"/>
        <v>2014-15</v>
      </c>
      <c r="G2052" s="1"/>
      <c r="H2052" s="161"/>
      <c r="I2052" s="37"/>
      <c r="J2052" s="135">
        <f t="shared" si="152"/>
        <v>0.76382508261777382</v>
      </c>
      <c r="K2052" s="112"/>
      <c r="L2052" s="37">
        <v>49.814542906699998</v>
      </c>
      <c r="M2052" s="37" t="s">
        <v>288</v>
      </c>
      <c r="N2052" s="37">
        <v>1361.4565853658535</v>
      </c>
      <c r="O2052" s="130">
        <f t="shared" si="153"/>
        <v>67820.337487316574</v>
      </c>
      <c r="P2052" s="132">
        <f t="shared" si="154"/>
        <v>40345.029202736769</v>
      </c>
      <c r="Q2052" s="261">
        <v>0.77881834343666401</v>
      </c>
      <c r="R2052" s="92"/>
    </row>
    <row r="2053" spans="1:18" x14ac:dyDescent="0.25">
      <c r="A2053" s="353">
        <v>42142</v>
      </c>
      <c r="B2053" s="353" t="s">
        <v>285</v>
      </c>
      <c r="C2053" s="263" t="s">
        <v>739</v>
      </c>
      <c r="D2053" s="157" t="s">
        <v>740</v>
      </c>
      <c r="E2053" s="44">
        <f t="shared" si="155"/>
        <v>42142</v>
      </c>
      <c r="F2053" s="146" t="str">
        <f t="shared" si="156"/>
        <v>2014-15</v>
      </c>
      <c r="G2053" s="1"/>
      <c r="H2053" s="161"/>
      <c r="I2053" s="37"/>
      <c r="J2053" s="135">
        <f t="shared" si="152"/>
        <v>0.76382508261777382</v>
      </c>
      <c r="K2053" s="112"/>
      <c r="L2053" s="37">
        <v>50.270302535399999</v>
      </c>
      <c r="M2053" s="37" t="s">
        <v>288</v>
      </c>
      <c r="N2053" s="37">
        <v>1361.4565853658535</v>
      </c>
      <c r="O2053" s="130">
        <f t="shared" si="153"/>
        <v>68440.834435154087</v>
      </c>
      <c r="P2053" s="132">
        <f t="shared" si="154"/>
        <v>40714.15103857834</v>
      </c>
      <c r="Q2053" s="261">
        <v>0.77881834343666401</v>
      </c>
      <c r="R2053" s="92"/>
    </row>
    <row r="2054" spans="1:18" x14ac:dyDescent="0.25">
      <c r="A2054" s="353">
        <v>42142</v>
      </c>
      <c r="B2054" s="353" t="s">
        <v>285</v>
      </c>
      <c r="C2054" s="263" t="s">
        <v>739</v>
      </c>
      <c r="D2054" s="157" t="s">
        <v>740</v>
      </c>
      <c r="E2054" s="44">
        <f t="shared" si="155"/>
        <v>42142</v>
      </c>
      <c r="F2054" s="146" t="str">
        <f t="shared" si="156"/>
        <v>2014-15</v>
      </c>
      <c r="G2054" s="1"/>
      <c r="H2054" s="161"/>
      <c r="I2054" s="37"/>
      <c r="J2054" s="135">
        <f t="shared" si="152"/>
        <v>0.76382508261777382</v>
      </c>
      <c r="K2054" s="112"/>
      <c r="L2054" s="37">
        <v>46.256211917999998</v>
      </c>
      <c r="M2054" s="37" t="s">
        <v>288</v>
      </c>
      <c r="N2054" s="37">
        <v>1361.4565853658535</v>
      </c>
      <c r="O2054" s="130">
        <f t="shared" si="153"/>
        <v>62975.824329839576</v>
      </c>
      <c r="P2054" s="132">
        <f t="shared" si="154"/>
        <v>37463.120441253464</v>
      </c>
      <c r="Q2054" s="261">
        <v>0.77881834343666401</v>
      </c>
      <c r="R2054" s="92"/>
    </row>
    <row r="2055" spans="1:18" x14ac:dyDescent="0.25">
      <c r="A2055" s="353">
        <v>42142</v>
      </c>
      <c r="B2055" s="353" t="s">
        <v>285</v>
      </c>
      <c r="C2055" s="263" t="s">
        <v>739</v>
      </c>
      <c r="D2055" s="157" t="s">
        <v>740</v>
      </c>
      <c r="E2055" s="44">
        <f t="shared" si="155"/>
        <v>42142</v>
      </c>
      <c r="F2055" s="146" t="str">
        <f t="shared" si="156"/>
        <v>2014-15</v>
      </c>
      <c r="G2055" s="1"/>
      <c r="H2055" s="161"/>
      <c r="I2055" s="37"/>
      <c r="J2055" s="135">
        <f t="shared" si="152"/>
        <v>0.76382508261777382</v>
      </c>
      <c r="K2055" s="112"/>
      <c r="L2055" s="37">
        <v>24.177142676500001</v>
      </c>
      <c r="M2055" s="37" t="s">
        <v>288</v>
      </c>
      <c r="N2055" s="37">
        <v>4137.5668292682922</v>
      </c>
      <c r="O2055" s="130">
        <f t="shared" si="153"/>
        <v>100034.54356477322</v>
      </c>
      <c r="P2055" s="132">
        <f t="shared" si="154"/>
        <v>59508.647861830425</v>
      </c>
      <c r="Q2055" s="261">
        <v>0.77881834343666401</v>
      </c>
      <c r="R2055" s="92"/>
    </row>
    <row r="2056" spans="1:18" x14ac:dyDescent="0.25">
      <c r="A2056" s="353">
        <v>42142</v>
      </c>
      <c r="B2056" s="353" t="s">
        <v>285</v>
      </c>
      <c r="C2056" s="263" t="s">
        <v>739</v>
      </c>
      <c r="D2056" s="157" t="s">
        <v>740</v>
      </c>
      <c r="E2056" s="44">
        <f t="shared" si="155"/>
        <v>42142</v>
      </c>
      <c r="F2056" s="146" t="str">
        <f t="shared" si="156"/>
        <v>2014-15</v>
      </c>
      <c r="G2056" s="1"/>
      <c r="H2056" s="161"/>
      <c r="I2056" s="37"/>
      <c r="J2056" s="135">
        <f t="shared" si="152"/>
        <v>0.76382508261777382</v>
      </c>
      <c r="K2056" s="112"/>
      <c r="L2056" s="37">
        <v>85.531196051500004</v>
      </c>
      <c r="M2056" s="37" t="s">
        <v>288</v>
      </c>
      <c r="N2056" s="37">
        <v>1361.4565853658535</v>
      </c>
      <c r="O2056" s="130">
        <f t="shared" si="153"/>
        <v>116447.01011853256</v>
      </c>
      <c r="P2056" s="132">
        <f t="shared" si="154"/>
        <v>69272.112140140671</v>
      </c>
      <c r="Q2056" s="261">
        <v>0.77881834343666401</v>
      </c>
      <c r="R2056" s="92"/>
    </row>
    <row r="2057" spans="1:18" x14ac:dyDescent="0.25">
      <c r="A2057" s="353">
        <v>42142</v>
      </c>
      <c r="B2057" s="353" t="s">
        <v>285</v>
      </c>
      <c r="C2057" s="263" t="s">
        <v>739</v>
      </c>
      <c r="D2057" s="157" t="s">
        <v>740</v>
      </c>
      <c r="E2057" s="44">
        <f t="shared" si="155"/>
        <v>42142</v>
      </c>
      <c r="F2057" s="146" t="str">
        <f t="shared" si="156"/>
        <v>2014-15</v>
      </c>
      <c r="G2057" s="1"/>
      <c r="H2057" s="161"/>
      <c r="I2057" s="37"/>
      <c r="J2057" s="135">
        <f t="shared" si="152"/>
        <v>0.76382508261777382</v>
      </c>
      <c r="K2057" s="112"/>
      <c r="L2057" s="37">
        <v>42.061220928499999</v>
      </c>
      <c r="M2057" s="37" t="s">
        <v>288</v>
      </c>
      <c r="N2057" s="37">
        <v>1361.4565853658535</v>
      </c>
      <c r="O2057" s="130">
        <f t="shared" si="153"/>
        <v>57264.526221634384</v>
      </c>
      <c r="P2057" s="132">
        <f t="shared" si="154"/>
        <v>34065.577794047291</v>
      </c>
      <c r="Q2057" s="261">
        <v>0.77881834343666401</v>
      </c>
      <c r="R2057" s="92"/>
    </row>
    <row r="2058" spans="1:18" x14ac:dyDescent="0.25">
      <c r="A2058" s="353">
        <v>42142</v>
      </c>
      <c r="B2058" s="353" t="s">
        <v>285</v>
      </c>
      <c r="C2058" s="263" t="s">
        <v>739</v>
      </c>
      <c r="D2058" s="157" t="s">
        <v>741</v>
      </c>
      <c r="E2058" s="44">
        <f t="shared" si="155"/>
        <v>42142</v>
      </c>
      <c r="F2058" s="146" t="str">
        <f t="shared" si="156"/>
        <v>2014-15</v>
      </c>
      <c r="G2058" s="1"/>
      <c r="H2058" s="161"/>
      <c r="I2058" s="37"/>
      <c r="J2058" s="135">
        <f t="shared" si="152"/>
        <v>0.76382508261777382</v>
      </c>
      <c r="K2058" s="112"/>
      <c r="L2058" s="37">
        <v>49.398004408299997</v>
      </c>
      <c r="M2058" s="37" t="s">
        <v>288</v>
      </c>
      <c r="N2058" s="37">
        <v>3875.3912195121943</v>
      </c>
      <c r="O2058" s="130">
        <f t="shared" si="153"/>
        <v>191436.59254535046</v>
      </c>
      <c r="P2058" s="132">
        <f t="shared" si="154"/>
        <v>113881.98883792045</v>
      </c>
      <c r="Q2058" s="261">
        <v>0.77881834343666401</v>
      </c>
      <c r="R2058" s="92"/>
    </row>
    <row r="2059" spans="1:18" x14ac:dyDescent="0.25">
      <c r="A2059" s="353">
        <v>42142</v>
      </c>
      <c r="B2059" s="353" t="s">
        <v>285</v>
      </c>
      <c r="C2059" s="263" t="s">
        <v>739</v>
      </c>
      <c r="D2059" s="157" t="s">
        <v>741</v>
      </c>
      <c r="E2059" s="44">
        <f t="shared" si="155"/>
        <v>42142</v>
      </c>
      <c r="F2059" s="146" t="str">
        <f t="shared" si="156"/>
        <v>2014-15</v>
      </c>
      <c r="G2059" s="1"/>
      <c r="H2059" s="161"/>
      <c r="I2059" s="37"/>
      <c r="J2059" s="135">
        <f t="shared" si="152"/>
        <v>0.76382508261777382</v>
      </c>
      <c r="K2059" s="112"/>
      <c r="L2059" s="37">
        <v>98.577539759299995</v>
      </c>
      <c r="M2059" s="37" t="s">
        <v>288</v>
      </c>
      <c r="N2059" s="37">
        <v>1162.6195121951216</v>
      </c>
      <c r="O2059" s="130">
        <f t="shared" si="153"/>
        <v>114608.17118835257</v>
      </c>
      <c r="P2059" s="132">
        <f t="shared" si="154"/>
        <v>68178.221825143119</v>
      </c>
      <c r="Q2059" s="261">
        <v>0.77881834343666401</v>
      </c>
      <c r="R2059" s="92"/>
    </row>
    <row r="2060" spans="1:18" x14ac:dyDescent="0.25">
      <c r="A2060" s="353">
        <v>42142</v>
      </c>
      <c r="B2060" s="353" t="s">
        <v>285</v>
      </c>
      <c r="C2060" s="263" t="s">
        <v>739</v>
      </c>
      <c r="D2060" s="157" t="s">
        <v>741</v>
      </c>
      <c r="E2060" s="44">
        <f t="shared" si="155"/>
        <v>42142</v>
      </c>
      <c r="F2060" s="146" t="str">
        <f t="shared" si="156"/>
        <v>2014-15</v>
      </c>
      <c r="G2060" s="1"/>
      <c r="H2060" s="161"/>
      <c r="I2060" s="37"/>
      <c r="J2060" s="135">
        <f t="shared" si="152"/>
        <v>0.76382508261777382</v>
      </c>
      <c r="K2060" s="112"/>
      <c r="L2060" s="37">
        <v>18.0468774466</v>
      </c>
      <c r="M2060" s="37" t="s">
        <v>288</v>
      </c>
      <c r="N2060" s="37">
        <v>3875.3912195121943</v>
      </c>
      <c r="O2060" s="130">
        <f t="shared" si="153"/>
        <v>69938.710396166294</v>
      </c>
      <c r="P2060" s="132">
        <f t="shared" si="154"/>
        <v>41605.208966451624</v>
      </c>
      <c r="Q2060" s="261">
        <v>0.77881834343666401</v>
      </c>
      <c r="R2060" s="92"/>
    </row>
    <row r="2061" spans="1:18" x14ac:dyDescent="0.25">
      <c r="A2061" s="353">
        <v>43798</v>
      </c>
      <c r="B2061" s="353" t="s">
        <v>285</v>
      </c>
      <c r="C2061" s="263" t="s">
        <v>742</v>
      </c>
      <c r="D2061" s="157" t="s">
        <v>738</v>
      </c>
      <c r="E2061" s="44">
        <f t="shared" si="155"/>
        <v>43798</v>
      </c>
      <c r="F2061" s="146" t="str">
        <f t="shared" si="156"/>
        <v>2019-20</v>
      </c>
      <c r="G2061" s="1"/>
      <c r="H2061" s="161"/>
      <c r="I2061" s="37"/>
      <c r="J2061" s="135">
        <f t="shared" si="152"/>
        <v>0.76382508261777382</v>
      </c>
      <c r="K2061" s="112"/>
      <c r="L2061" s="37">
        <v>104.968136203</v>
      </c>
      <c r="M2061" s="37" t="s">
        <v>288</v>
      </c>
      <c r="N2061" s="37">
        <v>3875.3912195121943</v>
      </c>
      <c r="O2061" s="130">
        <f t="shared" si="153"/>
        <v>406792.59336966631</v>
      </c>
      <c r="P2061" s="132">
        <f t="shared" si="154"/>
        <v>242318.69290412744</v>
      </c>
      <c r="Q2061" s="261">
        <v>0.77986596106298667</v>
      </c>
      <c r="R2061" s="92"/>
    </row>
    <row r="2062" spans="1:18" x14ac:dyDescent="0.25">
      <c r="A2062" s="353">
        <v>43798</v>
      </c>
      <c r="B2062" s="353" t="s">
        <v>285</v>
      </c>
      <c r="C2062" s="263" t="s">
        <v>742</v>
      </c>
      <c r="D2062" s="157" t="s">
        <v>738</v>
      </c>
      <c r="E2062" s="44">
        <f t="shared" si="155"/>
        <v>43798</v>
      </c>
      <c r="F2062" s="146" t="str">
        <f t="shared" si="156"/>
        <v>2019-20</v>
      </c>
      <c r="G2062" s="1"/>
      <c r="H2062" s="161"/>
      <c r="I2062" s="37"/>
      <c r="J2062" s="135">
        <f t="shared" si="152"/>
        <v>0.76382508261777382</v>
      </c>
      <c r="K2062" s="112"/>
      <c r="L2062" s="37">
        <v>96.235409689400001</v>
      </c>
      <c r="M2062" s="37" t="s">
        <v>288</v>
      </c>
      <c r="N2062" s="37">
        <v>1162.6195121951216</v>
      </c>
      <c r="O2062" s="130">
        <f t="shared" si="153"/>
        <v>111885.1650689879</v>
      </c>
      <c r="P2062" s="132">
        <f t="shared" si="154"/>
        <v>66647.887392193021</v>
      </c>
      <c r="Q2062" s="261">
        <v>0.77986596106298667</v>
      </c>
      <c r="R2062" s="92"/>
    </row>
    <row r="2063" spans="1:18" x14ac:dyDescent="0.25">
      <c r="A2063" s="353">
        <v>43798</v>
      </c>
      <c r="B2063" s="353" t="s">
        <v>285</v>
      </c>
      <c r="C2063" s="263" t="s">
        <v>742</v>
      </c>
      <c r="D2063" s="157" t="s">
        <v>738</v>
      </c>
      <c r="E2063" s="44">
        <f t="shared" si="155"/>
        <v>43798</v>
      </c>
      <c r="F2063" s="146" t="str">
        <f t="shared" si="156"/>
        <v>2019-20</v>
      </c>
      <c r="G2063" s="1"/>
      <c r="H2063" s="161"/>
      <c r="I2063" s="37"/>
      <c r="J2063" s="135">
        <f t="shared" si="152"/>
        <v>0.76382508261777382</v>
      </c>
      <c r="K2063" s="112"/>
      <c r="L2063" s="37">
        <v>12.5682928833</v>
      </c>
      <c r="M2063" s="37" t="s">
        <v>288</v>
      </c>
      <c r="N2063" s="37">
        <v>950.87219512195099</v>
      </c>
      <c r="O2063" s="130">
        <f t="shared" si="153"/>
        <v>11950.840242879065</v>
      </c>
      <c r="P2063" s="132">
        <f t="shared" si="154"/>
        <v>7118.8906434412047</v>
      </c>
      <c r="Q2063" s="261">
        <v>0.77986596106298667</v>
      </c>
      <c r="R2063" s="92"/>
    </row>
    <row r="2064" spans="1:18" x14ac:dyDescent="0.25">
      <c r="A2064" s="353">
        <v>43570</v>
      </c>
      <c r="B2064" s="353" t="s">
        <v>285</v>
      </c>
      <c r="C2064" s="263" t="s">
        <v>743</v>
      </c>
      <c r="D2064" s="157" t="s">
        <v>699</v>
      </c>
      <c r="E2064" s="44">
        <f t="shared" si="155"/>
        <v>43570</v>
      </c>
      <c r="F2064" s="146" t="str">
        <f t="shared" si="156"/>
        <v>2018-19</v>
      </c>
      <c r="G2064" s="1"/>
      <c r="H2064" s="161"/>
      <c r="I2064" s="37"/>
      <c r="J2064" s="135">
        <f t="shared" si="152"/>
        <v>0.76382508261777382</v>
      </c>
      <c r="K2064" s="112"/>
      <c r="L2064" s="37">
        <v>27.867710526700002</v>
      </c>
      <c r="M2064" s="37" t="s">
        <v>288</v>
      </c>
      <c r="N2064" s="37">
        <v>1162.6195121951216</v>
      </c>
      <c r="O2064" s="130">
        <f t="shared" si="153"/>
        <v>32399.544018546811</v>
      </c>
      <c r="P2064" s="132">
        <f t="shared" si="154"/>
        <v>19339.688924167265</v>
      </c>
      <c r="Q2064" s="261">
        <v>0.78147784534986675</v>
      </c>
      <c r="R2064" s="92"/>
    </row>
    <row r="2065" spans="1:18" x14ac:dyDescent="0.25">
      <c r="A2065" s="353">
        <v>43570</v>
      </c>
      <c r="B2065" s="353" t="s">
        <v>285</v>
      </c>
      <c r="C2065" s="263" t="s">
        <v>743</v>
      </c>
      <c r="D2065" s="157" t="s">
        <v>699</v>
      </c>
      <c r="E2065" s="44">
        <f t="shared" si="155"/>
        <v>43570</v>
      </c>
      <c r="F2065" s="146" t="str">
        <f t="shared" si="156"/>
        <v>2018-19</v>
      </c>
      <c r="G2065" s="1"/>
      <c r="H2065" s="161"/>
      <c r="I2065" s="37"/>
      <c r="J2065" s="135">
        <f t="shared" si="152"/>
        <v>0.76382508261777382</v>
      </c>
      <c r="K2065" s="112"/>
      <c r="L2065" s="37">
        <v>40.781006265199998</v>
      </c>
      <c r="M2065" s="37" t="s">
        <v>288</v>
      </c>
      <c r="N2065" s="37">
        <v>3592.3639024390236</v>
      </c>
      <c r="O2065" s="130">
        <f t="shared" si="153"/>
        <v>146500.21481224414</v>
      </c>
      <c r="P2065" s="132">
        <f t="shared" si="154"/>
        <v>87447.791863077015</v>
      </c>
      <c r="Q2065" s="261">
        <v>0.78147784534986675</v>
      </c>
      <c r="R2065" s="92"/>
    </row>
    <row r="2066" spans="1:18" x14ac:dyDescent="0.25">
      <c r="A2066" s="353">
        <v>43570</v>
      </c>
      <c r="B2066" s="353" t="s">
        <v>285</v>
      </c>
      <c r="C2066" s="263" t="s">
        <v>743</v>
      </c>
      <c r="D2066" s="157" t="s">
        <v>699</v>
      </c>
      <c r="E2066" s="44">
        <f t="shared" si="155"/>
        <v>43570</v>
      </c>
      <c r="F2066" s="146" t="str">
        <f t="shared" si="156"/>
        <v>2018-19</v>
      </c>
      <c r="G2066" s="1"/>
      <c r="H2066" s="161"/>
      <c r="I2066" s="37"/>
      <c r="J2066" s="135">
        <f t="shared" si="152"/>
        <v>0.76382508261777382</v>
      </c>
      <c r="K2066" s="112"/>
      <c r="L2066" s="37">
        <v>58.281802322899999</v>
      </c>
      <c r="M2066" s="37" t="s">
        <v>288</v>
      </c>
      <c r="N2066" s="37">
        <v>3592.3639024390236</v>
      </c>
      <c r="O2066" s="130">
        <f t="shared" si="153"/>
        <v>209369.4428338728</v>
      </c>
      <c r="P2066" s="132">
        <f t="shared" si="154"/>
        <v>124975.21237692202</v>
      </c>
      <c r="Q2066" s="261">
        <v>0.78147784534986675</v>
      </c>
      <c r="R2066" s="92"/>
    </row>
    <row r="2067" spans="1:18" x14ac:dyDescent="0.25">
      <c r="A2067" s="353">
        <v>43570</v>
      </c>
      <c r="B2067" s="353" t="s">
        <v>285</v>
      </c>
      <c r="C2067" s="263" t="s">
        <v>743</v>
      </c>
      <c r="D2067" s="157" t="s">
        <v>699</v>
      </c>
      <c r="E2067" s="44">
        <f t="shared" si="155"/>
        <v>43570</v>
      </c>
      <c r="F2067" s="146" t="str">
        <f t="shared" si="156"/>
        <v>2018-19</v>
      </c>
      <c r="G2067" s="1"/>
      <c r="H2067" s="161"/>
      <c r="I2067" s="37"/>
      <c r="J2067" s="135">
        <f t="shared" si="152"/>
        <v>0.76382508261777382</v>
      </c>
      <c r="K2067" s="112"/>
      <c r="L2067" s="37">
        <v>25.970159125399999</v>
      </c>
      <c r="M2067" s="37" t="s">
        <v>288</v>
      </c>
      <c r="N2067" s="37">
        <v>950.87219512195099</v>
      </c>
      <c r="O2067" s="130">
        <f t="shared" si="153"/>
        <v>24694.302215235464</v>
      </c>
      <c r="P2067" s="132">
        <f t="shared" si="154"/>
        <v>14740.334702508229</v>
      </c>
      <c r="Q2067" s="261">
        <v>0.78147784534986675</v>
      </c>
      <c r="R2067" s="92"/>
    </row>
    <row r="2068" spans="1:18" x14ac:dyDescent="0.25">
      <c r="A2068" s="353">
        <v>43216</v>
      </c>
      <c r="B2068" s="353" t="s">
        <v>285</v>
      </c>
      <c r="C2068" s="263" t="s">
        <v>744</v>
      </c>
      <c r="D2068" s="157" t="s">
        <v>724</v>
      </c>
      <c r="E2068" s="44">
        <f t="shared" si="155"/>
        <v>43216</v>
      </c>
      <c r="F2068" s="146" t="str">
        <f t="shared" si="156"/>
        <v>2017-18</v>
      </c>
      <c r="G2068" s="1"/>
      <c r="H2068" s="161"/>
      <c r="I2068" s="37"/>
      <c r="J2068" s="135">
        <f t="shared" si="152"/>
        <v>0.76382508261777382</v>
      </c>
      <c r="K2068" s="112"/>
      <c r="L2068" s="37">
        <v>6.0949648891499999</v>
      </c>
      <c r="M2068" s="37" t="s">
        <v>288</v>
      </c>
      <c r="N2068" s="37">
        <v>812.22926829268283</v>
      </c>
      <c r="O2068" s="130">
        <f t="shared" si="153"/>
        <v>4950.5088721838974</v>
      </c>
      <c r="P2068" s="132">
        <f t="shared" si="154"/>
        <v>2977.5900965727083</v>
      </c>
      <c r="Q2068" s="261">
        <v>0.78744667303787763</v>
      </c>
      <c r="R2068" s="92"/>
    </row>
    <row r="2069" spans="1:18" x14ac:dyDescent="0.25">
      <c r="A2069" s="353">
        <v>43216</v>
      </c>
      <c r="B2069" s="353" t="s">
        <v>285</v>
      </c>
      <c r="C2069" s="263" t="s">
        <v>744</v>
      </c>
      <c r="D2069" s="157" t="s">
        <v>724</v>
      </c>
      <c r="E2069" s="44">
        <f t="shared" si="155"/>
        <v>43216</v>
      </c>
      <c r="F2069" s="146" t="str">
        <f t="shared" si="156"/>
        <v>2017-18</v>
      </c>
      <c r="G2069" s="1"/>
      <c r="H2069" s="161"/>
      <c r="I2069" s="37"/>
      <c r="J2069" s="135">
        <f t="shared" si="152"/>
        <v>0.76382508261777382</v>
      </c>
      <c r="K2069" s="112"/>
      <c r="L2069" s="37">
        <v>7.4755334926700003</v>
      </c>
      <c r="M2069" s="37" t="s">
        <v>288</v>
      </c>
      <c r="N2069" s="37">
        <v>3336.4019512195118</v>
      </c>
      <c r="O2069" s="130">
        <f t="shared" si="153"/>
        <v>24941.384531351003</v>
      </c>
      <c r="P2069" s="132">
        <f t="shared" si="154"/>
        <v>15001.532467227087</v>
      </c>
      <c r="Q2069" s="261">
        <v>0.78744667303787763</v>
      </c>
      <c r="R2069" s="92"/>
    </row>
    <row r="2070" spans="1:18" x14ac:dyDescent="0.25">
      <c r="A2070" s="353">
        <v>43216</v>
      </c>
      <c r="B2070" s="353" t="s">
        <v>285</v>
      </c>
      <c r="C2070" s="263" t="s">
        <v>744</v>
      </c>
      <c r="D2070" s="157" t="s">
        <v>724</v>
      </c>
      <c r="E2070" s="44">
        <f t="shared" si="155"/>
        <v>43216</v>
      </c>
      <c r="F2070" s="146" t="str">
        <f t="shared" si="156"/>
        <v>2017-18</v>
      </c>
      <c r="G2070" s="1"/>
      <c r="H2070" s="161"/>
      <c r="I2070" s="37"/>
      <c r="J2070" s="135">
        <f t="shared" si="152"/>
        <v>0.76382508261777382</v>
      </c>
      <c r="K2070" s="112"/>
      <c r="L2070" s="37">
        <v>74.5676874591</v>
      </c>
      <c r="M2070" s="37" t="s">
        <v>288</v>
      </c>
      <c r="N2070" s="37">
        <v>3336.4019512195118</v>
      </c>
      <c r="O2070" s="130">
        <f t="shared" si="153"/>
        <v>248787.77793646796</v>
      </c>
      <c r="P2070" s="132">
        <f t="shared" si="154"/>
        <v>149638.76297532246</v>
      </c>
      <c r="Q2070" s="261">
        <v>0.78744667303787763</v>
      </c>
      <c r="R2070" s="92"/>
    </row>
    <row r="2071" spans="1:18" x14ac:dyDescent="0.25">
      <c r="A2071" s="353">
        <v>43216</v>
      </c>
      <c r="B2071" s="353" t="s">
        <v>285</v>
      </c>
      <c r="C2071" s="263" t="s">
        <v>744</v>
      </c>
      <c r="D2071" s="157" t="s">
        <v>724</v>
      </c>
      <c r="E2071" s="44">
        <f t="shared" si="155"/>
        <v>43216</v>
      </c>
      <c r="F2071" s="146" t="str">
        <f t="shared" si="156"/>
        <v>2017-18</v>
      </c>
      <c r="G2071" s="1"/>
      <c r="H2071" s="161"/>
      <c r="I2071" s="37"/>
      <c r="J2071" s="135">
        <f t="shared" si="152"/>
        <v>0.76382508261777382</v>
      </c>
      <c r="K2071" s="112"/>
      <c r="L2071" s="37">
        <v>25.7975196029</v>
      </c>
      <c r="M2071" s="37" t="s">
        <v>288</v>
      </c>
      <c r="N2071" s="37">
        <v>812.22926829268283</v>
      </c>
      <c r="O2071" s="130">
        <f t="shared" si="153"/>
        <v>20953.500470829607</v>
      </c>
      <c r="P2071" s="132">
        <f t="shared" si="154"/>
        <v>12602.933779401612</v>
      </c>
      <c r="Q2071" s="261">
        <v>0.78744667303787763</v>
      </c>
      <c r="R2071" s="92"/>
    </row>
    <row r="2072" spans="1:18" x14ac:dyDescent="0.25">
      <c r="A2072" s="353">
        <v>43216</v>
      </c>
      <c r="B2072" s="353" t="s">
        <v>285</v>
      </c>
      <c r="C2072" s="263" t="s">
        <v>744</v>
      </c>
      <c r="D2072" s="157" t="s">
        <v>724</v>
      </c>
      <c r="E2072" s="44">
        <f t="shared" si="155"/>
        <v>43216</v>
      </c>
      <c r="F2072" s="146" t="str">
        <f t="shared" si="156"/>
        <v>2017-18</v>
      </c>
      <c r="G2072" s="1"/>
      <c r="H2072" s="161"/>
      <c r="I2072" s="37"/>
      <c r="J2072" s="135">
        <f t="shared" si="152"/>
        <v>0.76382508261777382</v>
      </c>
      <c r="K2072" s="112"/>
      <c r="L2072" s="37">
        <v>8.5633994418100006</v>
      </c>
      <c r="M2072" s="37" t="s">
        <v>288</v>
      </c>
      <c r="N2072" s="37">
        <v>3336.4019512195118</v>
      </c>
      <c r="O2072" s="130">
        <f t="shared" si="153"/>
        <v>28570.942606726963</v>
      </c>
      <c r="P2072" s="132">
        <f t="shared" si="154"/>
        <v>17184.608280079301</v>
      </c>
      <c r="Q2072" s="261">
        <v>0.78744667303787763</v>
      </c>
      <c r="R2072" s="92"/>
    </row>
    <row r="2073" spans="1:18" x14ac:dyDescent="0.25">
      <c r="A2073" s="353">
        <v>43216</v>
      </c>
      <c r="B2073" s="353" t="s">
        <v>285</v>
      </c>
      <c r="C2073" s="263" t="s">
        <v>744</v>
      </c>
      <c r="D2073" s="157" t="s">
        <v>724</v>
      </c>
      <c r="E2073" s="44">
        <f t="shared" si="155"/>
        <v>43216</v>
      </c>
      <c r="F2073" s="146" t="str">
        <f t="shared" si="156"/>
        <v>2017-18</v>
      </c>
      <c r="G2073" s="1"/>
      <c r="H2073" s="161"/>
      <c r="I2073" s="37"/>
      <c r="J2073" s="135">
        <f t="shared" si="152"/>
        <v>0.76382508261777382</v>
      </c>
      <c r="K2073" s="112"/>
      <c r="L2073" s="37">
        <v>5.5222170366599999</v>
      </c>
      <c r="M2073" s="37" t="s">
        <v>288</v>
      </c>
      <c r="N2073" s="37">
        <v>812.22926829268283</v>
      </c>
      <c r="O2073" s="130">
        <f t="shared" si="153"/>
        <v>4485.3063030397389</v>
      </c>
      <c r="P2073" s="132">
        <f t="shared" si="154"/>
        <v>2697.7840001596824</v>
      </c>
      <c r="Q2073" s="261">
        <v>0.78744667303787763</v>
      </c>
      <c r="R2073" s="92"/>
    </row>
    <row r="2074" spans="1:18" x14ac:dyDescent="0.25">
      <c r="A2074" s="353">
        <v>43216</v>
      </c>
      <c r="B2074" s="353" t="s">
        <v>285</v>
      </c>
      <c r="C2074" s="263" t="s">
        <v>744</v>
      </c>
      <c r="D2074" s="157" t="s">
        <v>724</v>
      </c>
      <c r="E2074" s="44">
        <f t="shared" si="155"/>
        <v>43216</v>
      </c>
      <c r="F2074" s="146" t="str">
        <f t="shared" si="156"/>
        <v>2017-18</v>
      </c>
      <c r="G2074" s="1"/>
      <c r="H2074" s="161"/>
      <c r="I2074" s="37"/>
      <c r="J2074" s="135">
        <f t="shared" ref="J2074:J2137" si="157">J2073</f>
        <v>0.76382508261777382</v>
      </c>
      <c r="K2074" s="112"/>
      <c r="L2074" s="37">
        <v>53.436718012</v>
      </c>
      <c r="M2074" s="37" t="s">
        <v>288</v>
      </c>
      <c r="N2074" s="37">
        <v>812.22926829268283</v>
      </c>
      <c r="O2074" s="130">
        <f t="shared" ref="O2074:O2137" si="158">IF(N2074="","-",L2074*N2074)</f>
        <v>43402.866370849188</v>
      </c>
      <c r="P2074" s="132">
        <f t="shared" ref="P2074:P2137" si="159">IF(O2074="-","-",IF(OR(E2074&lt;$E$15,E2074&gt;$E$16),0,O2074*J2074))*Q2074</f>
        <v>26105.588012348566</v>
      </c>
      <c r="Q2074" s="261">
        <v>0.78744667303787763</v>
      </c>
      <c r="R2074" s="92"/>
    </row>
    <row r="2075" spans="1:18" x14ac:dyDescent="0.25">
      <c r="A2075" s="353">
        <v>43216</v>
      </c>
      <c r="B2075" s="353" t="s">
        <v>285</v>
      </c>
      <c r="C2075" s="263" t="s">
        <v>744</v>
      </c>
      <c r="D2075" s="157" t="s">
        <v>724</v>
      </c>
      <c r="E2075" s="44">
        <f t="shared" ref="E2075:E2138" si="160">IF(VALUE(A2075)&lt;2022,DATEVALUE("30 Jun "&amp;A2075),A2075)</f>
        <v>43216</v>
      </c>
      <c r="F2075" s="146" t="str">
        <f t="shared" si="156"/>
        <v>2017-18</v>
      </c>
      <c r="G2075" s="1"/>
      <c r="H2075" s="161"/>
      <c r="I2075" s="37"/>
      <c r="J2075" s="135">
        <f t="shared" si="157"/>
        <v>0.76382508261777382</v>
      </c>
      <c r="K2075" s="112"/>
      <c r="L2075" s="37">
        <v>21.395697937400001</v>
      </c>
      <c r="M2075" s="37" t="s">
        <v>288</v>
      </c>
      <c r="N2075" s="37">
        <v>3336.4019512195118</v>
      </c>
      <c r="O2075" s="130">
        <f t="shared" si="158"/>
        <v>71384.648346044647</v>
      </c>
      <c r="P2075" s="132">
        <f t="shared" si="159"/>
        <v>42935.832951803277</v>
      </c>
      <c r="Q2075" s="261">
        <v>0.78744667303787763</v>
      </c>
      <c r="R2075" s="92"/>
    </row>
    <row r="2076" spans="1:18" x14ac:dyDescent="0.25">
      <c r="A2076" s="353">
        <v>43888</v>
      </c>
      <c r="B2076" s="353" t="s">
        <v>285</v>
      </c>
      <c r="C2076" s="263" t="s">
        <v>745</v>
      </c>
      <c r="D2076" s="157" t="s">
        <v>699</v>
      </c>
      <c r="E2076" s="44">
        <f t="shared" si="160"/>
        <v>43888</v>
      </c>
      <c r="F2076" s="146" t="str">
        <f t="shared" si="156"/>
        <v>2019-20</v>
      </c>
      <c r="G2076" s="1"/>
      <c r="H2076" s="161"/>
      <c r="I2076" s="37"/>
      <c r="J2076" s="135">
        <f t="shared" si="157"/>
        <v>0.76382508261777382</v>
      </c>
      <c r="K2076" s="112"/>
      <c r="L2076" s="37">
        <v>22.9226863391</v>
      </c>
      <c r="M2076" s="37" t="s">
        <v>288</v>
      </c>
      <c r="N2076" s="37">
        <v>3875.3912195121943</v>
      </c>
      <c r="O2076" s="130">
        <f t="shared" si="158"/>
        <v>88834.37736618027</v>
      </c>
      <c r="P2076" s="132">
        <f t="shared" si="159"/>
        <v>53566.832406388552</v>
      </c>
      <c r="Q2076" s="261">
        <v>0.78944338014688309</v>
      </c>
      <c r="R2076" s="92"/>
    </row>
    <row r="2077" spans="1:18" x14ac:dyDescent="0.25">
      <c r="A2077" s="353">
        <v>43888</v>
      </c>
      <c r="B2077" s="353" t="s">
        <v>285</v>
      </c>
      <c r="C2077" s="263" t="s">
        <v>745</v>
      </c>
      <c r="D2077" s="157" t="s">
        <v>746</v>
      </c>
      <c r="E2077" s="44">
        <f t="shared" si="160"/>
        <v>43888</v>
      </c>
      <c r="F2077" s="146" t="str">
        <f t="shared" si="156"/>
        <v>2019-20</v>
      </c>
      <c r="G2077" s="1"/>
      <c r="H2077" s="161"/>
      <c r="I2077" s="37"/>
      <c r="J2077" s="135">
        <f t="shared" si="157"/>
        <v>0.76382508261777382</v>
      </c>
      <c r="K2077" s="112"/>
      <c r="L2077" s="37">
        <v>65.050999409699997</v>
      </c>
      <c r="M2077" s="37" t="s">
        <v>288</v>
      </c>
      <c r="N2077" s="37">
        <v>4416.6341463414628</v>
      </c>
      <c r="O2077" s="130">
        <f t="shared" si="158"/>
        <v>287306.46524651936</v>
      </c>
      <c r="P2077" s="132">
        <f t="shared" si="159"/>
        <v>173244.83752155272</v>
      </c>
      <c r="Q2077" s="261">
        <v>0.78944338014688309</v>
      </c>
      <c r="R2077" s="92"/>
    </row>
    <row r="2078" spans="1:18" x14ac:dyDescent="0.25">
      <c r="A2078" s="353">
        <v>43888</v>
      </c>
      <c r="B2078" s="353" t="s">
        <v>285</v>
      </c>
      <c r="C2078" s="263" t="s">
        <v>745</v>
      </c>
      <c r="D2078" s="157" t="s">
        <v>746</v>
      </c>
      <c r="E2078" s="44">
        <f t="shared" si="160"/>
        <v>43888</v>
      </c>
      <c r="F2078" s="146" t="str">
        <f t="shared" si="156"/>
        <v>2019-20</v>
      </c>
      <c r="G2078" s="1"/>
      <c r="H2078" s="161"/>
      <c r="I2078" s="37"/>
      <c r="J2078" s="135">
        <f t="shared" si="157"/>
        <v>0.76382508261777382</v>
      </c>
      <c r="K2078" s="112"/>
      <c r="L2078" s="37">
        <v>165.91438475300001</v>
      </c>
      <c r="M2078" s="37" t="s">
        <v>288</v>
      </c>
      <c r="N2078" s="37">
        <v>4416.6341463414628</v>
      </c>
      <c r="O2078" s="130">
        <f t="shared" si="158"/>
        <v>732783.13706933521</v>
      </c>
      <c r="P2078" s="132">
        <f t="shared" si="159"/>
        <v>441865.78053919598</v>
      </c>
      <c r="Q2078" s="261">
        <v>0.78944338014688309</v>
      </c>
      <c r="R2078" s="92"/>
    </row>
    <row r="2079" spans="1:18" x14ac:dyDescent="0.25">
      <c r="A2079" s="353">
        <v>42629</v>
      </c>
      <c r="B2079" s="353" t="s">
        <v>285</v>
      </c>
      <c r="C2079" s="263" t="s">
        <v>747</v>
      </c>
      <c r="D2079" s="157" t="s">
        <v>728</v>
      </c>
      <c r="E2079" s="44">
        <f t="shared" si="160"/>
        <v>42629</v>
      </c>
      <c r="F2079" s="146" t="str">
        <f t="shared" si="156"/>
        <v>2016-17</v>
      </c>
      <c r="G2079" s="1"/>
      <c r="H2079" s="161"/>
      <c r="I2079" s="37"/>
      <c r="J2079" s="135">
        <f t="shared" si="157"/>
        <v>0.76382508261777382</v>
      </c>
      <c r="K2079" s="112"/>
      <c r="L2079" s="37">
        <v>88.422613293699996</v>
      </c>
      <c r="M2079" s="37" t="s">
        <v>288</v>
      </c>
      <c r="N2079" s="37">
        <v>3592.3639024390236</v>
      </c>
      <c r="O2079" s="130">
        <f t="shared" si="158"/>
        <v>317646.2041556128</v>
      </c>
      <c r="P2079" s="132">
        <f t="shared" si="159"/>
        <v>195451.04023296572</v>
      </c>
      <c r="Q2079" s="261">
        <v>0.80556465077279715</v>
      </c>
      <c r="R2079" s="92"/>
    </row>
    <row r="2080" spans="1:18" x14ac:dyDescent="0.25">
      <c r="A2080" s="353">
        <v>42629</v>
      </c>
      <c r="B2080" s="353" t="s">
        <v>285</v>
      </c>
      <c r="C2080" s="263" t="s">
        <v>747</v>
      </c>
      <c r="D2080" s="157" t="s">
        <v>728</v>
      </c>
      <c r="E2080" s="44">
        <f t="shared" si="160"/>
        <v>42629</v>
      </c>
      <c r="F2080" s="146" t="str">
        <f t="shared" si="156"/>
        <v>2016-17</v>
      </c>
      <c r="G2080" s="1"/>
      <c r="H2080" s="161"/>
      <c r="I2080" s="37"/>
      <c r="J2080" s="135">
        <f t="shared" si="157"/>
        <v>0.76382508261777382</v>
      </c>
      <c r="K2080" s="112"/>
      <c r="L2080" s="37">
        <v>22.7558339333</v>
      </c>
      <c r="M2080" s="37" t="s">
        <v>288</v>
      </c>
      <c r="N2080" s="37">
        <v>3592.3639024390236</v>
      </c>
      <c r="O2080" s="130">
        <f t="shared" si="158"/>
        <v>81747.23639188394</v>
      </c>
      <c r="P2080" s="132">
        <f t="shared" si="159"/>
        <v>50299.931747764735</v>
      </c>
      <c r="Q2080" s="261">
        <v>0.80556465077279715</v>
      </c>
      <c r="R2080" s="92"/>
    </row>
    <row r="2081" spans="1:18" x14ac:dyDescent="0.25">
      <c r="A2081" s="353">
        <v>42629</v>
      </c>
      <c r="B2081" s="353" t="s">
        <v>285</v>
      </c>
      <c r="C2081" s="263" t="s">
        <v>747</v>
      </c>
      <c r="D2081" s="157" t="s">
        <v>728</v>
      </c>
      <c r="E2081" s="44">
        <f t="shared" si="160"/>
        <v>42629</v>
      </c>
      <c r="F2081" s="146" t="str">
        <f t="shared" si="156"/>
        <v>2016-17</v>
      </c>
      <c r="G2081" s="1"/>
      <c r="H2081" s="161"/>
      <c r="I2081" s="37"/>
      <c r="J2081" s="135">
        <f t="shared" si="157"/>
        <v>0.76382508261777382</v>
      </c>
      <c r="K2081" s="112"/>
      <c r="L2081" s="37">
        <v>2.0127006732199999</v>
      </c>
      <c r="M2081" s="37" t="s">
        <v>288</v>
      </c>
      <c r="N2081" s="37">
        <v>3592.3639024390236</v>
      </c>
      <c r="O2081" s="130">
        <f t="shared" si="158"/>
        <v>7230.3532448902488</v>
      </c>
      <c r="P2081" s="132">
        <f t="shared" si="159"/>
        <v>4448.9121685625141</v>
      </c>
      <c r="Q2081" s="261">
        <v>0.80556465077279715</v>
      </c>
      <c r="R2081" s="92"/>
    </row>
    <row r="2082" spans="1:18" x14ac:dyDescent="0.25">
      <c r="A2082" s="353">
        <v>42629</v>
      </c>
      <c r="B2082" s="353" t="s">
        <v>285</v>
      </c>
      <c r="C2082" s="263" t="s">
        <v>747</v>
      </c>
      <c r="D2082" s="157" t="s">
        <v>728</v>
      </c>
      <c r="E2082" s="44">
        <f t="shared" si="160"/>
        <v>42629</v>
      </c>
      <c r="F2082" s="146" t="str">
        <f t="shared" si="156"/>
        <v>2016-17</v>
      </c>
      <c r="G2082" s="1"/>
      <c r="H2082" s="161"/>
      <c r="I2082" s="37"/>
      <c r="J2082" s="135">
        <f t="shared" si="157"/>
        <v>0.76382508261777382</v>
      </c>
      <c r="K2082" s="112"/>
      <c r="L2082" s="37">
        <v>3.59940689559</v>
      </c>
      <c r="M2082" s="37" t="s">
        <v>288</v>
      </c>
      <c r="N2082" s="37">
        <v>3592.3639024390236</v>
      </c>
      <c r="O2082" s="130">
        <f t="shared" si="158"/>
        <v>12930.379401907623</v>
      </c>
      <c r="P2082" s="132">
        <f t="shared" si="159"/>
        <v>7956.198033053377</v>
      </c>
      <c r="Q2082" s="261">
        <v>0.80556465077279715</v>
      </c>
      <c r="R2082" s="92"/>
    </row>
    <row r="2083" spans="1:18" x14ac:dyDescent="0.25">
      <c r="A2083" s="353">
        <v>42629</v>
      </c>
      <c r="B2083" s="353" t="s">
        <v>285</v>
      </c>
      <c r="C2083" s="263" t="s">
        <v>747</v>
      </c>
      <c r="D2083" s="157" t="s">
        <v>728</v>
      </c>
      <c r="E2083" s="44">
        <f t="shared" si="160"/>
        <v>42629</v>
      </c>
      <c r="F2083" s="146" t="str">
        <f t="shared" si="156"/>
        <v>2016-17</v>
      </c>
      <c r="G2083" s="1"/>
      <c r="H2083" s="161"/>
      <c r="I2083" s="37"/>
      <c r="J2083" s="135">
        <f t="shared" si="157"/>
        <v>0.76382508261777382</v>
      </c>
      <c r="K2083" s="112"/>
      <c r="L2083" s="37">
        <v>3.2257782006800002</v>
      </c>
      <c r="M2083" s="37" t="s">
        <v>288</v>
      </c>
      <c r="N2083" s="37">
        <v>3592.3639024390236</v>
      </c>
      <c r="O2083" s="130">
        <f t="shared" si="158"/>
        <v>11588.169165397538</v>
      </c>
      <c r="P2083" s="132">
        <f t="shared" si="159"/>
        <v>7130.3220002054777</v>
      </c>
      <c r="Q2083" s="261">
        <v>0.80556465077279715</v>
      </c>
      <c r="R2083" s="92"/>
    </row>
    <row r="2084" spans="1:18" x14ac:dyDescent="0.25">
      <c r="A2084" s="353">
        <v>43035</v>
      </c>
      <c r="B2084" s="353" t="s">
        <v>285</v>
      </c>
      <c r="C2084" s="263" t="s">
        <v>748</v>
      </c>
      <c r="D2084" s="157" t="s">
        <v>749</v>
      </c>
      <c r="E2084" s="44">
        <f t="shared" si="160"/>
        <v>43035</v>
      </c>
      <c r="F2084" s="146" t="str">
        <f t="shared" si="156"/>
        <v>2017-18</v>
      </c>
      <c r="G2084" s="1"/>
      <c r="H2084" s="161"/>
      <c r="I2084" s="37"/>
      <c r="J2084" s="135">
        <f t="shared" si="157"/>
        <v>0.76382508261777382</v>
      </c>
      <c r="K2084" s="112"/>
      <c r="L2084" s="37">
        <v>57.455720585500003</v>
      </c>
      <c r="M2084" s="37" t="s">
        <v>288</v>
      </c>
      <c r="N2084" s="37">
        <v>4137.5668292682922</v>
      </c>
      <c r="O2084" s="130">
        <f t="shared" si="158"/>
        <v>237726.88364627218</v>
      </c>
      <c r="P2084" s="132">
        <f t="shared" si="159"/>
        <v>146319.27173888677</v>
      </c>
      <c r="Q2084" s="261">
        <v>0.80580381270505907</v>
      </c>
      <c r="R2084" s="92"/>
    </row>
    <row r="2085" spans="1:18" x14ac:dyDescent="0.25">
      <c r="A2085" s="353">
        <v>43035</v>
      </c>
      <c r="B2085" s="353" t="s">
        <v>285</v>
      </c>
      <c r="C2085" s="263" t="s">
        <v>748</v>
      </c>
      <c r="D2085" s="157" t="s">
        <v>749</v>
      </c>
      <c r="E2085" s="44">
        <f t="shared" si="160"/>
        <v>43035</v>
      </c>
      <c r="F2085" s="146" t="str">
        <f t="shared" si="156"/>
        <v>2017-18</v>
      </c>
      <c r="G2085" s="1"/>
      <c r="H2085" s="161"/>
      <c r="I2085" s="37"/>
      <c r="J2085" s="135">
        <f t="shared" si="157"/>
        <v>0.76382508261777382</v>
      </c>
      <c r="K2085" s="112"/>
      <c r="L2085" s="37">
        <v>40.587242983499998</v>
      </c>
      <c r="M2085" s="37" t="s">
        <v>288</v>
      </c>
      <c r="N2085" s="37">
        <v>1361.4565853658535</v>
      </c>
      <c r="O2085" s="130">
        <f t="shared" si="158"/>
        <v>55257.7692417301</v>
      </c>
      <c r="P2085" s="132">
        <f t="shared" si="159"/>
        <v>34010.779215849914</v>
      </c>
      <c r="Q2085" s="261">
        <v>0.80580381270505907</v>
      </c>
      <c r="R2085" s="92"/>
    </row>
    <row r="2086" spans="1:18" x14ac:dyDescent="0.25">
      <c r="A2086" s="353">
        <v>43035</v>
      </c>
      <c r="B2086" s="353" t="s">
        <v>285</v>
      </c>
      <c r="C2086" s="263" t="s">
        <v>748</v>
      </c>
      <c r="D2086" s="157" t="s">
        <v>701</v>
      </c>
      <c r="E2086" s="44">
        <f t="shared" si="160"/>
        <v>43035</v>
      </c>
      <c r="F2086" s="146" t="str">
        <f t="shared" si="156"/>
        <v>2017-18</v>
      </c>
      <c r="G2086" s="1"/>
      <c r="H2086" s="161"/>
      <c r="I2086" s="37"/>
      <c r="J2086" s="135">
        <f t="shared" si="157"/>
        <v>0.76382508261777382</v>
      </c>
      <c r="K2086" s="112"/>
      <c r="L2086" s="37">
        <v>61.491976850599997</v>
      </c>
      <c r="M2086" s="37" t="s">
        <v>288</v>
      </c>
      <c r="N2086" s="37">
        <v>950.87219512195099</v>
      </c>
      <c r="O2086" s="130">
        <f t="shared" si="158"/>
        <v>58471.011010318216</v>
      </c>
      <c r="P2086" s="132">
        <f t="shared" si="159"/>
        <v>35988.507558094803</v>
      </c>
      <c r="Q2086" s="261">
        <v>0.80580381270505907</v>
      </c>
      <c r="R2086" s="92"/>
    </row>
    <row r="2087" spans="1:18" x14ac:dyDescent="0.25">
      <c r="A2087" s="353">
        <v>43035</v>
      </c>
      <c r="B2087" s="353" t="s">
        <v>285</v>
      </c>
      <c r="C2087" s="263" t="s">
        <v>748</v>
      </c>
      <c r="D2087" s="157" t="s">
        <v>701</v>
      </c>
      <c r="E2087" s="44">
        <f t="shared" si="160"/>
        <v>43035</v>
      </c>
      <c r="F2087" s="146" t="str">
        <f t="shared" si="156"/>
        <v>2017-18</v>
      </c>
      <c r="G2087" s="1"/>
      <c r="H2087" s="161"/>
      <c r="I2087" s="37"/>
      <c r="J2087" s="135">
        <f t="shared" si="157"/>
        <v>0.76382508261777382</v>
      </c>
      <c r="K2087" s="112"/>
      <c r="L2087" s="37">
        <v>15.229856204200001</v>
      </c>
      <c r="M2087" s="37" t="s">
        <v>288</v>
      </c>
      <c r="N2087" s="37">
        <v>950.87219512195099</v>
      </c>
      <c r="O2087" s="130">
        <f t="shared" si="158"/>
        <v>14481.646800279319</v>
      </c>
      <c r="P2087" s="132">
        <f t="shared" si="159"/>
        <v>8913.3546063286267</v>
      </c>
      <c r="Q2087" s="261">
        <v>0.80580381270505907</v>
      </c>
      <c r="R2087" s="92"/>
    </row>
    <row r="2088" spans="1:18" x14ac:dyDescent="0.25">
      <c r="A2088" s="353">
        <v>43035</v>
      </c>
      <c r="B2088" s="353" t="s">
        <v>285</v>
      </c>
      <c r="C2088" s="263" t="s">
        <v>748</v>
      </c>
      <c r="D2088" s="157" t="s">
        <v>701</v>
      </c>
      <c r="E2088" s="44">
        <f t="shared" si="160"/>
        <v>43035</v>
      </c>
      <c r="F2088" s="146" t="str">
        <f t="shared" si="156"/>
        <v>2017-18</v>
      </c>
      <c r="G2088" s="1"/>
      <c r="H2088" s="161"/>
      <c r="I2088" s="37"/>
      <c r="J2088" s="135">
        <f t="shared" si="157"/>
        <v>0.76382508261777382</v>
      </c>
      <c r="K2088" s="112"/>
      <c r="L2088" s="37">
        <v>27.362547396</v>
      </c>
      <c r="M2088" s="37" t="s">
        <v>288</v>
      </c>
      <c r="N2088" s="37">
        <v>950.87219512195099</v>
      </c>
      <c r="O2088" s="130">
        <f t="shared" si="158"/>
        <v>26018.285506562945</v>
      </c>
      <c r="P2088" s="132">
        <f t="shared" si="159"/>
        <v>16014.076863428483</v>
      </c>
      <c r="Q2088" s="261">
        <v>0.80580381270505907</v>
      </c>
      <c r="R2088" s="92"/>
    </row>
    <row r="2089" spans="1:18" x14ac:dyDescent="0.25">
      <c r="A2089" s="353">
        <v>43035</v>
      </c>
      <c r="B2089" s="353" t="s">
        <v>285</v>
      </c>
      <c r="C2089" s="263" t="s">
        <v>748</v>
      </c>
      <c r="D2089" s="157" t="s">
        <v>749</v>
      </c>
      <c r="E2089" s="44">
        <f t="shared" si="160"/>
        <v>43035</v>
      </c>
      <c r="F2089" s="146" t="str">
        <f t="shared" si="156"/>
        <v>2017-18</v>
      </c>
      <c r="G2089" s="1"/>
      <c r="H2089" s="161"/>
      <c r="I2089" s="37"/>
      <c r="J2089" s="135">
        <f t="shared" si="157"/>
        <v>0.76382508261777382</v>
      </c>
      <c r="K2089" s="112"/>
      <c r="L2089" s="37">
        <v>108.646510929</v>
      </c>
      <c r="M2089" s="37" t="s">
        <v>288</v>
      </c>
      <c r="N2089" s="37">
        <v>1361.4565853658535</v>
      </c>
      <c r="O2089" s="130">
        <f t="shared" si="158"/>
        <v>147917.50778131021</v>
      </c>
      <c r="P2089" s="132">
        <f t="shared" si="159"/>
        <v>91042.214847676165</v>
      </c>
      <c r="Q2089" s="261">
        <v>0.80580381270505907</v>
      </c>
      <c r="R2089" s="92"/>
    </row>
    <row r="2090" spans="1:18" x14ac:dyDescent="0.25">
      <c r="A2090" s="353">
        <v>43035</v>
      </c>
      <c r="B2090" s="353" t="s">
        <v>285</v>
      </c>
      <c r="C2090" s="263" t="s">
        <v>748</v>
      </c>
      <c r="D2090" s="157" t="s">
        <v>701</v>
      </c>
      <c r="E2090" s="44">
        <f t="shared" si="160"/>
        <v>43035</v>
      </c>
      <c r="F2090" s="146" t="str">
        <f t="shared" si="156"/>
        <v>2017-18</v>
      </c>
      <c r="G2090" s="1"/>
      <c r="H2090" s="161"/>
      <c r="I2090" s="37"/>
      <c r="J2090" s="135">
        <f t="shared" si="157"/>
        <v>0.76382508261777382</v>
      </c>
      <c r="K2090" s="112"/>
      <c r="L2090" s="37">
        <v>59.956737111000002</v>
      </c>
      <c r="M2090" s="37" t="s">
        <v>288</v>
      </c>
      <c r="N2090" s="37">
        <v>1162.6195121951216</v>
      </c>
      <c r="O2090" s="130">
        <f t="shared" si="158"/>
        <v>69706.872452801967</v>
      </c>
      <c r="P2090" s="132">
        <f t="shared" si="159"/>
        <v>42904.103465495413</v>
      </c>
      <c r="Q2090" s="261">
        <v>0.80580381270505907</v>
      </c>
      <c r="R2090" s="92"/>
    </row>
    <row r="2091" spans="1:18" x14ac:dyDescent="0.25">
      <c r="A2091" s="353">
        <v>43035</v>
      </c>
      <c r="B2091" s="353" t="s">
        <v>285</v>
      </c>
      <c r="C2091" s="263" t="s">
        <v>748</v>
      </c>
      <c r="D2091" s="157" t="s">
        <v>701</v>
      </c>
      <c r="E2091" s="44">
        <f t="shared" si="160"/>
        <v>43035</v>
      </c>
      <c r="F2091" s="146" t="str">
        <f t="shared" si="156"/>
        <v>2017-18</v>
      </c>
      <c r="G2091" s="1"/>
      <c r="H2091" s="161"/>
      <c r="I2091" s="37"/>
      <c r="J2091" s="135">
        <f t="shared" si="157"/>
        <v>0.76382508261777382</v>
      </c>
      <c r="K2091" s="112"/>
      <c r="L2091" s="37">
        <v>35.784963462299999</v>
      </c>
      <c r="M2091" s="37" t="s">
        <v>288</v>
      </c>
      <c r="N2091" s="37">
        <v>950.87219512195099</v>
      </c>
      <c r="O2091" s="130">
        <f t="shared" si="158"/>
        <v>34026.92675975601</v>
      </c>
      <c r="P2091" s="132">
        <f t="shared" si="159"/>
        <v>20943.340806200868</v>
      </c>
      <c r="Q2091" s="261">
        <v>0.80580381270505907</v>
      </c>
      <c r="R2091" s="92"/>
    </row>
    <row r="2092" spans="1:18" x14ac:dyDescent="0.25">
      <c r="A2092" s="353">
        <v>43035</v>
      </c>
      <c r="B2092" s="353" t="s">
        <v>285</v>
      </c>
      <c r="C2092" s="263" t="s">
        <v>748</v>
      </c>
      <c r="D2092" s="157" t="s">
        <v>701</v>
      </c>
      <c r="E2092" s="44">
        <f t="shared" si="160"/>
        <v>43035</v>
      </c>
      <c r="F2092" s="146" t="str">
        <f t="shared" si="156"/>
        <v>2017-18</v>
      </c>
      <c r="G2092" s="1"/>
      <c r="H2092" s="161"/>
      <c r="I2092" s="37"/>
      <c r="J2092" s="135">
        <f t="shared" si="157"/>
        <v>0.76382508261777382</v>
      </c>
      <c r="K2092" s="112"/>
      <c r="L2092" s="37">
        <v>27.701077307599999</v>
      </c>
      <c r="M2092" s="37" t="s">
        <v>288</v>
      </c>
      <c r="N2092" s="37">
        <v>950.87219512195099</v>
      </c>
      <c r="O2092" s="130">
        <f t="shared" si="158"/>
        <v>26340.184186720475</v>
      </c>
      <c r="P2092" s="132">
        <f t="shared" si="159"/>
        <v>16212.203300505922</v>
      </c>
      <c r="Q2092" s="261">
        <v>0.80580381270505907</v>
      </c>
      <c r="R2092" s="92"/>
    </row>
    <row r="2093" spans="1:18" x14ac:dyDescent="0.25">
      <c r="A2093" s="353">
        <v>43035</v>
      </c>
      <c r="B2093" s="353" t="s">
        <v>285</v>
      </c>
      <c r="C2093" s="263" t="s">
        <v>748</v>
      </c>
      <c r="D2093" s="157" t="s">
        <v>701</v>
      </c>
      <c r="E2093" s="44">
        <f t="shared" si="160"/>
        <v>43035</v>
      </c>
      <c r="F2093" s="146" t="str">
        <f t="shared" si="156"/>
        <v>2017-18</v>
      </c>
      <c r="G2093" s="1"/>
      <c r="H2093" s="161"/>
      <c r="I2093" s="37"/>
      <c r="J2093" s="135">
        <f t="shared" si="157"/>
        <v>0.76382508261777382</v>
      </c>
      <c r="K2093" s="112"/>
      <c r="L2093" s="37">
        <v>19.4875758626</v>
      </c>
      <c r="M2093" s="37" t="s">
        <v>288</v>
      </c>
      <c r="N2093" s="37">
        <v>950.87219512195099</v>
      </c>
      <c r="O2093" s="130">
        <f t="shared" si="158"/>
        <v>18530.19403807601</v>
      </c>
      <c r="P2093" s="132">
        <f t="shared" si="159"/>
        <v>11405.207754567136</v>
      </c>
      <c r="Q2093" s="261">
        <v>0.80580381270505907</v>
      </c>
      <c r="R2093" s="92"/>
    </row>
    <row r="2094" spans="1:18" x14ac:dyDescent="0.25">
      <c r="A2094" s="353">
        <v>43035</v>
      </c>
      <c r="B2094" s="353" t="s">
        <v>285</v>
      </c>
      <c r="C2094" s="263" t="s">
        <v>748</v>
      </c>
      <c r="D2094" s="157" t="s">
        <v>701</v>
      </c>
      <c r="E2094" s="44">
        <f t="shared" si="160"/>
        <v>43035</v>
      </c>
      <c r="F2094" s="146" t="str">
        <f t="shared" si="156"/>
        <v>2017-18</v>
      </c>
      <c r="G2094" s="1"/>
      <c r="H2094" s="161"/>
      <c r="I2094" s="37"/>
      <c r="J2094" s="135">
        <f t="shared" si="157"/>
        <v>0.76382508261777382</v>
      </c>
      <c r="K2094" s="112"/>
      <c r="L2094" s="37">
        <v>56.815315162399997</v>
      </c>
      <c r="M2094" s="37" t="s">
        <v>288</v>
      </c>
      <c r="N2094" s="37">
        <v>3592.3639024390236</v>
      </c>
      <c r="O2094" s="130">
        <f t="shared" si="158"/>
        <v>204101.28729510229</v>
      </c>
      <c r="P2094" s="132">
        <f t="shared" si="159"/>
        <v>125622.94705560099</v>
      </c>
      <c r="Q2094" s="261">
        <v>0.80580381270505907</v>
      </c>
      <c r="R2094" s="92"/>
    </row>
    <row r="2095" spans="1:18" x14ac:dyDescent="0.25">
      <c r="A2095" s="353">
        <v>43035</v>
      </c>
      <c r="B2095" s="353" t="s">
        <v>285</v>
      </c>
      <c r="C2095" s="263" t="s">
        <v>748</v>
      </c>
      <c r="D2095" s="157" t="s">
        <v>701</v>
      </c>
      <c r="E2095" s="44">
        <f t="shared" si="160"/>
        <v>43035</v>
      </c>
      <c r="F2095" s="146" t="str">
        <f t="shared" si="156"/>
        <v>2017-18</v>
      </c>
      <c r="G2095" s="1"/>
      <c r="H2095" s="161"/>
      <c r="I2095" s="37"/>
      <c r="J2095" s="135">
        <f t="shared" si="157"/>
        <v>0.76382508261777382</v>
      </c>
      <c r="K2095" s="112"/>
      <c r="L2095" s="37">
        <v>52.945214042400004</v>
      </c>
      <c r="M2095" s="37" t="s">
        <v>288</v>
      </c>
      <c r="N2095" s="37">
        <v>1162.6195121951216</v>
      </c>
      <c r="O2095" s="130">
        <f t="shared" si="158"/>
        <v>61555.138923041392</v>
      </c>
      <c r="P2095" s="132">
        <f t="shared" si="159"/>
        <v>37886.767204701267</v>
      </c>
      <c r="Q2095" s="261">
        <v>0.80580381270505907</v>
      </c>
      <c r="R2095" s="92"/>
    </row>
    <row r="2096" spans="1:18" x14ac:dyDescent="0.25">
      <c r="A2096" s="353">
        <v>43035</v>
      </c>
      <c r="B2096" s="353" t="s">
        <v>285</v>
      </c>
      <c r="C2096" s="263" t="s">
        <v>748</v>
      </c>
      <c r="D2096" s="157" t="s">
        <v>701</v>
      </c>
      <c r="E2096" s="44">
        <f t="shared" si="160"/>
        <v>43035</v>
      </c>
      <c r="F2096" s="146" t="str">
        <f t="shared" si="156"/>
        <v>2017-18</v>
      </c>
      <c r="G2096" s="1"/>
      <c r="H2096" s="161"/>
      <c r="I2096" s="37"/>
      <c r="J2096" s="135">
        <f t="shared" si="157"/>
        <v>0.76382508261777382</v>
      </c>
      <c r="K2096" s="112"/>
      <c r="L2096" s="37">
        <v>111.113843827</v>
      </c>
      <c r="M2096" s="37" t="s">
        <v>288</v>
      </c>
      <c r="N2096" s="37">
        <v>3875.3912195121943</v>
      </c>
      <c r="O2096" s="130">
        <f t="shared" si="158"/>
        <v>430609.614733405</v>
      </c>
      <c r="P2096" s="132">
        <f t="shared" si="159"/>
        <v>265037.27414062887</v>
      </c>
      <c r="Q2096" s="261">
        <v>0.80580381270505907</v>
      </c>
      <c r="R2096" s="92"/>
    </row>
    <row r="2097" spans="1:18" x14ac:dyDescent="0.25">
      <c r="A2097" s="353">
        <v>43035</v>
      </c>
      <c r="B2097" s="353" t="s">
        <v>285</v>
      </c>
      <c r="C2097" s="263" t="s">
        <v>748</v>
      </c>
      <c r="D2097" s="157" t="s">
        <v>749</v>
      </c>
      <c r="E2097" s="44">
        <f t="shared" si="160"/>
        <v>43035</v>
      </c>
      <c r="F2097" s="146" t="str">
        <f t="shared" si="156"/>
        <v>2017-18</v>
      </c>
      <c r="G2097" s="1"/>
      <c r="H2097" s="161"/>
      <c r="I2097" s="37"/>
      <c r="J2097" s="135">
        <f t="shared" si="157"/>
        <v>0.76382508261777382</v>
      </c>
      <c r="K2097" s="112"/>
      <c r="L2097" s="37">
        <v>39.589949343199997</v>
      </c>
      <c r="M2097" s="37" t="s">
        <v>288</v>
      </c>
      <c r="N2097" s="37">
        <v>1361.4565853658535</v>
      </c>
      <c r="O2097" s="130">
        <f t="shared" si="158"/>
        <v>53899.997247600179</v>
      </c>
      <c r="P2097" s="132">
        <f t="shared" si="159"/>
        <v>33175.079835445991</v>
      </c>
      <c r="Q2097" s="261">
        <v>0.80580381270505907</v>
      </c>
      <c r="R2097" s="92"/>
    </row>
    <row r="2098" spans="1:18" x14ac:dyDescent="0.25">
      <c r="A2098" s="353">
        <v>43035</v>
      </c>
      <c r="B2098" s="353" t="s">
        <v>285</v>
      </c>
      <c r="C2098" s="263" t="s">
        <v>748</v>
      </c>
      <c r="D2098" s="157" t="s">
        <v>749</v>
      </c>
      <c r="E2098" s="44">
        <f t="shared" si="160"/>
        <v>43035</v>
      </c>
      <c r="F2098" s="146" t="str">
        <f t="shared" si="156"/>
        <v>2017-18</v>
      </c>
      <c r="G2098" s="1"/>
      <c r="H2098" s="161"/>
      <c r="I2098" s="37"/>
      <c r="J2098" s="135">
        <f t="shared" si="157"/>
        <v>0.76382508261777382</v>
      </c>
      <c r="K2098" s="112"/>
      <c r="L2098" s="37">
        <v>78.048689040900001</v>
      </c>
      <c r="M2098" s="37" t="s">
        <v>288</v>
      </c>
      <c r="N2098" s="37">
        <v>1361.4565853658535</v>
      </c>
      <c r="O2098" s="130">
        <f t="shared" si="158"/>
        <v>106259.90167390503</v>
      </c>
      <c r="P2098" s="132">
        <f t="shared" si="159"/>
        <v>65402.243067746989</v>
      </c>
      <c r="Q2098" s="261">
        <v>0.80580381270505907</v>
      </c>
      <c r="R2098" s="92"/>
    </row>
    <row r="2099" spans="1:18" x14ac:dyDescent="0.25">
      <c r="A2099" s="353">
        <v>43165</v>
      </c>
      <c r="B2099" s="353" t="s">
        <v>285</v>
      </c>
      <c r="C2099" s="263" t="s">
        <v>750</v>
      </c>
      <c r="D2099" s="157" t="s">
        <v>716</v>
      </c>
      <c r="E2099" s="44">
        <f t="shared" si="160"/>
        <v>43165</v>
      </c>
      <c r="F2099" s="146" t="str">
        <f t="shared" si="156"/>
        <v>2017-18</v>
      </c>
      <c r="G2099" s="1"/>
      <c r="H2099" s="161"/>
      <c r="I2099" s="37"/>
      <c r="J2099" s="135">
        <f t="shared" si="157"/>
        <v>0.76382508261777382</v>
      </c>
      <c r="K2099" s="112"/>
      <c r="L2099" s="37">
        <v>59.101711541500002</v>
      </c>
      <c r="M2099" s="37" t="s">
        <v>288</v>
      </c>
      <c r="N2099" s="37">
        <v>3592.3639024390236</v>
      </c>
      <c r="O2099" s="130">
        <f t="shared" si="158"/>
        <v>212314.85511404843</v>
      </c>
      <c r="P2099" s="132">
        <f t="shared" si="159"/>
        <v>131660.57304972879</v>
      </c>
      <c r="Q2099" s="261">
        <v>0.81186055933173418</v>
      </c>
      <c r="R2099" s="92"/>
    </row>
    <row r="2100" spans="1:18" x14ac:dyDescent="0.25">
      <c r="A2100" s="353">
        <v>43165</v>
      </c>
      <c r="B2100" s="353" t="s">
        <v>285</v>
      </c>
      <c r="C2100" s="263" t="s">
        <v>750</v>
      </c>
      <c r="D2100" s="157" t="s">
        <v>716</v>
      </c>
      <c r="E2100" s="44">
        <f t="shared" si="160"/>
        <v>43165</v>
      </c>
      <c r="F2100" s="146" t="str">
        <f t="shared" si="156"/>
        <v>2017-18</v>
      </c>
      <c r="G2100" s="1"/>
      <c r="H2100" s="161"/>
      <c r="I2100" s="37"/>
      <c r="J2100" s="135">
        <f t="shared" si="157"/>
        <v>0.76382508261777382</v>
      </c>
      <c r="K2100" s="112"/>
      <c r="L2100" s="37">
        <v>59.1525688475</v>
      </c>
      <c r="M2100" s="37" t="s">
        <v>288</v>
      </c>
      <c r="N2100" s="37">
        <v>3592.3639024390236</v>
      </c>
      <c r="O2100" s="130">
        <f t="shared" si="158"/>
        <v>212497.55306429812</v>
      </c>
      <c r="P2100" s="132">
        <f t="shared" si="159"/>
        <v>131773.86760376251</v>
      </c>
      <c r="Q2100" s="261">
        <v>0.81186055933173418</v>
      </c>
      <c r="R2100" s="92"/>
    </row>
    <row r="2101" spans="1:18" x14ac:dyDescent="0.25">
      <c r="A2101" s="353">
        <v>43165</v>
      </c>
      <c r="B2101" s="353" t="s">
        <v>285</v>
      </c>
      <c r="C2101" s="263" t="s">
        <v>750</v>
      </c>
      <c r="D2101" s="157" t="s">
        <v>716</v>
      </c>
      <c r="E2101" s="44">
        <f t="shared" si="160"/>
        <v>43165</v>
      </c>
      <c r="F2101" s="146" t="str">
        <f t="shared" si="156"/>
        <v>2017-18</v>
      </c>
      <c r="G2101" s="1"/>
      <c r="H2101" s="161"/>
      <c r="I2101" s="37"/>
      <c r="J2101" s="135">
        <f t="shared" si="157"/>
        <v>0.76382508261777382</v>
      </c>
      <c r="K2101" s="112"/>
      <c r="L2101" s="37">
        <v>114.161263441</v>
      </c>
      <c r="M2101" s="37" t="s">
        <v>288</v>
      </c>
      <c r="N2101" s="37">
        <v>3592.3639024390236</v>
      </c>
      <c r="O2101" s="130">
        <f t="shared" si="158"/>
        <v>410108.8018422802</v>
      </c>
      <c r="P2101" s="132">
        <f t="shared" si="159"/>
        <v>254316.44824987816</v>
      </c>
      <c r="Q2101" s="261">
        <v>0.81186055933173418</v>
      </c>
      <c r="R2101" s="92"/>
    </row>
    <row r="2102" spans="1:18" x14ac:dyDescent="0.25">
      <c r="A2102" s="353">
        <v>41893</v>
      </c>
      <c r="B2102" s="353" t="s">
        <v>285</v>
      </c>
      <c r="C2102" s="263" t="s">
        <v>751</v>
      </c>
      <c r="D2102" s="157" t="s">
        <v>727</v>
      </c>
      <c r="E2102" s="44">
        <f t="shared" si="160"/>
        <v>41893</v>
      </c>
      <c r="F2102" s="146" t="str">
        <f t="shared" si="156"/>
        <v>2014-15</v>
      </c>
      <c r="G2102" s="1"/>
      <c r="H2102" s="161"/>
      <c r="I2102" s="37"/>
      <c r="J2102" s="135">
        <f t="shared" si="157"/>
        <v>0.76382508261777382</v>
      </c>
      <c r="K2102" s="112"/>
      <c r="L2102" s="37">
        <v>92.500017317399994</v>
      </c>
      <c r="M2102" s="37" t="s">
        <v>288</v>
      </c>
      <c r="N2102" s="37">
        <v>3875.3912195121943</v>
      </c>
      <c r="O2102" s="130">
        <f t="shared" si="158"/>
        <v>358473.75491657783</v>
      </c>
      <c r="P2102" s="132">
        <f t="shared" si="159"/>
        <v>233759.6076371652</v>
      </c>
      <c r="Q2102" s="261">
        <v>0.85372537289252426</v>
      </c>
      <c r="R2102" s="92"/>
    </row>
    <row r="2103" spans="1:18" x14ac:dyDescent="0.25">
      <c r="A2103" s="353">
        <v>41893</v>
      </c>
      <c r="B2103" s="353" t="s">
        <v>285</v>
      </c>
      <c r="C2103" s="263" t="s">
        <v>751</v>
      </c>
      <c r="D2103" s="157" t="s">
        <v>727</v>
      </c>
      <c r="E2103" s="44">
        <f t="shared" si="160"/>
        <v>41893</v>
      </c>
      <c r="F2103" s="146" t="str">
        <f t="shared" si="156"/>
        <v>2014-15</v>
      </c>
      <c r="G2103" s="1"/>
      <c r="H2103" s="161"/>
      <c r="I2103" s="37"/>
      <c r="J2103" s="135">
        <f t="shared" si="157"/>
        <v>0.76382508261777382</v>
      </c>
      <c r="K2103" s="112"/>
      <c r="L2103" s="37">
        <v>45.519306947700002</v>
      </c>
      <c r="M2103" s="37" t="s">
        <v>288</v>
      </c>
      <c r="N2103" s="37">
        <v>3875.3912195121943</v>
      </c>
      <c r="O2103" s="130">
        <f t="shared" si="158"/>
        <v>176405.12246339701</v>
      </c>
      <c r="P2103" s="132">
        <f t="shared" si="159"/>
        <v>115033.22529658017</v>
      </c>
      <c r="Q2103" s="261">
        <v>0.85372537289252426</v>
      </c>
      <c r="R2103" s="92"/>
    </row>
    <row r="2104" spans="1:18" x14ac:dyDescent="0.25">
      <c r="A2104" s="353">
        <v>41893</v>
      </c>
      <c r="B2104" s="353" t="s">
        <v>285</v>
      </c>
      <c r="C2104" s="263" t="s">
        <v>751</v>
      </c>
      <c r="D2104" s="157" t="s">
        <v>727</v>
      </c>
      <c r="E2104" s="44">
        <f t="shared" si="160"/>
        <v>41893</v>
      </c>
      <c r="F2104" s="146" t="str">
        <f t="shared" si="156"/>
        <v>2014-15</v>
      </c>
      <c r="G2104" s="1"/>
      <c r="H2104" s="161"/>
      <c r="I2104" s="37"/>
      <c r="J2104" s="135">
        <f t="shared" si="157"/>
        <v>0.76382508261777382</v>
      </c>
      <c r="K2104" s="112"/>
      <c r="L2104" s="37">
        <v>58.738765129999997</v>
      </c>
      <c r="M2104" s="37" t="s">
        <v>288</v>
      </c>
      <c r="N2104" s="37">
        <v>3592.3639024390236</v>
      </c>
      <c r="O2104" s="130">
        <f t="shared" si="158"/>
        <v>211011.01952685602</v>
      </c>
      <c r="P2104" s="132">
        <f t="shared" si="159"/>
        <v>137599.62188360182</v>
      </c>
      <c r="Q2104" s="261">
        <v>0.85372537289252426</v>
      </c>
      <c r="R2104" s="92"/>
    </row>
    <row r="2105" spans="1:18" x14ac:dyDescent="0.25">
      <c r="A2105" s="353">
        <v>41893</v>
      </c>
      <c r="B2105" s="353" t="s">
        <v>285</v>
      </c>
      <c r="C2105" s="263" t="s">
        <v>751</v>
      </c>
      <c r="D2105" s="157" t="s">
        <v>727</v>
      </c>
      <c r="E2105" s="44">
        <f t="shared" si="160"/>
        <v>41893</v>
      </c>
      <c r="F2105" s="146" t="str">
        <f t="shared" si="156"/>
        <v>2014-15</v>
      </c>
      <c r="G2105" s="1"/>
      <c r="H2105" s="161"/>
      <c r="I2105" s="37"/>
      <c r="J2105" s="135">
        <f t="shared" si="157"/>
        <v>0.76382508261777382</v>
      </c>
      <c r="K2105" s="112"/>
      <c r="L2105" s="37">
        <v>92.638870037100006</v>
      </c>
      <c r="M2105" s="37" t="s">
        <v>288</v>
      </c>
      <c r="N2105" s="37">
        <v>3875.3912195121943</v>
      </c>
      <c r="O2105" s="130">
        <f t="shared" si="158"/>
        <v>359011.86352730868</v>
      </c>
      <c r="P2105" s="132">
        <f t="shared" si="159"/>
        <v>234110.50656905465</v>
      </c>
      <c r="Q2105" s="261">
        <v>0.85372537289252426</v>
      </c>
      <c r="R2105" s="92"/>
    </row>
    <row r="2106" spans="1:18" x14ac:dyDescent="0.25">
      <c r="A2106" s="353">
        <v>41893</v>
      </c>
      <c r="B2106" s="353" t="s">
        <v>285</v>
      </c>
      <c r="C2106" s="263" t="s">
        <v>751</v>
      </c>
      <c r="D2106" s="157" t="s">
        <v>727</v>
      </c>
      <c r="E2106" s="44">
        <f t="shared" si="160"/>
        <v>41893</v>
      </c>
      <c r="F2106" s="146" t="str">
        <f t="shared" si="156"/>
        <v>2014-15</v>
      </c>
      <c r="G2106" s="1"/>
      <c r="H2106" s="161"/>
      <c r="I2106" s="37"/>
      <c r="J2106" s="135">
        <f t="shared" si="157"/>
        <v>0.76382508261777382</v>
      </c>
      <c r="K2106" s="112"/>
      <c r="L2106" s="37">
        <v>24.538436237900001</v>
      </c>
      <c r="M2106" s="37" t="s">
        <v>288</v>
      </c>
      <c r="N2106" s="37">
        <v>3875.3912195121943</v>
      </c>
      <c r="O2106" s="130">
        <f t="shared" si="158"/>
        <v>95096.040336917504</v>
      </c>
      <c r="P2106" s="132">
        <f t="shared" si="159"/>
        <v>62011.828682350904</v>
      </c>
      <c r="Q2106" s="261">
        <v>0.85372537289252426</v>
      </c>
      <c r="R2106" s="92"/>
    </row>
    <row r="2107" spans="1:18" x14ac:dyDescent="0.25">
      <c r="A2107" s="353">
        <v>41893</v>
      </c>
      <c r="B2107" s="353" t="s">
        <v>285</v>
      </c>
      <c r="C2107" s="263" t="s">
        <v>751</v>
      </c>
      <c r="D2107" s="157" t="s">
        <v>727</v>
      </c>
      <c r="E2107" s="44">
        <f t="shared" si="160"/>
        <v>41893</v>
      </c>
      <c r="F2107" s="146" t="str">
        <f t="shared" ref="F2107:F2170" si="161">IF(E2107="","-",IF(OR(E2107&lt;$E$15,E2107&gt;$E$16),"ERROR - date outside of range",IF(MONTH(E2107)&gt;=7,YEAR(E2107)&amp;"-"&amp;IF(YEAR(E2107)=1999,"00",IF(AND(YEAR(E2107)&gt;=2000,YEAR(E2107)&lt;2009),"0","")&amp;RIGHT(YEAR(E2107),2)+1),RIGHT(YEAR(E2107),4)-1&amp;"-"&amp;RIGHT(YEAR(E2107),2))))</f>
        <v>2014-15</v>
      </c>
      <c r="G2107" s="1"/>
      <c r="H2107" s="161"/>
      <c r="I2107" s="37"/>
      <c r="J2107" s="135">
        <f t="shared" si="157"/>
        <v>0.76382508261777382</v>
      </c>
      <c r="K2107" s="112"/>
      <c r="L2107" s="37">
        <v>108.62273302200001</v>
      </c>
      <c r="M2107" s="37" t="s">
        <v>288</v>
      </c>
      <c r="N2107" s="37">
        <v>3592.3639024390236</v>
      </c>
      <c r="O2107" s="130">
        <f t="shared" si="158"/>
        <v>390212.38509250415</v>
      </c>
      <c r="P2107" s="132">
        <f t="shared" si="159"/>
        <v>254456.26850873217</v>
      </c>
      <c r="Q2107" s="261">
        <v>0.85372537289252426</v>
      </c>
      <c r="R2107" s="92"/>
    </row>
    <row r="2108" spans="1:18" x14ac:dyDescent="0.25">
      <c r="A2108" s="353">
        <v>41893</v>
      </c>
      <c r="B2108" s="353" t="s">
        <v>285</v>
      </c>
      <c r="C2108" s="263" t="s">
        <v>751</v>
      </c>
      <c r="D2108" s="157" t="s">
        <v>727</v>
      </c>
      <c r="E2108" s="44">
        <f t="shared" si="160"/>
        <v>41893</v>
      </c>
      <c r="F2108" s="146" t="str">
        <f t="shared" si="161"/>
        <v>2014-15</v>
      </c>
      <c r="G2108" s="1"/>
      <c r="H2108" s="161"/>
      <c r="I2108" s="37"/>
      <c r="J2108" s="135">
        <f t="shared" si="157"/>
        <v>0.76382508261777382</v>
      </c>
      <c r="K2108" s="112"/>
      <c r="L2108" s="37">
        <v>77.584335701300006</v>
      </c>
      <c r="M2108" s="37" t="s">
        <v>288</v>
      </c>
      <c r="N2108" s="37">
        <v>3592.3639024390236</v>
      </c>
      <c r="O2108" s="130">
        <f t="shared" si="158"/>
        <v>278711.16696806136</v>
      </c>
      <c r="P2108" s="132">
        <f t="shared" si="159"/>
        <v>181746.67501031465</v>
      </c>
      <c r="Q2108" s="261">
        <v>0.85372537289252426</v>
      </c>
      <c r="R2108" s="92"/>
    </row>
    <row r="2109" spans="1:18" x14ac:dyDescent="0.25">
      <c r="A2109" s="353">
        <v>41893</v>
      </c>
      <c r="B2109" s="353" t="s">
        <v>285</v>
      </c>
      <c r="C2109" s="263" t="s">
        <v>751</v>
      </c>
      <c r="D2109" s="157" t="s">
        <v>727</v>
      </c>
      <c r="E2109" s="44">
        <f t="shared" si="160"/>
        <v>41893</v>
      </c>
      <c r="F2109" s="146" t="str">
        <f t="shared" si="161"/>
        <v>2014-15</v>
      </c>
      <c r="G2109" s="1"/>
      <c r="H2109" s="161"/>
      <c r="I2109" s="37"/>
      <c r="J2109" s="135">
        <f t="shared" si="157"/>
        <v>0.76382508261777382</v>
      </c>
      <c r="K2109" s="112"/>
      <c r="L2109" s="37">
        <v>100.640803744</v>
      </c>
      <c r="M2109" s="37" t="s">
        <v>288</v>
      </c>
      <c r="N2109" s="37">
        <v>3592.3639024390236</v>
      </c>
      <c r="O2109" s="130">
        <f t="shared" si="158"/>
        <v>361538.39048239571</v>
      </c>
      <c r="P2109" s="132">
        <f t="shared" si="159"/>
        <v>235758.04684670569</v>
      </c>
      <c r="Q2109" s="261">
        <v>0.85372537289252426</v>
      </c>
      <c r="R2109" s="92"/>
    </row>
    <row r="2110" spans="1:18" x14ac:dyDescent="0.25">
      <c r="A2110" s="353">
        <v>42509</v>
      </c>
      <c r="B2110" s="353" t="s">
        <v>285</v>
      </c>
      <c r="C2110" s="263" t="s">
        <v>752</v>
      </c>
      <c r="D2110" s="157" t="s">
        <v>701</v>
      </c>
      <c r="E2110" s="44">
        <f t="shared" si="160"/>
        <v>42509</v>
      </c>
      <c r="F2110" s="146" t="str">
        <f t="shared" si="161"/>
        <v>2015-16</v>
      </c>
      <c r="G2110" s="1"/>
      <c r="H2110" s="161"/>
      <c r="I2110" s="37"/>
      <c r="J2110" s="135">
        <f t="shared" si="157"/>
        <v>0.76382508261777382</v>
      </c>
      <c r="K2110" s="112"/>
      <c r="L2110" s="37">
        <v>89.983033542699999</v>
      </c>
      <c r="M2110" s="37" t="s">
        <v>288</v>
      </c>
      <c r="N2110" s="37">
        <v>3336.4019512195118</v>
      </c>
      <c r="O2110" s="130">
        <f t="shared" si="158"/>
        <v>300219.56868851505</v>
      </c>
      <c r="P2110" s="132">
        <f t="shared" si="159"/>
        <v>201712.12096340355</v>
      </c>
      <c r="Q2110" s="261">
        <v>0.87962807761095363</v>
      </c>
      <c r="R2110" s="92"/>
    </row>
    <row r="2111" spans="1:18" x14ac:dyDescent="0.25">
      <c r="A2111" s="353">
        <v>42509</v>
      </c>
      <c r="B2111" s="353" t="s">
        <v>285</v>
      </c>
      <c r="C2111" s="263" t="s">
        <v>752</v>
      </c>
      <c r="D2111" s="157" t="s">
        <v>701</v>
      </c>
      <c r="E2111" s="44">
        <f t="shared" si="160"/>
        <v>42509</v>
      </c>
      <c r="F2111" s="146" t="str">
        <f t="shared" si="161"/>
        <v>2015-16</v>
      </c>
      <c r="G2111" s="1"/>
      <c r="H2111" s="161"/>
      <c r="I2111" s="37"/>
      <c r="J2111" s="135">
        <f t="shared" si="157"/>
        <v>0.76382508261777382</v>
      </c>
      <c r="K2111" s="112"/>
      <c r="L2111" s="37">
        <v>1.70061665286</v>
      </c>
      <c r="M2111" s="37" t="s">
        <v>288</v>
      </c>
      <c r="N2111" s="37">
        <v>812.22926829268283</v>
      </c>
      <c r="O2111" s="130">
        <f t="shared" si="158"/>
        <v>1381.2906195988292</v>
      </c>
      <c r="P2111" s="132">
        <f t="shared" si="159"/>
        <v>928.06428895783176</v>
      </c>
      <c r="Q2111" s="261">
        <v>0.87962807761095363</v>
      </c>
      <c r="R2111" s="92"/>
    </row>
    <row r="2112" spans="1:18" x14ac:dyDescent="0.25">
      <c r="A2112" s="353">
        <v>41610</v>
      </c>
      <c r="B2112" s="353" t="s">
        <v>285</v>
      </c>
      <c r="C2112" s="263" t="s">
        <v>753</v>
      </c>
      <c r="D2112" s="157" t="s">
        <v>728</v>
      </c>
      <c r="E2112" s="44">
        <f t="shared" si="160"/>
        <v>41610</v>
      </c>
      <c r="F2112" s="146" t="str">
        <f t="shared" si="161"/>
        <v>2013-14</v>
      </c>
      <c r="G2112" s="1"/>
      <c r="H2112" s="161"/>
      <c r="I2112" s="37"/>
      <c r="J2112" s="135">
        <f t="shared" si="157"/>
        <v>0.76382508261777382</v>
      </c>
      <c r="K2112" s="112"/>
      <c r="L2112" s="37">
        <v>37.009792039200001</v>
      </c>
      <c r="M2112" s="37" t="s">
        <v>288</v>
      </c>
      <c r="N2112" s="37">
        <v>950.87219512195099</v>
      </c>
      <c r="O2112" s="130">
        <f t="shared" si="158"/>
        <v>35191.582197321011</v>
      </c>
      <c r="P2112" s="132">
        <f t="shared" si="159"/>
        <v>23921.661213163461</v>
      </c>
      <c r="Q2112" s="261">
        <v>0.88993569558325936</v>
      </c>
      <c r="R2112" s="92"/>
    </row>
    <row r="2113" spans="1:18" x14ac:dyDescent="0.25">
      <c r="A2113" s="353">
        <v>41610</v>
      </c>
      <c r="B2113" s="353" t="s">
        <v>285</v>
      </c>
      <c r="C2113" s="263" t="s">
        <v>753</v>
      </c>
      <c r="D2113" s="157" t="s">
        <v>728</v>
      </c>
      <c r="E2113" s="44">
        <f t="shared" si="160"/>
        <v>41610</v>
      </c>
      <c r="F2113" s="146" t="str">
        <f t="shared" si="161"/>
        <v>2013-14</v>
      </c>
      <c r="G2113" s="1"/>
      <c r="H2113" s="161"/>
      <c r="I2113" s="37"/>
      <c r="J2113" s="135">
        <f t="shared" si="157"/>
        <v>0.76382508261777382</v>
      </c>
      <c r="K2113" s="112"/>
      <c r="L2113" s="37">
        <v>26.4529773183</v>
      </c>
      <c r="M2113" s="37" t="s">
        <v>288</v>
      </c>
      <c r="N2113" s="37">
        <v>3592.3639024390236</v>
      </c>
      <c r="O2113" s="130">
        <f t="shared" si="158"/>
        <v>95028.720830299164</v>
      </c>
      <c r="P2113" s="132">
        <f t="shared" si="159"/>
        <v>64596.267723244302</v>
      </c>
      <c r="Q2113" s="261">
        <v>0.88993569558325936</v>
      </c>
      <c r="R2113" s="92"/>
    </row>
    <row r="2114" spans="1:18" x14ac:dyDescent="0.25">
      <c r="A2114" s="353">
        <v>41610</v>
      </c>
      <c r="B2114" s="353" t="s">
        <v>285</v>
      </c>
      <c r="C2114" s="263" t="s">
        <v>753</v>
      </c>
      <c r="D2114" s="157" t="s">
        <v>728</v>
      </c>
      <c r="E2114" s="44">
        <f t="shared" si="160"/>
        <v>41610</v>
      </c>
      <c r="F2114" s="146" t="str">
        <f t="shared" si="161"/>
        <v>2013-14</v>
      </c>
      <c r="G2114" s="1"/>
      <c r="H2114" s="161"/>
      <c r="I2114" s="37"/>
      <c r="J2114" s="135">
        <f t="shared" si="157"/>
        <v>0.76382508261777382</v>
      </c>
      <c r="K2114" s="112"/>
      <c r="L2114" s="37">
        <v>19.273854830099999</v>
      </c>
      <c r="M2114" s="37" t="s">
        <v>288</v>
      </c>
      <c r="N2114" s="37">
        <v>950.87219512195099</v>
      </c>
      <c r="O2114" s="130">
        <f t="shared" si="158"/>
        <v>18326.972650759006</v>
      </c>
      <c r="P2114" s="132">
        <f t="shared" si="159"/>
        <v>12457.85507330056</v>
      </c>
      <c r="Q2114" s="261">
        <v>0.88993569558325936</v>
      </c>
      <c r="R2114" s="92"/>
    </row>
    <row r="2115" spans="1:18" x14ac:dyDescent="0.25">
      <c r="A2115" s="353">
        <v>41610</v>
      </c>
      <c r="B2115" s="353" t="s">
        <v>285</v>
      </c>
      <c r="C2115" s="263" t="s">
        <v>753</v>
      </c>
      <c r="D2115" s="157" t="s">
        <v>728</v>
      </c>
      <c r="E2115" s="44">
        <f t="shared" si="160"/>
        <v>41610</v>
      </c>
      <c r="F2115" s="146" t="str">
        <f t="shared" si="161"/>
        <v>2013-14</v>
      </c>
      <c r="G2115" s="1"/>
      <c r="H2115" s="161"/>
      <c r="I2115" s="37"/>
      <c r="J2115" s="135">
        <f t="shared" si="157"/>
        <v>0.76382508261777382</v>
      </c>
      <c r="K2115" s="112"/>
      <c r="L2115" s="37">
        <v>59.622224530799997</v>
      </c>
      <c r="M2115" s="37" t="s">
        <v>288</v>
      </c>
      <c r="N2115" s="37">
        <v>3875.3912195121943</v>
      </c>
      <c r="O2115" s="130">
        <f t="shared" si="158"/>
        <v>231059.44543444685</v>
      </c>
      <c r="P2115" s="132">
        <f t="shared" si="159"/>
        <v>157063.86097653315</v>
      </c>
      <c r="Q2115" s="261">
        <v>0.88993569558325936</v>
      </c>
      <c r="R2115" s="92"/>
    </row>
    <row r="2116" spans="1:18" x14ac:dyDescent="0.25">
      <c r="A2116" s="353">
        <v>41610</v>
      </c>
      <c r="B2116" s="353" t="s">
        <v>285</v>
      </c>
      <c r="C2116" s="263" t="s">
        <v>753</v>
      </c>
      <c r="D2116" s="157" t="s">
        <v>728</v>
      </c>
      <c r="E2116" s="44">
        <f t="shared" si="160"/>
        <v>41610</v>
      </c>
      <c r="F2116" s="146" t="str">
        <f t="shared" si="161"/>
        <v>2013-14</v>
      </c>
      <c r="G2116" s="1"/>
      <c r="H2116" s="161"/>
      <c r="I2116" s="37"/>
      <c r="J2116" s="135">
        <f t="shared" si="157"/>
        <v>0.76382508261777382</v>
      </c>
      <c r="K2116" s="112"/>
      <c r="L2116" s="37">
        <v>31.981205887200002</v>
      </c>
      <c r="M2116" s="37" t="s">
        <v>288</v>
      </c>
      <c r="N2116" s="37">
        <v>3875.3912195121943</v>
      </c>
      <c r="O2116" s="130">
        <f t="shared" si="158"/>
        <v>123939.68448466658</v>
      </c>
      <c r="P2116" s="132">
        <f t="shared" si="159"/>
        <v>84248.645783657514</v>
      </c>
      <c r="Q2116" s="261">
        <v>0.88993569558325936</v>
      </c>
      <c r="R2116" s="92"/>
    </row>
    <row r="2117" spans="1:18" x14ac:dyDescent="0.25">
      <c r="A2117" s="353">
        <v>41610</v>
      </c>
      <c r="B2117" s="353" t="s">
        <v>285</v>
      </c>
      <c r="C2117" s="263" t="s">
        <v>753</v>
      </c>
      <c r="D2117" s="157" t="s">
        <v>728</v>
      </c>
      <c r="E2117" s="44">
        <f t="shared" si="160"/>
        <v>41610</v>
      </c>
      <c r="F2117" s="146" t="str">
        <f t="shared" si="161"/>
        <v>2013-14</v>
      </c>
      <c r="G2117" s="1"/>
      <c r="H2117" s="161"/>
      <c r="I2117" s="37"/>
      <c r="J2117" s="135">
        <f t="shared" si="157"/>
        <v>0.76382508261777382</v>
      </c>
      <c r="K2117" s="112"/>
      <c r="L2117" s="37">
        <v>97.432870269700004</v>
      </c>
      <c r="M2117" s="37" t="s">
        <v>288</v>
      </c>
      <c r="N2117" s="37">
        <v>1162.6195121951216</v>
      </c>
      <c r="O2117" s="130">
        <f t="shared" si="158"/>
        <v>113277.35610472919</v>
      </c>
      <c r="P2117" s="132">
        <f t="shared" si="159"/>
        <v>77000.872557144932</v>
      </c>
      <c r="Q2117" s="261">
        <v>0.88993569558325936</v>
      </c>
      <c r="R2117" s="92"/>
    </row>
    <row r="2118" spans="1:18" x14ac:dyDescent="0.25">
      <c r="A2118" s="353">
        <v>41610</v>
      </c>
      <c r="B2118" s="353" t="s">
        <v>285</v>
      </c>
      <c r="C2118" s="263" t="s">
        <v>753</v>
      </c>
      <c r="D2118" s="157" t="s">
        <v>728</v>
      </c>
      <c r="E2118" s="44">
        <f t="shared" si="160"/>
        <v>41610</v>
      </c>
      <c r="F2118" s="146" t="str">
        <f t="shared" si="161"/>
        <v>2013-14</v>
      </c>
      <c r="G2118" s="1"/>
      <c r="H2118" s="161"/>
      <c r="I2118" s="37"/>
      <c r="J2118" s="135">
        <f t="shared" si="157"/>
        <v>0.76382508261777382</v>
      </c>
      <c r="K2118" s="112"/>
      <c r="L2118" s="37">
        <v>28.459825807600001</v>
      </c>
      <c r="M2118" s="37" t="s">
        <v>288</v>
      </c>
      <c r="N2118" s="37">
        <v>1162.6195121951216</v>
      </c>
      <c r="O2118" s="130">
        <f t="shared" si="158"/>
        <v>33087.948797590048</v>
      </c>
      <c r="P2118" s="132">
        <f t="shared" si="159"/>
        <v>22491.705457753003</v>
      </c>
      <c r="Q2118" s="261">
        <v>0.88993569558325936</v>
      </c>
      <c r="R2118" s="92"/>
    </row>
    <row r="2119" spans="1:18" x14ac:dyDescent="0.25">
      <c r="A2119" s="353">
        <v>41610</v>
      </c>
      <c r="B2119" s="353" t="s">
        <v>285</v>
      </c>
      <c r="C2119" s="263" t="s">
        <v>753</v>
      </c>
      <c r="D2119" s="157" t="s">
        <v>728</v>
      </c>
      <c r="E2119" s="44">
        <f t="shared" si="160"/>
        <v>41610</v>
      </c>
      <c r="F2119" s="146" t="str">
        <f t="shared" si="161"/>
        <v>2013-14</v>
      </c>
      <c r="G2119" s="1"/>
      <c r="H2119" s="161"/>
      <c r="I2119" s="37"/>
      <c r="J2119" s="135">
        <f t="shared" si="157"/>
        <v>0.76382508261777382</v>
      </c>
      <c r="K2119" s="112"/>
      <c r="L2119" s="37">
        <v>19.964779237399998</v>
      </c>
      <c r="M2119" s="37" t="s">
        <v>288</v>
      </c>
      <c r="N2119" s="37">
        <v>1162.6195121951216</v>
      </c>
      <c r="O2119" s="130">
        <f t="shared" si="158"/>
        <v>23211.441898069279</v>
      </c>
      <c r="P2119" s="132">
        <f t="shared" si="159"/>
        <v>15778.098473700067</v>
      </c>
      <c r="Q2119" s="261">
        <v>0.88993569558325936</v>
      </c>
      <c r="R2119" s="92"/>
    </row>
    <row r="2120" spans="1:18" x14ac:dyDescent="0.25">
      <c r="A2120" s="353">
        <v>41610</v>
      </c>
      <c r="B2120" s="353" t="s">
        <v>285</v>
      </c>
      <c r="C2120" s="263" t="s">
        <v>753</v>
      </c>
      <c r="D2120" s="157" t="s">
        <v>728</v>
      </c>
      <c r="E2120" s="44">
        <f t="shared" si="160"/>
        <v>41610</v>
      </c>
      <c r="F2120" s="146" t="str">
        <f t="shared" si="161"/>
        <v>2013-14</v>
      </c>
      <c r="G2120" s="1"/>
      <c r="H2120" s="161"/>
      <c r="I2120" s="37"/>
      <c r="J2120" s="135">
        <f t="shared" si="157"/>
        <v>0.76382508261777382</v>
      </c>
      <c r="K2120" s="112"/>
      <c r="L2120" s="37">
        <v>63.068588457300002</v>
      </c>
      <c r="M2120" s="37" t="s">
        <v>288</v>
      </c>
      <c r="N2120" s="37">
        <v>1162.6195121951216</v>
      </c>
      <c r="O2120" s="130">
        <f t="shared" si="158"/>
        <v>73324.771547061013</v>
      </c>
      <c r="P2120" s="132">
        <f t="shared" si="159"/>
        <v>49842.895202788852</v>
      </c>
      <c r="Q2120" s="261">
        <v>0.88993569558325936</v>
      </c>
      <c r="R2120" s="92"/>
    </row>
    <row r="2121" spans="1:18" x14ac:dyDescent="0.25">
      <c r="A2121" s="353">
        <v>41610</v>
      </c>
      <c r="B2121" s="353" t="s">
        <v>285</v>
      </c>
      <c r="C2121" s="263" t="s">
        <v>753</v>
      </c>
      <c r="D2121" s="157" t="s">
        <v>728</v>
      </c>
      <c r="E2121" s="44">
        <f t="shared" si="160"/>
        <v>41610</v>
      </c>
      <c r="F2121" s="146" t="str">
        <f t="shared" si="161"/>
        <v>2013-14</v>
      </c>
      <c r="G2121" s="1"/>
      <c r="H2121" s="161"/>
      <c r="I2121" s="37"/>
      <c r="J2121" s="135">
        <f t="shared" si="157"/>
        <v>0.76382508261777382</v>
      </c>
      <c r="K2121" s="112"/>
      <c r="L2121" s="37">
        <v>103.61396286199999</v>
      </c>
      <c r="M2121" s="37" t="s">
        <v>288</v>
      </c>
      <c r="N2121" s="37">
        <v>1162.6195121951216</v>
      </c>
      <c r="O2121" s="130">
        <f t="shared" si="158"/>
        <v>120463.61495922189</v>
      </c>
      <c r="P2121" s="132">
        <f t="shared" si="159"/>
        <v>81885.769426611543</v>
      </c>
      <c r="Q2121" s="261">
        <v>0.88993569558325936</v>
      </c>
      <c r="R2121" s="92"/>
    </row>
    <row r="2122" spans="1:18" x14ac:dyDescent="0.25">
      <c r="A2122" s="353">
        <v>41610</v>
      </c>
      <c r="B2122" s="353" t="s">
        <v>285</v>
      </c>
      <c r="C2122" s="263" t="s">
        <v>753</v>
      </c>
      <c r="D2122" s="157" t="s">
        <v>728</v>
      </c>
      <c r="E2122" s="44">
        <f t="shared" si="160"/>
        <v>41610</v>
      </c>
      <c r="F2122" s="146" t="str">
        <f t="shared" si="161"/>
        <v>2013-14</v>
      </c>
      <c r="G2122" s="1"/>
      <c r="H2122" s="161"/>
      <c r="I2122" s="37"/>
      <c r="J2122" s="135">
        <f t="shared" si="157"/>
        <v>0.76382508261777382</v>
      </c>
      <c r="K2122" s="112"/>
      <c r="L2122" s="37">
        <v>40.307513806999999</v>
      </c>
      <c r="M2122" s="37" t="s">
        <v>288</v>
      </c>
      <c r="N2122" s="37">
        <v>950.87219512195099</v>
      </c>
      <c r="O2122" s="130">
        <f t="shared" si="158"/>
        <v>38327.294133570438</v>
      </c>
      <c r="P2122" s="132">
        <f t="shared" si="159"/>
        <v>26053.177726983118</v>
      </c>
      <c r="Q2122" s="261">
        <v>0.88993569558325936</v>
      </c>
      <c r="R2122" s="92"/>
    </row>
    <row r="2123" spans="1:18" x14ac:dyDescent="0.25">
      <c r="A2123" s="353">
        <v>41610</v>
      </c>
      <c r="B2123" s="353" t="s">
        <v>285</v>
      </c>
      <c r="C2123" s="263" t="s">
        <v>753</v>
      </c>
      <c r="D2123" s="157" t="s">
        <v>728</v>
      </c>
      <c r="E2123" s="44">
        <f t="shared" si="160"/>
        <v>41610</v>
      </c>
      <c r="F2123" s="146" t="str">
        <f t="shared" si="161"/>
        <v>2013-14</v>
      </c>
      <c r="G2123" s="1"/>
      <c r="H2123" s="161"/>
      <c r="I2123" s="37"/>
      <c r="J2123" s="135">
        <f t="shared" si="157"/>
        <v>0.76382508261777382</v>
      </c>
      <c r="K2123" s="112"/>
      <c r="L2123" s="37">
        <v>19.795685439</v>
      </c>
      <c r="M2123" s="37" t="s">
        <v>288</v>
      </c>
      <c r="N2123" s="37">
        <v>950.87219512195099</v>
      </c>
      <c r="O2123" s="130">
        <f t="shared" si="158"/>
        <v>18823.166867325574</v>
      </c>
      <c r="P2123" s="132">
        <f t="shared" si="159"/>
        <v>12795.145675299696</v>
      </c>
      <c r="Q2123" s="261">
        <v>0.88993569558325936</v>
      </c>
      <c r="R2123" s="92"/>
    </row>
    <row r="2124" spans="1:18" x14ac:dyDescent="0.25">
      <c r="A2124" s="353">
        <v>41610</v>
      </c>
      <c r="B2124" s="353" t="s">
        <v>285</v>
      </c>
      <c r="C2124" s="263" t="s">
        <v>753</v>
      </c>
      <c r="D2124" s="157" t="s">
        <v>728</v>
      </c>
      <c r="E2124" s="44">
        <f t="shared" si="160"/>
        <v>41610</v>
      </c>
      <c r="F2124" s="146" t="str">
        <f t="shared" si="161"/>
        <v>2013-14</v>
      </c>
      <c r="G2124" s="1"/>
      <c r="H2124" s="161"/>
      <c r="I2124" s="37"/>
      <c r="J2124" s="135">
        <f t="shared" si="157"/>
        <v>0.76382508261777382</v>
      </c>
      <c r="K2124" s="112"/>
      <c r="L2124" s="37">
        <v>22.7811401383</v>
      </c>
      <c r="M2124" s="37" t="s">
        <v>288</v>
      </c>
      <c r="N2124" s="37">
        <v>950.87219512195099</v>
      </c>
      <c r="O2124" s="130">
        <f t="shared" si="158"/>
        <v>21661.952730686105</v>
      </c>
      <c r="P2124" s="132">
        <f t="shared" si="159"/>
        <v>14724.825145215602</v>
      </c>
      <c r="Q2124" s="261">
        <v>0.88993569558325936</v>
      </c>
      <c r="R2124" s="92"/>
    </row>
    <row r="2125" spans="1:18" x14ac:dyDescent="0.25">
      <c r="A2125" s="353">
        <v>41610</v>
      </c>
      <c r="B2125" s="353" t="s">
        <v>285</v>
      </c>
      <c r="C2125" s="263" t="s">
        <v>753</v>
      </c>
      <c r="D2125" s="157" t="s">
        <v>728</v>
      </c>
      <c r="E2125" s="44">
        <f t="shared" si="160"/>
        <v>41610</v>
      </c>
      <c r="F2125" s="146" t="str">
        <f t="shared" si="161"/>
        <v>2013-14</v>
      </c>
      <c r="G2125" s="1"/>
      <c r="H2125" s="161"/>
      <c r="I2125" s="37"/>
      <c r="J2125" s="135">
        <f t="shared" si="157"/>
        <v>0.76382508261777382</v>
      </c>
      <c r="K2125" s="112"/>
      <c r="L2125" s="37">
        <v>19.8907264825</v>
      </c>
      <c r="M2125" s="37" t="s">
        <v>288</v>
      </c>
      <c r="N2125" s="37">
        <v>950.87219512195099</v>
      </c>
      <c r="O2125" s="130">
        <f t="shared" si="158"/>
        <v>18913.5387529851</v>
      </c>
      <c r="P2125" s="132">
        <f t="shared" si="159"/>
        <v>12856.576435071176</v>
      </c>
      <c r="Q2125" s="261">
        <v>0.88993569558325936</v>
      </c>
      <c r="R2125" s="92"/>
    </row>
    <row r="2126" spans="1:18" x14ac:dyDescent="0.25">
      <c r="A2126" s="353">
        <v>42999</v>
      </c>
      <c r="B2126" s="353" t="s">
        <v>285</v>
      </c>
      <c r="C2126" s="263" t="s">
        <v>754</v>
      </c>
      <c r="D2126" s="157" t="s">
        <v>724</v>
      </c>
      <c r="E2126" s="44">
        <f t="shared" si="160"/>
        <v>42999</v>
      </c>
      <c r="F2126" s="146" t="str">
        <f t="shared" si="161"/>
        <v>2017-18</v>
      </c>
      <c r="G2126" s="1"/>
      <c r="H2126" s="161"/>
      <c r="I2126" s="37"/>
      <c r="J2126" s="135">
        <f t="shared" si="157"/>
        <v>0.76382508261777382</v>
      </c>
      <c r="K2126" s="112"/>
      <c r="L2126" s="37">
        <v>31.166736848300001</v>
      </c>
      <c r="M2126" s="37" t="s">
        <v>288</v>
      </c>
      <c r="N2126" s="37">
        <v>950.87219512195099</v>
      </c>
      <c r="O2126" s="130">
        <f t="shared" si="158"/>
        <v>29635.583481731217</v>
      </c>
      <c r="P2126" s="132">
        <f t="shared" si="159"/>
        <v>20551.030733719701</v>
      </c>
      <c r="Q2126" s="261">
        <v>0.90787532101990598</v>
      </c>
      <c r="R2126" s="92"/>
    </row>
    <row r="2127" spans="1:18" x14ac:dyDescent="0.25">
      <c r="A2127" s="353">
        <v>42999</v>
      </c>
      <c r="B2127" s="353" t="s">
        <v>285</v>
      </c>
      <c r="C2127" s="263" t="s">
        <v>754</v>
      </c>
      <c r="D2127" s="157" t="s">
        <v>724</v>
      </c>
      <c r="E2127" s="44">
        <f t="shared" si="160"/>
        <v>42999</v>
      </c>
      <c r="F2127" s="146" t="str">
        <f t="shared" si="161"/>
        <v>2017-18</v>
      </c>
      <c r="G2127" s="1"/>
      <c r="H2127" s="161"/>
      <c r="I2127" s="37"/>
      <c r="J2127" s="135">
        <f t="shared" si="157"/>
        <v>0.76382508261777382</v>
      </c>
      <c r="K2127" s="112"/>
      <c r="L2127" s="37">
        <v>60.648136888400003</v>
      </c>
      <c r="M2127" s="37" t="s">
        <v>288</v>
      </c>
      <c r="N2127" s="37">
        <v>950.87219512195099</v>
      </c>
      <c r="O2127" s="130">
        <f t="shared" si="158"/>
        <v>57668.627053129479</v>
      </c>
      <c r="P2127" s="132">
        <f t="shared" si="159"/>
        <v>39990.767439111354</v>
      </c>
      <c r="Q2127" s="261">
        <v>0.90787532101990598</v>
      </c>
      <c r="R2127" s="92"/>
    </row>
    <row r="2128" spans="1:18" x14ac:dyDescent="0.25">
      <c r="A2128" s="353">
        <v>42999</v>
      </c>
      <c r="B2128" s="353" t="s">
        <v>285</v>
      </c>
      <c r="C2128" s="263" t="s">
        <v>754</v>
      </c>
      <c r="D2128" s="157" t="s">
        <v>724</v>
      </c>
      <c r="E2128" s="44">
        <f t="shared" si="160"/>
        <v>42999</v>
      </c>
      <c r="F2128" s="146" t="str">
        <f t="shared" si="161"/>
        <v>2017-18</v>
      </c>
      <c r="G2128" s="1"/>
      <c r="H2128" s="161"/>
      <c r="I2128" s="37"/>
      <c r="J2128" s="135">
        <f t="shared" si="157"/>
        <v>0.76382508261777382</v>
      </c>
      <c r="K2128" s="112"/>
      <c r="L2128" s="37">
        <v>1.5861904047099999</v>
      </c>
      <c r="M2128" s="37" t="s">
        <v>288</v>
      </c>
      <c r="N2128" s="37">
        <v>950.87219512195099</v>
      </c>
      <c r="O2128" s="130">
        <f t="shared" si="158"/>
        <v>1508.2643520079735</v>
      </c>
      <c r="P2128" s="132">
        <f t="shared" si="159"/>
        <v>1045.917893663114</v>
      </c>
      <c r="Q2128" s="261">
        <v>0.90787532101990598</v>
      </c>
      <c r="R2128" s="92"/>
    </row>
    <row r="2129" spans="1:18" x14ac:dyDescent="0.25">
      <c r="A2129" s="353">
        <v>42999</v>
      </c>
      <c r="B2129" s="353" t="s">
        <v>285</v>
      </c>
      <c r="C2129" s="263" t="s">
        <v>754</v>
      </c>
      <c r="D2129" s="157" t="s">
        <v>724</v>
      </c>
      <c r="E2129" s="44">
        <f t="shared" si="160"/>
        <v>42999</v>
      </c>
      <c r="F2129" s="146" t="str">
        <f t="shared" si="161"/>
        <v>2017-18</v>
      </c>
      <c r="G2129" s="1"/>
      <c r="H2129" s="161"/>
      <c r="I2129" s="37"/>
      <c r="J2129" s="135">
        <f t="shared" si="157"/>
        <v>0.76382508261777382</v>
      </c>
      <c r="K2129" s="112"/>
      <c r="L2129" s="37">
        <v>83.255667994899994</v>
      </c>
      <c r="M2129" s="37" t="s">
        <v>288</v>
      </c>
      <c r="N2129" s="37">
        <v>950.87219512195099</v>
      </c>
      <c r="O2129" s="130">
        <f t="shared" si="158"/>
        <v>79165.499782654922</v>
      </c>
      <c r="P2129" s="132">
        <f t="shared" si="159"/>
        <v>54897.944563384081</v>
      </c>
      <c r="Q2129" s="261">
        <v>0.90787532101990598</v>
      </c>
      <c r="R2129" s="92"/>
    </row>
    <row r="2130" spans="1:18" x14ac:dyDescent="0.25">
      <c r="A2130" s="353">
        <v>42999</v>
      </c>
      <c r="B2130" s="353" t="s">
        <v>285</v>
      </c>
      <c r="C2130" s="263" t="s">
        <v>754</v>
      </c>
      <c r="D2130" s="157" t="s">
        <v>724</v>
      </c>
      <c r="E2130" s="44">
        <f t="shared" si="160"/>
        <v>42999</v>
      </c>
      <c r="F2130" s="146" t="str">
        <f t="shared" si="161"/>
        <v>2017-18</v>
      </c>
      <c r="G2130" s="1"/>
      <c r="H2130" s="161"/>
      <c r="I2130" s="37"/>
      <c r="J2130" s="135">
        <f t="shared" si="157"/>
        <v>0.76382508261777382</v>
      </c>
      <c r="K2130" s="112"/>
      <c r="L2130" s="37">
        <v>27.757167650900001</v>
      </c>
      <c r="M2130" s="37" t="s">
        <v>288</v>
      </c>
      <c r="N2130" s="37">
        <v>950.87219512195099</v>
      </c>
      <c r="O2130" s="130">
        <f t="shared" si="158"/>
        <v>26393.518934579293</v>
      </c>
      <c r="P2130" s="132">
        <f t="shared" si="159"/>
        <v>18302.795324746065</v>
      </c>
      <c r="Q2130" s="261">
        <v>0.90787532101990598</v>
      </c>
      <c r="R2130" s="92"/>
    </row>
    <row r="2131" spans="1:18" x14ac:dyDescent="0.25">
      <c r="A2131" s="353">
        <v>42999</v>
      </c>
      <c r="B2131" s="353" t="s">
        <v>285</v>
      </c>
      <c r="C2131" s="263" t="s">
        <v>754</v>
      </c>
      <c r="D2131" s="157" t="s">
        <v>724</v>
      </c>
      <c r="E2131" s="44">
        <f t="shared" si="160"/>
        <v>42999</v>
      </c>
      <c r="F2131" s="146" t="str">
        <f t="shared" si="161"/>
        <v>2017-18</v>
      </c>
      <c r="G2131" s="1"/>
      <c r="H2131" s="161"/>
      <c r="I2131" s="37"/>
      <c r="J2131" s="135">
        <f t="shared" si="157"/>
        <v>0.76382508261777382</v>
      </c>
      <c r="K2131" s="112"/>
      <c r="L2131" s="37">
        <v>22.055593492300002</v>
      </c>
      <c r="M2131" s="37" t="s">
        <v>288</v>
      </c>
      <c r="N2131" s="37">
        <v>950.87219512195099</v>
      </c>
      <c r="O2131" s="130">
        <f t="shared" si="158"/>
        <v>20972.05059874072</v>
      </c>
      <c r="P2131" s="132">
        <f t="shared" si="159"/>
        <v>14543.23504949826</v>
      </c>
      <c r="Q2131" s="261">
        <v>0.90787532101990598</v>
      </c>
      <c r="R2131" s="92"/>
    </row>
    <row r="2132" spans="1:18" x14ac:dyDescent="0.25">
      <c r="A2132" s="353">
        <v>42999</v>
      </c>
      <c r="B2132" s="353" t="s">
        <v>285</v>
      </c>
      <c r="C2132" s="263" t="s">
        <v>754</v>
      </c>
      <c r="D2132" s="157" t="s">
        <v>724</v>
      </c>
      <c r="E2132" s="44">
        <f t="shared" si="160"/>
        <v>42999</v>
      </c>
      <c r="F2132" s="146" t="str">
        <f t="shared" si="161"/>
        <v>2017-18</v>
      </c>
      <c r="G2132" s="1"/>
      <c r="H2132" s="161"/>
      <c r="I2132" s="37"/>
      <c r="J2132" s="135">
        <f t="shared" si="157"/>
        <v>0.76382508261777382</v>
      </c>
      <c r="K2132" s="112"/>
      <c r="L2132" s="37">
        <v>51.166052661999998</v>
      </c>
      <c r="M2132" s="37" t="s">
        <v>288</v>
      </c>
      <c r="N2132" s="37">
        <v>3592.3639024390236</v>
      </c>
      <c r="O2132" s="130">
        <f t="shared" si="158"/>
        <v>183807.08061326289</v>
      </c>
      <c r="P2132" s="132">
        <f t="shared" si="159"/>
        <v>127462.47986266389</v>
      </c>
      <c r="Q2132" s="261">
        <v>0.90787532101990598</v>
      </c>
      <c r="R2132" s="92"/>
    </row>
    <row r="2133" spans="1:18" x14ac:dyDescent="0.25">
      <c r="A2133" s="353">
        <v>42999</v>
      </c>
      <c r="B2133" s="353" t="s">
        <v>285</v>
      </c>
      <c r="C2133" s="263" t="s">
        <v>754</v>
      </c>
      <c r="D2133" s="157" t="s">
        <v>724</v>
      </c>
      <c r="E2133" s="44">
        <f t="shared" si="160"/>
        <v>42999</v>
      </c>
      <c r="F2133" s="146" t="str">
        <f t="shared" si="161"/>
        <v>2017-18</v>
      </c>
      <c r="G2133" s="1"/>
      <c r="H2133" s="161"/>
      <c r="I2133" s="37"/>
      <c r="J2133" s="135">
        <f t="shared" si="157"/>
        <v>0.76382508261777382</v>
      </c>
      <c r="K2133" s="112"/>
      <c r="L2133" s="37">
        <v>77.732239449399998</v>
      </c>
      <c r="M2133" s="37" t="s">
        <v>288</v>
      </c>
      <c r="N2133" s="37">
        <v>3592.3639024390236</v>
      </c>
      <c r="O2133" s="130">
        <f t="shared" si="158"/>
        <v>279242.49105377117</v>
      </c>
      <c r="P2133" s="132">
        <f t="shared" si="159"/>
        <v>193642.92318874437</v>
      </c>
      <c r="Q2133" s="261">
        <v>0.90787532101990598</v>
      </c>
      <c r="R2133" s="92"/>
    </row>
    <row r="2134" spans="1:18" x14ac:dyDescent="0.25">
      <c r="A2134" s="353">
        <v>42999</v>
      </c>
      <c r="B2134" s="353" t="s">
        <v>285</v>
      </c>
      <c r="C2134" s="263" t="s">
        <v>754</v>
      </c>
      <c r="D2134" s="157" t="s">
        <v>724</v>
      </c>
      <c r="E2134" s="44">
        <f t="shared" si="160"/>
        <v>42999</v>
      </c>
      <c r="F2134" s="146" t="str">
        <f t="shared" si="161"/>
        <v>2017-18</v>
      </c>
      <c r="G2134" s="1"/>
      <c r="H2134" s="161"/>
      <c r="I2134" s="37"/>
      <c r="J2134" s="135">
        <f t="shared" si="157"/>
        <v>0.76382508261777382</v>
      </c>
      <c r="K2134" s="112"/>
      <c r="L2134" s="37">
        <v>46.796558821300003</v>
      </c>
      <c r="M2134" s="37" t="s">
        <v>288</v>
      </c>
      <c r="N2134" s="37">
        <v>3336.4019512195118</v>
      </c>
      <c r="O2134" s="130">
        <f t="shared" si="158"/>
        <v>156132.13016174399</v>
      </c>
      <c r="P2134" s="132">
        <f t="shared" si="159"/>
        <v>108271.06567525845</v>
      </c>
      <c r="Q2134" s="261">
        <v>0.90787532101990598</v>
      </c>
      <c r="R2134" s="92"/>
    </row>
    <row r="2135" spans="1:18" x14ac:dyDescent="0.25">
      <c r="A2135" s="353">
        <v>42872</v>
      </c>
      <c r="B2135" s="353" t="s">
        <v>285</v>
      </c>
      <c r="C2135" s="263" t="s">
        <v>755</v>
      </c>
      <c r="D2135" s="157" t="s">
        <v>701</v>
      </c>
      <c r="E2135" s="44">
        <f t="shared" si="160"/>
        <v>42872</v>
      </c>
      <c r="F2135" s="146" t="str">
        <f t="shared" si="161"/>
        <v>2016-17</v>
      </c>
      <c r="G2135" s="1"/>
      <c r="H2135" s="161"/>
      <c r="I2135" s="37"/>
      <c r="J2135" s="135">
        <f t="shared" si="157"/>
        <v>0.76382508261777382</v>
      </c>
      <c r="K2135" s="112"/>
      <c r="L2135" s="37">
        <v>119.014333204</v>
      </c>
      <c r="M2135" s="37" t="s">
        <v>288</v>
      </c>
      <c r="N2135" s="37">
        <v>3875.3912195121943</v>
      </c>
      <c r="O2135" s="130">
        <f t="shared" si="158"/>
        <v>461227.10189488018</v>
      </c>
      <c r="P2135" s="132">
        <f t="shared" si="159"/>
        <v>320269.84473673929</v>
      </c>
      <c r="Q2135" s="261">
        <v>0.90909090909090906</v>
      </c>
      <c r="R2135" s="92"/>
    </row>
    <row r="2136" spans="1:18" x14ac:dyDescent="0.25">
      <c r="A2136" s="353">
        <v>42872</v>
      </c>
      <c r="B2136" s="353" t="s">
        <v>285</v>
      </c>
      <c r="C2136" s="263" t="s">
        <v>755</v>
      </c>
      <c r="D2136" s="157" t="s">
        <v>701</v>
      </c>
      <c r="E2136" s="44">
        <f t="shared" si="160"/>
        <v>42872</v>
      </c>
      <c r="F2136" s="146" t="str">
        <f t="shared" si="161"/>
        <v>2016-17</v>
      </c>
      <c r="G2136" s="1"/>
      <c r="H2136" s="161"/>
      <c r="I2136" s="37"/>
      <c r="J2136" s="135">
        <f t="shared" si="157"/>
        <v>0.76382508261777382</v>
      </c>
      <c r="K2136" s="112"/>
      <c r="L2136" s="37">
        <v>18.380984766899999</v>
      </c>
      <c r="M2136" s="37" t="s">
        <v>288</v>
      </c>
      <c r="N2136" s="37">
        <v>1162.6195121951216</v>
      </c>
      <c r="O2136" s="130">
        <f t="shared" si="158"/>
        <v>21370.091543359238</v>
      </c>
      <c r="P2136" s="132">
        <f t="shared" si="159"/>
        <v>14839.101762414326</v>
      </c>
      <c r="Q2136" s="261">
        <v>0.90909090909090906</v>
      </c>
      <c r="R2136" s="92"/>
    </row>
    <row r="2137" spans="1:18" x14ac:dyDescent="0.25">
      <c r="A2137" s="353">
        <v>41610</v>
      </c>
      <c r="B2137" s="353" t="s">
        <v>285</v>
      </c>
      <c r="C2137" s="263" t="s">
        <v>756</v>
      </c>
      <c r="D2137" s="157" t="s">
        <v>728</v>
      </c>
      <c r="E2137" s="44">
        <f t="shared" si="160"/>
        <v>41610</v>
      </c>
      <c r="F2137" s="146" t="str">
        <f t="shared" si="161"/>
        <v>2013-14</v>
      </c>
      <c r="G2137" s="1"/>
      <c r="H2137" s="161"/>
      <c r="I2137" s="37"/>
      <c r="J2137" s="135">
        <f t="shared" si="157"/>
        <v>0.76382508261777382</v>
      </c>
      <c r="K2137" s="112"/>
      <c r="L2137" s="37">
        <v>57.385043913899999</v>
      </c>
      <c r="M2137" s="37" t="s">
        <v>288</v>
      </c>
      <c r="N2137" s="37">
        <v>1162.6195121951216</v>
      </c>
      <c r="O2137" s="130">
        <f t="shared" si="158"/>
        <v>66716.971762474044</v>
      </c>
      <c r="P2137" s="132">
        <f t="shared" si="159"/>
        <v>46335.259351770859</v>
      </c>
      <c r="Q2137" s="261">
        <v>0.90924591126766829</v>
      </c>
      <c r="R2137" s="92"/>
    </row>
    <row r="2138" spans="1:18" x14ac:dyDescent="0.25">
      <c r="A2138" s="353">
        <v>41610</v>
      </c>
      <c r="B2138" s="353" t="s">
        <v>285</v>
      </c>
      <c r="C2138" s="263" t="s">
        <v>756</v>
      </c>
      <c r="D2138" s="157" t="s">
        <v>728</v>
      </c>
      <c r="E2138" s="44">
        <f t="shared" si="160"/>
        <v>41610</v>
      </c>
      <c r="F2138" s="146" t="str">
        <f t="shared" si="161"/>
        <v>2013-14</v>
      </c>
      <c r="G2138" s="1"/>
      <c r="H2138" s="161"/>
      <c r="I2138" s="37"/>
      <c r="J2138" s="135">
        <f t="shared" ref="J2138:J2201" si="162">J2137</f>
        <v>0.76382508261777382</v>
      </c>
      <c r="K2138" s="112"/>
      <c r="L2138" s="37">
        <v>63.901455537399997</v>
      </c>
      <c r="M2138" s="37" t="s">
        <v>288</v>
      </c>
      <c r="N2138" s="37">
        <v>3875.3912195121943</v>
      </c>
      <c r="O2138" s="130">
        <f t="shared" ref="O2138:O2201" si="163">IF(N2138="","-",L2138*N2138)</f>
        <v>247643.13970368882</v>
      </c>
      <c r="P2138" s="132">
        <f t="shared" ref="P2138:P2201" si="164">IF(O2138="-","-",IF(OR(E2138&lt;$E$15,E2138&gt;$E$16),0,O2138*J2138))*Q2138</f>
        <v>171989.35745628833</v>
      </c>
      <c r="Q2138" s="261">
        <v>0.90924591126766829</v>
      </c>
      <c r="R2138" s="92"/>
    </row>
    <row r="2139" spans="1:18" x14ac:dyDescent="0.25">
      <c r="A2139" s="353">
        <v>41610</v>
      </c>
      <c r="B2139" s="353" t="s">
        <v>285</v>
      </c>
      <c r="C2139" s="263" t="s">
        <v>756</v>
      </c>
      <c r="D2139" s="157" t="s">
        <v>728</v>
      </c>
      <c r="E2139" s="44">
        <f t="shared" ref="E2139:E2202" si="165">IF(VALUE(A2139)&lt;2022,DATEVALUE("30 Jun "&amp;A2139),A2139)</f>
        <v>41610</v>
      </c>
      <c r="F2139" s="146" t="str">
        <f t="shared" si="161"/>
        <v>2013-14</v>
      </c>
      <c r="G2139" s="1"/>
      <c r="H2139" s="161"/>
      <c r="I2139" s="37"/>
      <c r="J2139" s="135">
        <f t="shared" si="162"/>
        <v>0.76382508261777382</v>
      </c>
      <c r="K2139" s="112"/>
      <c r="L2139" s="37">
        <v>24.84696022</v>
      </c>
      <c r="M2139" s="37" t="s">
        <v>288</v>
      </c>
      <c r="N2139" s="37">
        <v>950.87219512195099</v>
      </c>
      <c r="O2139" s="130">
        <f t="shared" si="163"/>
        <v>23626.283606499193</v>
      </c>
      <c r="P2139" s="132">
        <f t="shared" si="164"/>
        <v>16408.568157486119</v>
      </c>
      <c r="Q2139" s="261">
        <v>0.90924591126766829</v>
      </c>
      <c r="R2139" s="92"/>
    </row>
    <row r="2140" spans="1:18" x14ac:dyDescent="0.25">
      <c r="A2140" s="353">
        <v>41610</v>
      </c>
      <c r="B2140" s="353" t="s">
        <v>285</v>
      </c>
      <c r="C2140" s="263" t="s">
        <v>756</v>
      </c>
      <c r="D2140" s="157" t="s">
        <v>728</v>
      </c>
      <c r="E2140" s="44">
        <f t="shared" si="165"/>
        <v>41610</v>
      </c>
      <c r="F2140" s="146" t="str">
        <f t="shared" si="161"/>
        <v>2013-14</v>
      </c>
      <c r="G2140" s="1"/>
      <c r="H2140" s="161"/>
      <c r="I2140" s="37"/>
      <c r="J2140" s="135">
        <f t="shared" si="162"/>
        <v>0.76382508261777382</v>
      </c>
      <c r="K2140" s="112"/>
      <c r="L2140" s="37">
        <v>36.062830865000002</v>
      </c>
      <c r="M2140" s="37" t="s">
        <v>288</v>
      </c>
      <c r="N2140" s="37">
        <v>3875.3912195121943</v>
      </c>
      <c r="O2140" s="130">
        <f t="shared" si="163"/>
        <v>139757.57808497435</v>
      </c>
      <c r="P2140" s="132">
        <f t="shared" si="164"/>
        <v>97062.313469464294</v>
      </c>
      <c r="Q2140" s="261">
        <v>0.90924591126766829</v>
      </c>
      <c r="R2140" s="92"/>
    </row>
    <row r="2141" spans="1:18" x14ac:dyDescent="0.25">
      <c r="A2141" s="353">
        <v>41610</v>
      </c>
      <c r="B2141" s="353" t="s">
        <v>285</v>
      </c>
      <c r="C2141" s="263" t="s">
        <v>756</v>
      </c>
      <c r="D2141" s="157" t="s">
        <v>728</v>
      </c>
      <c r="E2141" s="44">
        <f t="shared" si="165"/>
        <v>41610</v>
      </c>
      <c r="F2141" s="146" t="str">
        <f t="shared" si="161"/>
        <v>2013-14</v>
      </c>
      <c r="G2141" s="1"/>
      <c r="H2141" s="161"/>
      <c r="I2141" s="37"/>
      <c r="J2141" s="135">
        <f t="shared" si="162"/>
        <v>0.76382508261777382</v>
      </c>
      <c r="K2141" s="112"/>
      <c r="L2141" s="37">
        <v>2.64360246633</v>
      </c>
      <c r="M2141" s="37" t="s">
        <v>288</v>
      </c>
      <c r="N2141" s="37">
        <v>950.87219512195099</v>
      </c>
      <c r="O2141" s="130">
        <f t="shared" si="163"/>
        <v>2513.7280801890106</v>
      </c>
      <c r="P2141" s="132">
        <f t="shared" si="164"/>
        <v>1745.7963012778634</v>
      </c>
      <c r="Q2141" s="261">
        <v>0.90924591126766829</v>
      </c>
      <c r="R2141" s="92"/>
    </row>
    <row r="2142" spans="1:18" x14ac:dyDescent="0.25">
      <c r="A2142" s="353">
        <v>41610</v>
      </c>
      <c r="B2142" s="353" t="s">
        <v>285</v>
      </c>
      <c r="C2142" s="263" t="s">
        <v>756</v>
      </c>
      <c r="D2142" s="157" t="s">
        <v>728</v>
      </c>
      <c r="E2142" s="44">
        <f t="shared" si="165"/>
        <v>41610</v>
      </c>
      <c r="F2142" s="146" t="str">
        <f t="shared" si="161"/>
        <v>2013-14</v>
      </c>
      <c r="G2142" s="1"/>
      <c r="H2142" s="161"/>
      <c r="I2142" s="37"/>
      <c r="J2142" s="135">
        <f t="shared" si="162"/>
        <v>0.76382508261777382</v>
      </c>
      <c r="K2142" s="112"/>
      <c r="L2142" s="37">
        <v>62.078095283300001</v>
      </c>
      <c r="M2142" s="37" t="s">
        <v>288</v>
      </c>
      <c r="N2142" s="37">
        <v>1162.6195121951216</v>
      </c>
      <c r="O2142" s="130">
        <f t="shared" si="163"/>
        <v>72173.204856272525</v>
      </c>
      <c r="P2142" s="132">
        <f t="shared" si="164"/>
        <v>50124.63960699203</v>
      </c>
      <c r="Q2142" s="261">
        <v>0.90924591126766829</v>
      </c>
      <c r="R2142" s="92"/>
    </row>
    <row r="2143" spans="1:18" x14ac:dyDescent="0.25">
      <c r="A2143" s="353">
        <v>41610</v>
      </c>
      <c r="B2143" s="353" t="s">
        <v>285</v>
      </c>
      <c r="C2143" s="263" t="s">
        <v>756</v>
      </c>
      <c r="D2143" s="157" t="s">
        <v>728</v>
      </c>
      <c r="E2143" s="44">
        <f t="shared" si="165"/>
        <v>41610</v>
      </c>
      <c r="F2143" s="146" t="str">
        <f t="shared" si="161"/>
        <v>2013-14</v>
      </c>
      <c r="G2143" s="1"/>
      <c r="H2143" s="161"/>
      <c r="I2143" s="37"/>
      <c r="J2143" s="135">
        <f t="shared" si="162"/>
        <v>0.76382508261777382</v>
      </c>
      <c r="K2143" s="112"/>
      <c r="L2143" s="37">
        <v>107.827742743</v>
      </c>
      <c r="M2143" s="37" t="s">
        <v>288</v>
      </c>
      <c r="N2143" s="37">
        <v>1162.6195121951216</v>
      </c>
      <c r="O2143" s="130">
        <f t="shared" si="163"/>
        <v>125362.63766896773</v>
      </c>
      <c r="P2143" s="132">
        <f t="shared" si="164"/>
        <v>87064.957775570001</v>
      </c>
      <c r="Q2143" s="261">
        <v>0.90924591126766829</v>
      </c>
      <c r="R2143" s="92"/>
    </row>
    <row r="2144" spans="1:18" x14ac:dyDescent="0.25">
      <c r="A2144" s="353">
        <v>41610</v>
      </c>
      <c r="B2144" s="353" t="s">
        <v>285</v>
      </c>
      <c r="C2144" s="263" t="s">
        <v>756</v>
      </c>
      <c r="D2144" s="157" t="s">
        <v>728</v>
      </c>
      <c r="E2144" s="44">
        <f t="shared" si="165"/>
        <v>41610</v>
      </c>
      <c r="F2144" s="146" t="str">
        <f t="shared" si="161"/>
        <v>2013-14</v>
      </c>
      <c r="G2144" s="1"/>
      <c r="H2144" s="161"/>
      <c r="I2144" s="37"/>
      <c r="J2144" s="135">
        <f t="shared" si="162"/>
        <v>0.76382508261777382</v>
      </c>
      <c r="K2144" s="112"/>
      <c r="L2144" s="37">
        <v>26.338010441200002</v>
      </c>
      <c r="M2144" s="37" t="s">
        <v>288</v>
      </c>
      <c r="N2144" s="37">
        <v>1162.6195121951216</v>
      </c>
      <c r="O2144" s="130">
        <f t="shared" si="163"/>
        <v>30621.084851337964</v>
      </c>
      <c r="P2144" s="132">
        <f t="shared" si="164"/>
        <v>21266.491429956834</v>
      </c>
      <c r="Q2144" s="261">
        <v>0.90924591126766829</v>
      </c>
      <c r="R2144" s="92"/>
    </row>
    <row r="2145" spans="1:18" x14ac:dyDescent="0.25">
      <c r="A2145" s="353">
        <v>41610</v>
      </c>
      <c r="B2145" s="353" t="s">
        <v>285</v>
      </c>
      <c r="C2145" s="263" t="s">
        <v>756</v>
      </c>
      <c r="D2145" s="157" t="s">
        <v>728</v>
      </c>
      <c r="E2145" s="44">
        <f t="shared" si="165"/>
        <v>41610</v>
      </c>
      <c r="F2145" s="146" t="str">
        <f t="shared" si="161"/>
        <v>2013-14</v>
      </c>
      <c r="G2145" s="1"/>
      <c r="H2145" s="161"/>
      <c r="I2145" s="37"/>
      <c r="J2145" s="135">
        <f t="shared" si="162"/>
        <v>0.76382508261777382</v>
      </c>
      <c r="K2145" s="112"/>
      <c r="L2145" s="37">
        <v>93.882615057300001</v>
      </c>
      <c r="M2145" s="37" t="s">
        <v>288</v>
      </c>
      <c r="N2145" s="37">
        <v>3875.3912195121943</v>
      </c>
      <c r="O2145" s="130">
        <f t="shared" si="163"/>
        <v>363831.86205790372</v>
      </c>
      <c r="P2145" s="132">
        <f t="shared" si="164"/>
        <v>252682.98670553355</v>
      </c>
      <c r="Q2145" s="261">
        <v>0.90924591126766829</v>
      </c>
      <c r="R2145" s="92"/>
    </row>
    <row r="2146" spans="1:18" x14ac:dyDescent="0.25">
      <c r="A2146" s="353">
        <v>41610</v>
      </c>
      <c r="B2146" s="353" t="s">
        <v>285</v>
      </c>
      <c r="C2146" s="263" t="s">
        <v>756</v>
      </c>
      <c r="D2146" s="157" t="s">
        <v>728</v>
      </c>
      <c r="E2146" s="44">
        <f t="shared" si="165"/>
        <v>41610</v>
      </c>
      <c r="F2146" s="146" t="str">
        <f t="shared" si="161"/>
        <v>2013-14</v>
      </c>
      <c r="G2146" s="1"/>
      <c r="H2146" s="161"/>
      <c r="I2146" s="37"/>
      <c r="J2146" s="135">
        <f t="shared" si="162"/>
        <v>0.76382508261777382</v>
      </c>
      <c r="K2146" s="112"/>
      <c r="L2146" s="37">
        <v>30.290772621399999</v>
      </c>
      <c r="M2146" s="37" t="s">
        <v>288</v>
      </c>
      <c r="N2146" s="37">
        <v>1162.6195121951216</v>
      </c>
      <c r="O2146" s="130">
        <f t="shared" si="163"/>
        <v>35216.643289105414</v>
      </c>
      <c r="P2146" s="132">
        <f t="shared" si="164"/>
        <v>24458.128976670891</v>
      </c>
      <c r="Q2146" s="261">
        <v>0.90924591126766829</v>
      </c>
      <c r="R2146" s="92"/>
    </row>
    <row r="2147" spans="1:18" x14ac:dyDescent="0.25">
      <c r="A2147" s="353">
        <v>41610</v>
      </c>
      <c r="B2147" s="353" t="s">
        <v>285</v>
      </c>
      <c r="C2147" s="263" t="s">
        <v>756</v>
      </c>
      <c r="D2147" s="157" t="s">
        <v>728</v>
      </c>
      <c r="E2147" s="44">
        <f t="shared" si="165"/>
        <v>41610</v>
      </c>
      <c r="F2147" s="146" t="str">
        <f t="shared" si="161"/>
        <v>2013-14</v>
      </c>
      <c r="G2147" s="1"/>
      <c r="H2147" s="161"/>
      <c r="I2147" s="37"/>
      <c r="J2147" s="135">
        <f t="shared" si="162"/>
        <v>0.76382508261777382</v>
      </c>
      <c r="K2147" s="112"/>
      <c r="L2147" s="37">
        <v>21.3074646544</v>
      </c>
      <c r="M2147" s="37" t="s">
        <v>288</v>
      </c>
      <c r="N2147" s="37">
        <v>1162.6195121951216</v>
      </c>
      <c r="O2147" s="130">
        <f t="shared" si="163"/>
        <v>24772.474162613325</v>
      </c>
      <c r="P2147" s="132">
        <f t="shared" si="164"/>
        <v>17204.603038583209</v>
      </c>
      <c r="Q2147" s="261">
        <v>0.90924591126766829</v>
      </c>
      <c r="R2147" s="92"/>
    </row>
    <row r="2148" spans="1:18" x14ac:dyDescent="0.25">
      <c r="A2148" s="353">
        <v>41610</v>
      </c>
      <c r="B2148" s="353" t="s">
        <v>285</v>
      </c>
      <c r="C2148" s="263" t="s">
        <v>756</v>
      </c>
      <c r="D2148" s="157" t="s">
        <v>728</v>
      </c>
      <c r="E2148" s="44">
        <f t="shared" si="165"/>
        <v>41610</v>
      </c>
      <c r="F2148" s="146" t="str">
        <f t="shared" si="161"/>
        <v>2013-14</v>
      </c>
      <c r="G2148" s="1"/>
      <c r="H2148" s="161"/>
      <c r="I2148" s="37"/>
      <c r="J2148" s="135">
        <f t="shared" si="162"/>
        <v>0.76382508261777382</v>
      </c>
      <c r="K2148" s="112"/>
      <c r="L2148" s="37">
        <v>7.9505781550799997</v>
      </c>
      <c r="M2148" s="37" t="s">
        <v>288</v>
      </c>
      <c r="N2148" s="37">
        <v>1162.6195121951216</v>
      </c>
      <c r="O2148" s="130">
        <f t="shared" si="163"/>
        <v>9243.4972963282999</v>
      </c>
      <c r="P2148" s="132">
        <f t="shared" si="164"/>
        <v>6419.6535488390991</v>
      </c>
      <c r="Q2148" s="261">
        <v>0.90924591126766829</v>
      </c>
      <c r="R2148" s="92"/>
    </row>
    <row r="2149" spans="1:18" x14ac:dyDescent="0.25">
      <c r="A2149" s="353">
        <v>41610</v>
      </c>
      <c r="B2149" s="353" t="s">
        <v>285</v>
      </c>
      <c r="C2149" s="263" t="s">
        <v>756</v>
      </c>
      <c r="D2149" s="157" t="s">
        <v>728</v>
      </c>
      <c r="E2149" s="44">
        <f t="shared" si="165"/>
        <v>41610</v>
      </c>
      <c r="F2149" s="146" t="str">
        <f t="shared" si="161"/>
        <v>2013-14</v>
      </c>
      <c r="G2149" s="1"/>
      <c r="H2149" s="161"/>
      <c r="I2149" s="37"/>
      <c r="J2149" s="135">
        <f t="shared" si="162"/>
        <v>0.76382508261777382</v>
      </c>
      <c r="K2149" s="112"/>
      <c r="L2149" s="37">
        <v>18.069643494000001</v>
      </c>
      <c r="M2149" s="37" t="s">
        <v>288</v>
      </c>
      <c r="N2149" s="37">
        <v>1162.6195121951216</v>
      </c>
      <c r="O2149" s="130">
        <f t="shared" si="163"/>
        <v>21008.120104534035</v>
      </c>
      <c r="P2149" s="132">
        <f t="shared" si="164"/>
        <v>14590.240951017635</v>
      </c>
      <c r="Q2149" s="261">
        <v>0.90924591126766829</v>
      </c>
      <c r="R2149" s="92"/>
    </row>
    <row r="2150" spans="1:18" x14ac:dyDescent="0.25">
      <c r="A2150" s="353">
        <v>41610</v>
      </c>
      <c r="B2150" s="353" t="s">
        <v>285</v>
      </c>
      <c r="C2150" s="263" t="s">
        <v>756</v>
      </c>
      <c r="D2150" s="157" t="s">
        <v>728</v>
      </c>
      <c r="E2150" s="44">
        <f t="shared" si="165"/>
        <v>41610</v>
      </c>
      <c r="F2150" s="146" t="str">
        <f t="shared" si="161"/>
        <v>2013-14</v>
      </c>
      <c r="G2150" s="1"/>
      <c r="H2150" s="161"/>
      <c r="I2150" s="37"/>
      <c r="J2150" s="135">
        <f t="shared" si="162"/>
        <v>0.76382508261777382</v>
      </c>
      <c r="K2150" s="112"/>
      <c r="L2150" s="37">
        <v>33.115635778300003</v>
      </c>
      <c r="M2150" s="37" t="s">
        <v>288</v>
      </c>
      <c r="N2150" s="37">
        <v>3875.3912195121943</v>
      </c>
      <c r="O2150" s="130">
        <f t="shared" si="163"/>
        <v>128336.04412378771</v>
      </c>
      <c r="P2150" s="132">
        <f t="shared" si="164"/>
        <v>89130.002929789742</v>
      </c>
      <c r="Q2150" s="261">
        <v>0.90924591126766829</v>
      </c>
      <c r="R2150" s="92"/>
    </row>
    <row r="2151" spans="1:18" x14ac:dyDescent="0.25">
      <c r="A2151" s="353">
        <v>41610</v>
      </c>
      <c r="B2151" s="353" t="s">
        <v>285</v>
      </c>
      <c r="C2151" s="263" t="s">
        <v>756</v>
      </c>
      <c r="D2151" s="157" t="s">
        <v>728</v>
      </c>
      <c r="E2151" s="44">
        <f t="shared" si="165"/>
        <v>41610</v>
      </c>
      <c r="F2151" s="146" t="str">
        <f t="shared" si="161"/>
        <v>2013-14</v>
      </c>
      <c r="G2151" s="1"/>
      <c r="H2151" s="161"/>
      <c r="I2151" s="37"/>
      <c r="J2151" s="135">
        <f t="shared" si="162"/>
        <v>0.76382508261777382</v>
      </c>
      <c r="K2151" s="112"/>
      <c r="L2151" s="37">
        <v>7.038707907</v>
      </c>
      <c r="M2151" s="37" t="s">
        <v>288</v>
      </c>
      <c r="N2151" s="37">
        <v>3875.3912195121943</v>
      </c>
      <c r="O2151" s="130">
        <f t="shared" si="163"/>
        <v>27277.746819498854</v>
      </c>
      <c r="P2151" s="132">
        <f t="shared" si="164"/>
        <v>18944.527007509256</v>
      </c>
      <c r="Q2151" s="261">
        <v>0.90924591126766829</v>
      </c>
      <c r="R2151" s="92"/>
    </row>
    <row r="2152" spans="1:18" x14ac:dyDescent="0.25">
      <c r="A2152" s="353">
        <v>41610</v>
      </c>
      <c r="B2152" s="353" t="s">
        <v>285</v>
      </c>
      <c r="C2152" s="263" t="s">
        <v>756</v>
      </c>
      <c r="D2152" s="157" t="s">
        <v>728</v>
      </c>
      <c r="E2152" s="44">
        <f t="shared" si="165"/>
        <v>41610</v>
      </c>
      <c r="F2152" s="146" t="str">
        <f t="shared" si="161"/>
        <v>2013-14</v>
      </c>
      <c r="G2152" s="1"/>
      <c r="H2152" s="161"/>
      <c r="I2152" s="37"/>
      <c r="J2152" s="135">
        <f t="shared" si="162"/>
        <v>0.76382508261777382</v>
      </c>
      <c r="K2152" s="112"/>
      <c r="L2152" s="37">
        <v>31.631215506299998</v>
      </c>
      <c r="M2152" s="37" t="s">
        <v>288</v>
      </c>
      <c r="N2152" s="37">
        <v>3875.3912195121943</v>
      </c>
      <c r="O2152" s="130">
        <f t="shared" si="163"/>
        <v>122583.33483561299</v>
      </c>
      <c r="P2152" s="132">
        <f t="shared" si="164"/>
        <v>85134.718524617696</v>
      </c>
      <c r="Q2152" s="261">
        <v>0.90924591126766829</v>
      </c>
      <c r="R2152" s="92"/>
    </row>
    <row r="2153" spans="1:18" x14ac:dyDescent="0.25">
      <c r="A2153" s="353">
        <v>41610</v>
      </c>
      <c r="B2153" s="353" t="s">
        <v>285</v>
      </c>
      <c r="C2153" s="263" t="s">
        <v>756</v>
      </c>
      <c r="D2153" s="157" t="s">
        <v>728</v>
      </c>
      <c r="E2153" s="44">
        <f t="shared" si="165"/>
        <v>41610</v>
      </c>
      <c r="F2153" s="146" t="str">
        <f t="shared" si="161"/>
        <v>2013-14</v>
      </c>
      <c r="G2153" s="1"/>
      <c r="H2153" s="161"/>
      <c r="I2153" s="37"/>
      <c r="J2153" s="135">
        <f t="shared" si="162"/>
        <v>0.76382508261777382</v>
      </c>
      <c r="K2153" s="112"/>
      <c r="L2153" s="37">
        <v>56.861676813099997</v>
      </c>
      <c r="M2153" s="37" t="s">
        <v>288</v>
      </c>
      <c r="N2153" s="37">
        <v>1162.6195121951216</v>
      </c>
      <c r="O2153" s="130">
        <f t="shared" si="163"/>
        <v>66108.494959042975</v>
      </c>
      <c r="P2153" s="132">
        <f t="shared" si="164"/>
        <v>45912.669270840757</v>
      </c>
      <c r="Q2153" s="261">
        <v>0.90924591126766829</v>
      </c>
      <c r="R2153" s="92"/>
    </row>
    <row r="2154" spans="1:18" x14ac:dyDescent="0.25">
      <c r="A2154" s="353">
        <v>41610</v>
      </c>
      <c r="B2154" s="353" t="s">
        <v>285</v>
      </c>
      <c r="C2154" s="263" t="s">
        <v>756</v>
      </c>
      <c r="D2154" s="157" t="s">
        <v>728</v>
      </c>
      <c r="E2154" s="44">
        <f t="shared" si="165"/>
        <v>41610</v>
      </c>
      <c r="F2154" s="146" t="str">
        <f t="shared" si="161"/>
        <v>2013-14</v>
      </c>
      <c r="G2154" s="1"/>
      <c r="H2154" s="161"/>
      <c r="I2154" s="37"/>
      <c r="J2154" s="135">
        <f t="shared" si="162"/>
        <v>0.76382508261777382</v>
      </c>
      <c r="K2154" s="112"/>
      <c r="L2154" s="37">
        <v>28.0649692856</v>
      </c>
      <c r="M2154" s="37" t="s">
        <v>288</v>
      </c>
      <c r="N2154" s="37">
        <v>950.87219512195099</v>
      </c>
      <c r="O2154" s="130">
        <f t="shared" si="163"/>
        <v>26686.198950628605</v>
      </c>
      <c r="P2154" s="132">
        <f t="shared" si="164"/>
        <v>18533.694153454162</v>
      </c>
      <c r="Q2154" s="261">
        <v>0.90924591126766829</v>
      </c>
      <c r="R2154" s="92"/>
    </row>
    <row r="2155" spans="1:18" x14ac:dyDescent="0.25">
      <c r="A2155" s="353">
        <v>41610</v>
      </c>
      <c r="B2155" s="353" t="s">
        <v>285</v>
      </c>
      <c r="C2155" s="263" t="s">
        <v>756</v>
      </c>
      <c r="D2155" s="157" t="s">
        <v>728</v>
      </c>
      <c r="E2155" s="44">
        <f t="shared" si="165"/>
        <v>41610</v>
      </c>
      <c r="F2155" s="146" t="str">
        <f t="shared" si="161"/>
        <v>2013-14</v>
      </c>
      <c r="G2155" s="1"/>
      <c r="H2155" s="161"/>
      <c r="I2155" s="37"/>
      <c r="J2155" s="135">
        <f t="shared" si="162"/>
        <v>0.76382508261777382</v>
      </c>
      <c r="K2155" s="112"/>
      <c r="L2155" s="37">
        <v>7.0908333078699997</v>
      </c>
      <c r="M2155" s="37" t="s">
        <v>288</v>
      </c>
      <c r="N2155" s="37">
        <v>1162.6195121951216</v>
      </c>
      <c r="O2155" s="130">
        <f t="shared" si="163"/>
        <v>8243.9411614527398</v>
      </c>
      <c r="P2155" s="132">
        <f t="shared" si="164"/>
        <v>5725.4569820194538</v>
      </c>
      <c r="Q2155" s="261">
        <v>0.90924591126766829</v>
      </c>
      <c r="R2155" s="92"/>
    </row>
    <row r="2156" spans="1:18" x14ac:dyDescent="0.25">
      <c r="A2156" s="353">
        <v>41610</v>
      </c>
      <c r="B2156" s="353" t="s">
        <v>285</v>
      </c>
      <c r="C2156" s="263" t="s">
        <v>756</v>
      </c>
      <c r="D2156" s="157" t="s">
        <v>728</v>
      </c>
      <c r="E2156" s="44">
        <f t="shared" si="165"/>
        <v>41610</v>
      </c>
      <c r="F2156" s="146" t="str">
        <f t="shared" si="161"/>
        <v>2013-14</v>
      </c>
      <c r="G2156" s="1"/>
      <c r="H2156" s="161"/>
      <c r="I2156" s="37"/>
      <c r="J2156" s="135">
        <f t="shared" si="162"/>
        <v>0.76382508261777382</v>
      </c>
      <c r="K2156" s="112"/>
      <c r="L2156" s="37">
        <v>39.421778539400002</v>
      </c>
      <c r="M2156" s="37" t="s">
        <v>288</v>
      </c>
      <c r="N2156" s="37">
        <v>3592.3639024390236</v>
      </c>
      <c r="O2156" s="130">
        <f t="shared" si="163"/>
        <v>141617.37419488595</v>
      </c>
      <c r="P2156" s="132">
        <f t="shared" si="164"/>
        <v>98353.950856739102</v>
      </c>
      <c r="Q2156" s="261">
        <v>0.90924591126766829</v>
      </c>
      <c r="R2156" s="92"/>
    </row>
    <row r="2157" spans="1:18" x14ac:dyDescent="0.25">
      <c r="A2157" s="353">
        <v>41610</v>
      </c>
      <c r="B2157" s="353" t="s">
        <v>285</v>
      </c>
      <c r="C2157" s="263" t="s">
        <v>756</v>
      </c>
      <c r="D2157" s="157" t="s">
        <v>728</v>
      </c>
      <c r="E2157" s="44">
        <f t="shared" si="165"/>
        <v>41610</v>
      </c>
      <c r="F2157" s="146" t="str">
        <f t="shared" si="161"/>
        <v>2013-14</v>
      </c>
      <c r="G2157" s="1"/>
      <c r="H2157" s="161"/>
      <c r="I2157" s="37"/>
      <c r="J2157" s="135">
        <f t="shared" si="162"/>
        <v>0.76382508261777382</v>
      </c>
      <c r="K2157" s="112"/>
      <c r="L2157" s="37">
        <v>52.808258539699999</v>
      </c>
      <c r="M2157" s="37" t="s">
        <v>288</v>
      </c>
      <c r="N2157" s="37">
        <v>3875.3912195121943</v>
      </c>
      <c r="O2157" s="130">
        <f t="shared" si="163"/>
        <v>204652.66146248323</v>
      </c>
      <c r="P2157" s="132">
        <f t="shared" si="164"/>
        <v>142132.26253215483</v>
      </c>
      <c r="Q2157" s="261">
        <v>0.90924591126766829</v>
      </c>
      <c r="R2157" s="92"/>
    </row>
    <row r="2158" spans="1:18" x14ac:dyDescent="0.25">
      <c r="A2158" s="353">
        <v>41610</v>
      </c>
      <c r="B2158" s="353" t="s">
        <v>285</v>
      </c>
      <c r="C2158" s="263" t="s">
        <v>756</v>
      </c>
      <c r="D2158" s="157" t="s">
        <v>728</v>
      </c>
      <c r="E2158" s="44">
        <f t="shared" si="165"/>
        <v>41610</v>
      </c>
      <c r="F2158" s="146" t="str">
        <f t="shared" si="161"/>
        <v>2013-14</v>
      </c>
      <c r="G2158" s="1"/>
      <c r="H2158" s="161"/>
      <c r="I2158" s="37"/>
      <c r="J2158" s="135">
        <f t="shared" si="162"/>
        <v>0.76382508261777382</v>
      </c>
      <c r="K2158" s="112"/>
      <c r="L2158" s="37">
        <v>50.997816786599998</v>
      </c>
      <c r="M2158" s="37" t="s">
        <v>288</v>
      </c>
      <c r="N2158" s="37">
        <v>950.87219512195099</v>
      </c>
      <c r="O2158" s="130">
        <f t="shared" si="163"/>
        <v>48492.405994301422</v>
      </c>
      <c r="P2158" s="132">
        <f t="shared" si="164"/>
        <v>33678.210341092417</v>
      </c>
      <c r="Q2158" s="261">
        <v>0.90924591126766829</v>
      </c>
      <c r="R2158" s="92"/>
    </row>
    <row r="2159" spans="1:18" x14ac:dyDescent="0.25">
      <c r="A2159" s="353">
        <v>41610</v>
      </c>
      <c r="B2159" s="353" t="s">
        <v>285</v>
      </c>
      <c r="C2159" s="263" t="s">
        <v>756</v>
      </c>
      <c r="D2159" s="157" t="s">
        <v>728</v>
      </c>
      <c r="E2159" s="44">
        <f t="shared" si="165"/>
        <v>41610</v>
      </c>
      <c r="F2159" s="146" t="str">
        <f t="shared" si="161"/>
        <v>2013-14</v>
      </c>
      <c r="G2159" s="1"/>
      <c r="H2159" s="161"/>
      <c r="I2159" s="37"/>
      <c r="J2159" s="135">
        <f t="shared" si="162"/>
        <v>0.76382508261777382</v>
      </c>
      <c r="K2159" s="112"/>
      <c r="L2159" s="37">
        <v>50.101088953100003</v>
      </c>
      <c r="M2159" s="37" t="s">
        <v>288</v>
      </c>
      <c r="N2159" s="37">
        <v>3592.3639024390236</v>
      </c>
      <c r="O2159" s="130">
        <f t="shared" si="163"/>
        <v>179981.34342800299</v>
      </c>
      <c r="P2159" s="132">
        <f t="shared" si="164"/>
        <v>124997.91291347734</v>
      </c>
      <c r="Q2159" s="261">
        <v>0.90924591126766829</v>
      </c>
      <c r="R2159" s="92"/>
    </row>
    <row r="2160" spans="1:18" x14ac:dyDescent="0.25">
      <c r="A2160" s="353">
        <v>41610</v>
      </c>
      <c r="B2160" s="353" t="s">
        <v>285</v>
      </c>
      <c r="C2160" s="263" t="s">
        <v>756</v>
      </c>
      <c r="D2160" s="157" t="s">
        <v>728</v>
      </c>
      <c r="E2160" s="44">
        <f t="shared" si="165"/>
        <v>41610</v>
      </c>
      <c r="F2160" s="146" t="str">
        <f t="shared" si="161"/>
        <v>2013-14</v>
      </c>
      <c r="G2160" s="1"/>
      <c r="H2160" s="161"/>
      <c r="I2160" s="37"/>
      <c r="J2160" s="135">
        <f t="shared" si="162"/>
        <v>0.76382508261777382</v>
      </c>
      <c r="K2160" s="112"/>
      <c r="L2160" s="37">
        <v>22.656000088300001</v>
      </c>
      <c r="M2160" s="37" t="s">
        <v>288</v>
      </c>
      <c r="N2160" s="37">
        <v>950.87219512195099</v>
      </c>
      <c r="O2160" s="130">
        <f t="shared" si="163"/>
        <v>21542.960536644936</v>
      </c>
      <c r="P2160" s="132">
        <f t="shared" si="164"/>
        <v>14961.690216159654</v>
      </c>
      <c r="Q2160" s="261">
        <v>0.90924591126766829</v>
      </c>
      <c r="R2160" s="92"/>
    </row>
    <row r="2161" spans="1:18" x14ac:dyDescent="0.25">
      <c r="A2161" s="353">
        <v>41610</v>
      </c>
      <c r="B2161" s="353" t="s">
        <v>285</v>
      </c>
      <c r="C2161" s="263" t="s">
        <v>756</v>
      </c>
      <c r="D2161" s="157" t="s">
        <v>728</v>
      </c>
      <c r="E2161" s="44">
        <f t="shared" si="165"/>
        <v>41610</v>
      </c>
      <c r="F2161" s="146" t="str">
        <f t="shared" si="161"/>
        <v>2013-14</v>
      </c>
      <c r="G2161" s="1"/>
      <c r="H2161" s="161"/>
      <c r="I2161" s="37"/>
      <c r="J2161" s="135">
        <f t="shared" si="162"/>
        <v>0.76382508261777382</v>
      </c>
      <c r="K2161" s="112"/>
      <c r="L2161" s="37">
        <v>63.279898271</v>
      </c>
      <c r="M2161" s="37" t="s">
        <v>288</v>
      </c>
      <c r="N2161" s="37">
        <v>950.87219512195099</v>
      </c>
      <c r="O2161" s="130">
        <f t="shared" si="163"/>
        <v>60171.095776039525</v>
      </c>
      <c r="P2161" s="132">
        <f t="shared" si="164"/>
        <v>41789.116841049603</v>
      </c>
      <c r="Q2161" s="261">
        <v>0.90924591126766829</v>
      </c>
      <c r="R2161" s="92"/>
    </row>
    <row r="2162" spans="1:18" x14ac:dyDescent="0.25">
      <c r="A2162" s="353">
        <v>43154</v>
      </c>
      <c r="B2162" s="353" t="s">
        <v>285</v>
      </c>
      <c r="C2162" s="263" t="s">
        <v>757</v>
      </c>
      <c r="D2162" s="157" t="s">
        <v>699</v>
      </c>
      <c r="E2162" s="44">
        <f t="shared" si="165"/>
        <v>43154</v>
      </c>
      <c r="F2162" s="146" t="str">
        <f t="shared" si="161"/>
        <v>2017-18</v>
      </c>
      <c r="G2162" s="1"/>
      <c r="H2162" s="161"/>
      <c r="I2162" s="37"/>
      <c r="J2162" s="135">
        <f t="shared" si="162"/>
        <v>0.76382508261777382</v>
      </c>
      <c r="K2162" s="112"/>
      <c r="L2162" s="37">
        <v>51.148943630399998</v>
      </c>
      <c r="M2162" s="37" t="s">
        <v>288</v>
      </c>
      <c r="N2162" s="37">
        <v>950.87219512195099</v>
      </c>
      <c r="O2162" s="130">
        <f t="shared" si="163"/>
        <v>48636.10830800738</v>
      </c>
      <c r="P2162" s="132">
        <f t="shared" si="164"/>
        <v>34168.934451563895</v>
      </c>
      <c r="Q2162" s="261">
        <v>0.91976886246027956</v>
      </c>
      <c r="R2162" s="92"/>
    </row>
    <row r="2163" spans="1:18" x14ac:dyDescent="0.25">
      <c r="A2163" s="353">
        <v>43154</v>
      </c>
      <c r="B2163" s="353" t="s">
        <v>285</v>
      </c>
      <c r="C2163" s="263" t="s">
        <v>757</v>
      </c>
      <c r="D2163" s="157" t="s">
        <v>699</v>
      </c>
      <c r="E2163" s="44">
        <f t="shared" si="165"/>
        <v>43154</v>
      </c>
      <c r="F2163" s="146" t="str">
        <f t="shared" si="161"/>
        <v>2017-18</v>
      </c>
      <c r="G2163" s="1"/>
      <c r="H2163" s="161"/>
      <c r="I2163" s="37"/>
      <c r="J2163" s="135">
        <f t="shared" si="162"/>
        <v>0.76382508261777382</v>
      </c>
      <c r="K2163" s="112"/>
      <c r="L2163" s="37">
        <v>4.8267110955600003</v>
      </c>
      <c r="M2163" s="37" t="s">
        <v>288</v>
      </c>
      <c r="N2163" s="37">
        <v>950.87219512195099</v>
      </c>
      <c r="O2163" s="130">
        <f t="shared" si="163"/>
        <v>4589.5853746546145</v>
      </c>
      <c r="P2163" s="132">
        <f t="shared" si="164"/>
        <v>3224.3789086350689</v>
      </c>
      <c r="Q2163" s="261">
        <v>0.91976886246027956</v>
      </c>
      <c r="R2163" s="92"/>
    </row>
    <row r="2164" spans="1:18" x14ac:dyDescent="0.25">
      <c r="A2164" s="353">
        <v>43154</v>
      </c>
      <c r="B2164" s="353" t="s">
        <v>285</v>
      </c>
      <c r="C2164" s="263" t="s">
        <v>757</v>
      </c>
      <c r="D2164" s="157" t="s">
        <v>699</v>
      </c>
      <c r="E2164" s="44">
        <f t="shared" si="165"/>
        <v>43154</v>
      </c>
      <c r="F2164" s="146" t="str">
        <f t="shared" si="161"/>
        <v>2017-18</v>
      </c>
      <c r="G2164" s="1"/>
      <c r="H2164" s="161"/>
      <c r="I2164" s="37"/>
      <c r="J2164" s="135">
        <f t="shared" si="162"/>
        <v>0.76382508261777382</v>
      </c>
      <c r="K2164" s="112"/>
      <c r="L2164" s="37">
        <v>71.614003711300001</v>
      </c>
      <c r="M2164" s="37" t="s">
        <v>288</v>
      </c>
      <c r="N2164" s="37">
        <v>3592.3639024390236</v>
      </c>
      <c r="O2164" s="130">
        <f t="shared" si="163"/>
        <v>257263.5618416084</v>
      </c>
      <c r="P2164" s="132">
        <f t="shared" si="164"/>
        <v>180738.59293331928</v>
      </c>
      <c r="Q2164" s="261">
        <v>0.91976886246027956</v>
      </c>
      <c r="R2164" s="92"/>
    </row>
    <row r="2165" spans="1:18" x14ac:dyDescent="0.25">
      <c r="A2165" s="353">
        <v>43154</v>
      </c>
      <c r="B2165" s="353" t="s">
        <v>285</v>
      </c>
      <c r="C2165" s="263" t="s">
        <v>757</v>
      </c>
      <c r="D2165" s="157" t="s">
        <v>699</v>
      </c>
      <c r="E2165" s="44">
        <f t="shared" si="165"/>
        <v>43154</v>
      </c>
      <c r="F2165" s="146" t="str">
        <f t="shared" si="161"/>
        <v>2017-18</v>
      </c>
      <c r="G2165" s="1"/>
      <c r="H2165" s="161"/>
      <c r="I2165" s="37"/>
      <c r="J2165" s="135">
        <f t="shared" si="162"/>
        <v>0.76382508261777382</v>
      </c>
      <c r="K2165" s="112"/>
      <c r="L2165" s="37">
        <v>37.570806373499998</v>
      </c>
      <c r="M2165" s="37" t="s">
        <v>288</v>
      </c>
      <c r="N2165" s="37">
        <v>950.87219512195099</v>
      </c>
      <c r="O2165" s="130">
        <f t="shared" si="163"/>
        <v>35725.035128871728</v>
      </c>
      <c r="P2165" s="132">
        <f t="shared" si="164"/>
        <v>25098.356469390124</v>
      </c>
      <c r="Q2165" s="261">
        <v>0.91976886246027956</v>
      </c>
      <c r="R2165" s="92"/>
    </row>
    <row r="2166" spans="1:18" x14ac:dyDescent="0.25">
      <c r="A2166" s="353">
        <v>43154</v>
      </c>
      <c r="B2166" s="353" t="s">
        <v>285</v>
      </c>
      <c r="C2166" s="263" t="s">
        <v>757</v>
      </c>
      <c r="D2166" s="157" t="s">
        <v>699</v>
      </c>
      <c r="E2166" s="44">
        <f t="shared" si="165"/>
        <v>43154</v>
      </c>
      <c r="F2166" s="146" t="str">
        <f t="shared" si="161"/>
        <v>2017-18</v>
      </c>
      <c r="G2166" s="1"/>
      <c r="H2166" s="161"/>
      <c r="I2166" s="37"/>
      <c r="J2166" s="135">
        <f t="shared" si="162"/>
        <v>0.76382508261777382</v>
      </c>
      <c r="K2166" s="112"/>
      <c r="L2166" s="37">
        <v>19.990824520299999</v>
      </c>
      <c r="M2166" s="37" t="s">
        <v>288</v>
      </c>
      <c r="N2166" s="37">
        <v>950.87219512195099</v>
      </c>
      <c r="O2166" s="130">
        <f t="shared" si="163"/>
        <v>19008.719193915382</v>
      </c>
      <c r="P2166" s="132">
        <f t="shared" si="164"/>
        <v>13354.433624331436</v>
      </c>
      <c r="Q2166" s="261">
        <v>0.91976886246027956</v>
      </c>
      <c r="R2166" s="92"/>
    </row>
    <row r="2167" spans="1:18" x14ac:dyDescent="0.25">
      <c r="A2167" s="353">
        <v>43154</v>
      </c>
      <c r="B2167" s="353" t="s">
        <v>285</v>
      </c>
      <c r="C2167" s="263" t="s">
        <v>757</v>
      </c>
      <c r="D2167" s="157" t="s">
        <v>699</v>
      </c>
      <c r="E2167" s="44">
        <f t="shared" si="165"/>
        <v>43154</v>
      </c>
      <c r="F2167" s="146" t="str">
        <f t="shared" si="161"/>
        <v>2017-18</v>
      </c>
      <c r="G2167" s="1"/>
      <c r="H2167" s="161"/>
      <c r="I2167" s="37"/>
      <c r="J2167" s="135">
        <f t="shared" si="162"/>
        <v>0.76382508261777382</v>
      </c>
      <c r="K2167" s="112"/>
      <c r="L2167" s="37">
        <v>4.8267110955600003</v>
      </c>
      <c r="M2167" s="37" t="s">
        <v>288</v>
      </c>
      <c r="N2167" s="37">
        <v>950.87219512195099</v>
      </c>
      <c r="O2167" s="130">
        <f t="shared" si="163"/>
        <v>4589.5853746546145</v>
      </c>
      <c r="P2167" s="132">
        <f t="shared" si="164"/>
        <v>3224.3789086350689</v>
      </c>
      <c r="Q2167" s="261">
        <v>0.91976886246027956</v>
      </c>
      <c r="R2167" s="92"/>
    </row>
    <row r="2168" spans="1:18" x14ac:dyDescent="0.25">
      <c r="A2168" s="353">
        <v>43154</v>
      </c>
      <c r="B2168" s="353" t="s">
        <v>285</v>
      </c>
      <c r="C2168" s="263" t="s">
        <v>757</v>
      </c>
      <c r="D2168" s="157" t="s">
        <v>699</v>
      </c>
      <c r="E2168" s="44">
        <f t="shared" si="165"/>
        <v>43154</v>
      </c>
      <c r="F2168" s="146" t="str">
        <f t="shared" si="161"/>
        <v>2017-18</v>
      </c>
      <c r="G2168" s="1"/>
      <c r="H2168" s="161"/>
      <c r="I2168" s="37"/>
      <c r="J2168" s="135">
        <f t="shared" si="162"/>
        <v>0.76382508261777382</v>
      </c>
      <c r="K2168" s="112"/>
      <c r="L2168" s="37">
        <v>19.990824520299999</v>
      </c>
      <c r="M2168" s="37" t="s">
        <v>288</v>
      </c>
      <c r="N2168" s="37">
        <v>950.87219512195099</v>
      </c>
      <c r="O2168" s="130">
        <f t="shared" si="163"/>
        <v>19008.719193915382</v>
      </c>
      <c r="P2168" s="132">
        <f t="shared" si="164"/>
        <v>13354.433624331436</v>
      </c>
      <c r="Q2168" s="261">
        <v>0.91976886246027956</v>
      </c>
      <c r="R2168" s="92"/>
    </row>
    <row r="2169" spans="1:18" x14ac:dyDescent="0.25">
      <c r="A2169" s="353">
        <v>43154</v>
      </c>
      <c r="B2169" s="353" t="s">
        <v>285</v>
      </c>
      <c r="C2169" s="263" t="s">
        <v>757</v>
      </c>
      <c r="D2169" s="157" t="s">
        <v>699</v>
      </c>
      <c r="E2169" s="44">
        <f t="shared" si="165"/>
        <v>43154</v>
      </c>
      <c r="F2169" s="146" t="str">
        <f t="shared" si="161"/>
        <v>2017-18</v>
      </c>
      <c r="G2169" s="1"/>
      <c r="H2169" s="161"/>
      <c r="I2169" s="37"/>
      <c r="J2169" s="135">
        <f t="shared" si="162"/>
        <v>0.76382508261777382</v>
      </c>
      <c r="K2169" s="112"/>
      <c r="L2169" s="37">
        <v>51.148943649499998</v>
      </c>
      <c r="M2169" s="37" t="s">
        <v>288</v>
      </c>
      <c r="N2169" s="37">
        <v>950.87219512195099</v>
      </c>
      <c r="O2169" s="130">
        <f t="shared" si="163"/>
        <v>48636.108326169036</v>
      </c>
      <c r="P2169" s="132">
        <f t="shared" si="164"/>
        <v>34168.93446432324</v>
      </c>
      <c r="Q2169" s="261">
        <v>0.91976886246027956</v>
      </c>
      <c r="R2169" s="92"/>
    </row>
    <row r="2170" spans="1:18" x14ac:dyDescent="0.25">
      <c r="A2170" s="353">
        <v>43154</v>
      </c>
      <c r="B2170" s="353" t="s">
        <v>285</v>
      </c>
      <c r="C2170" s="263" t="s">
        <v>757</v>
      </c>
      <c r="D2170" s="157" t="s">
        <v>699</v>
      </c>
      <c r="E2170" s="44">
        <f t="shared" si="165"/>
        <v>43154</v>
      </c>
      <c r="F2170" s="146" t="str">
        <f t="shared" si="161"/>
        <v>2017-18</v>
      </c>
      <c r="G2170" s="1"/>
      <c r="H2170" s="161"/>
      <c r="I2170" s="37"/>
      <c r="J2170" s="135">
        <f t="shared" si="162"/>
        <v>0.76382508261777382</v>
      </c>
      <c r="K2170" s="112"/>
      <c r="L2170" s="37">
        <v>19.990824520299999</v>
      </c>
      <c r="M2170" s="37" t="s">
        <v>288</v>
      </c>
      <c r="N2170" s="37">
        <v>950.87219512195099</v>
      </c>
      <c r="O2170" s="130">
        <f t="shared" si="163"/>
        <v>19008.719193915382</v>
      </c>
      <c r="P2170" s="132">
        <f t="shared" si="164"/>
        <v>13354.433624331436</v>
      </c>
      <c r="Q2170" s="261">
        <v>0.91976886246027956</v>
      </c>
      <c r="R2170" s="92"/>
    </row>
    <row r="2171" spans="1:18" x14ac:dyDescent="0.25">
      <c r="A2171" s="353">
        <v>43154</v>
      </c>
      <c r="B2171" s="353" t="s">
        <v>285</v>
      </c>
      <c r="C2171" s="263" t="s">
        <v>757</v>
      </c>
      <c r="D2171" s="157" t="s">
        <v>699</v>
      </c>
      <c r="E2171" s="44">
        <f t="shared" si="165"/>
        <v>43154</v>
      </c>
      <c r="F2171" s="146" t="str">
        <f t="shared" ref="F2171:F2234" si="166">IF(E2171="","-",IF(OR(E2171&lt;$E$15,E2171&gt;$E$16),"ERROR - date outside of range",IF(MONTH(E2171)&gt;=7,YEAR(E2171)&amp;"-"&amp;IF(YEAR(E2171)=1999,"00",IF(AND(YEAR(E2171)&gt;=2000,YEAR(E2171)&lt;2009),"0","")&amp;RIGHT(YEAR(E2171),2)+1),RIGHT(YEAR(E2171),4)-1&amp;"-"&amp;RIGHT(YEAR(E2171),2))))</f>
        <v>2017-18</v>
      </c>
      <c r="G2171" s="1"/>
      <c r="H2171" s="161"/>
      <c r="I2171" s="37"/>
      <c r="J2171" s="135">
        <f t="shared" si="162"/>
        <v>0.76382508261777382</v>
      </c>
      <c r="K2171" s="112"/>
      <c r="L2171" s="37">
        <v>4.82575434518</v>
      </c>
      <c r="M2171" s="37" t="s">
        <v>288</v>
      </c>
      <c r="N2171" s="37">
        <v>950.87219512195099</v>
      </c>
      <c r="O2171" s="130">
        <f t="shared" si="163"/>
        <v>4588.6756273206001</v>
      </c>
      <c r="P2171" s="132">
        <f t="shared" si="164"/>
        <v>3223.7397724437737</v>
      </c>
      <c r="Q2171" s="261">
        <v>0.91976886246027956</v>
      </c>
      <c r="R2171" s="92"/>
    </row>
    <row r="2172" spans="1:18" x14ac:dyDescent="0.25">
      <c r="A2172" s="353">
        <v>43154</v>
      </c>
      <c r="B2172" s="353" t="s">
        <v>285</v>
      </c>
      <c r="C2172" s="263" t="s">
        <v>757</v>
      </c>
      <c r="D2172" s="157" t="s">
        <v>699</v>
      </c>
      <c r="E2172" s="44">
        <f t="shared" si="165"/>
        <v>43154</v>
      </c>
      <c r="F2172" s="146" t="str">
        <f t="shared" si="166"/>
        <v>2017-18</v>
      </c>
      <c r="G2172" s="1"/>
      <c r="H2172" s="161"/>
      <c r="I2172" s="37"/>
      <c r="J2172" s="135">
        <f t="shared" si="162"/>
        <v>0.76382508261777382</v>
      </c>
      <c r="K2172" s="112"/>
      <c r="L2172" s="37">
        <v>4.8267110955600003</v>
      </c>
      <c r="M2172" s="37" t="s">
        <v>288</v>
      </c>
      <c r="N2172" s="37">
        <v>950.87219512195099</v>
      </c>
      <c r="O2172" s="130">
        <f t="shared" si="163"/>
        <v>4589.5853746546145</v>
      </c>
      <c r="P2172" s="132">
        <f t="shared" si="164"/>
        <v>3224.3789086350689</v>
      </c>
      <c r="Q2172" s="261">
        <v>0.91976886246027956</v>
      </c>
      <c r="R2172" s="92"/>
    </row>
    <row r="2173" spans="1:18" x14ac:dyDescent="0.25">
      <c r="A2173" s="353">
        <v>43154</v>
      </c>
      <c r="B2173" s="353" t="s">
        <v>285</v>
      </c>
      <c r="C2173" s="263" t="s">
        <v>757</v>
      </c>
      <c r="D2173" s="157" t="s">
        <v>699</v>
      </c>
      <c r="E2173" s="44">
        <f t="shared" si="165"/>
        <v>43154</v>
      </c>
      <c r="F2173" s="146" t="str">
        <f t="shared" si="166"/>
        <v>2017-18</v>
      </c>
      <c r="G2173" s="1"/>
      <c r="H2173" s="161"/>
      <c r="I2173" s="37"/>
      <c r="J2173" s="135">
        <f t="shared" si="162"/>
        <v>0.76382508261777382</v>
      </c>
      <c r="K2173" s="112"/>
      <c r="L2173" s="37">
        <v>4.8254635010499998</v>
      </c>
      <c r="M2173" s="37" t="s">
        <v>288</v>
      </c>
      <c r="N2173" s="37">
        <v>950.87219512195099</v>
      </c>
      <c r="O2173" s="130">
        <f t="shared" si="163"/>
        <v>4588.3990717242677</v>
      </c>
      <c r="P2173" s="132">
        <f t="shared" si="164"/>
        <v>3223.5454803761713</v>
      </c>
      <c r="Q2173" s="261">
        <v>0.91976886246027956</v>
      </c>
      <c r="R2173" s="92"/>
    </row>
    <row r="2174" spans="1:18" x14ac:dyDescent="0.25">
      <c r="A2174" s="353">
        <v>43154</v>
      </c>
      <c r="B2174" s="353" t="s">
        <v>285</v>
      </c>
      <c r="C2174" s="263" t="s">
        <v>757</v>
      </c>
      <c r="D2174" s="157" t="s">
        <v>699</v>
      </c>
      <c r="E2174" s="44">
        <f t="shared" si="165"/>
        <v>43154</v>
      </c>
      <c r="F2174" s="146" t="str">
        <f t="shared" si="166"/>
        <v>2017-18</v>
      </c>
      <c r="G2174" s="1"/>
      <c r="H2174" s="161"/>
      <c r="I2174" s="37"/>
      <c r="J2174" s="135">
        <f t="shared" si="162"/>
        <v>0.76382508261777382</v>
      </c>
      <c r="K2174" s="112"/>
      <c r="L2174" s="37">
        <v>10.520271573600001</v>
      </c>
      <c r="M2174" s="37" t="s">
        <v>288</v>
      </c>
      <c r="N2174" s="37">
        <v>950.87219512195099</v>
      </c>
      <c r="O2174" s="130">
        <f t="shared" si="163"/>
        <v>10003.433724468094</v>
      </c>
      <c r="P2174" s="132">
        <f t="shared" si="164"/>
        <v>7027.8376110458548</v>
      </c>
      <c r="Q2174" s="261">
        <v>0.91976886246027956</v>
      </c>
      <c r="R2174" s="92"/>
    </row>
    <row r="2175" spans="1:18" x14ac:dyDescent="0.25">
      <c r="A2175" s="353">
        <v>43154</v>
      </c>
      <c r="B2175" s="353" t="s">
        <v>285</v>
      </c>
      <c r="C2175" s="263" t="s">
        <v>757</v>
      </c>
      <c r="D2175" s="157" t="s">
        <v>699</v>
      </c>
      <c r="E2175" s="44">
        <f t="shared" si="165"/>
        <v>43154</v>
      </c>
      <c r="F2175" s="146" t="str">
        <f t="shared" si="166"/>
        <v>2017-18</v>
      </c>
      <c r="G2175" s="1"/>
      <c r="H2175" s="161"/>
      <c r="I2175" s="37"/>
      <c r="J2175" s="135">
        <f t="shared" si="162"/>
        <v>0.76382508261777382</v>
      </c>
      <c r="K2175" s="112"/>
      <c r="L2175" s="37">
        <v>10.5817066186</v>
      </c>
      <c r="M2175" s="37" t="s">
        <v>288</v>
      </c>
      <c r="N2175" s="37">
        <v>950.87219512195099</v>
      </c>
      <c r="O2175" s="130">
        <f t="shared" si="163"/>
        <v>10061.85060056466</v>
      </c>
      <c r="P2175" s="132">
        <f t="shared" si="164"/>
        <v>7068.8779508190937</v>
      </c>
      <c r="Q2175" s="261">
        <v>0.91976886246027956</v>
      </c>
      <c r="R2175" s="92"/>
    </row>
    <row r="2176" spans="1:18" x14ac:dyDescent="0.25">
      <c r="A2176" s="353">
        <v>43154</v>
      </c>
      <c r="B2176" s="353" t="s">
        <v>285</v>
      </c>
      <c r="C2176" s="263" t="s">
        <v>757</v>
      </c>
      <c r="D2176" s="157" t="s">
        <v>699</v>
      </c>
      <c r="E2176" s="44">
        <f t="shared" si="165"/>
        <v>43154</v>
      </c>
      <c r="F2176" s="146" t="str">
        <f t="shared" si="166"/>
        <v>2017-18</v>
      </c>
      <c r="G2176" s="1"/>
      <c r="H2176" s="161"/>
      <c r="I2176" s="37"/>
      <c r="J2176" s="135">
        <f t="shared" si="162"/>
        <v>0.76382508261777382</v>
      </c>
      <c r="K2176" s="112"/>
      <c r="L2176" s="37">
        <v>4.82575434518</v>
      </c>
      <c r="M2176" s="37" t="s">
        <v>288</v>
      </c>
      <c r="N2176" s="37">
        <v>950.87219512195099</v>
      </c>
      <c r="O2176" s="130">
        <f t="shared" si="163"/>
        <v>4588.6756273206001</v>
      </c>
      <c r="P2176" s="132">
        <f t="shared" si="164"/>
        <v>3223.7397724437737</v>
      </c>
      <c r="Q2176" s="261">
        <v>0.91976886246027956</v>
      </c>
      <c r="R2176" s="92"/>
    </row>
    <row r="2177" spans="1:18" x14ac:dyDescent="0.25">
      <c r="A2177" s="353">
        <v>43154</v>
      </c>
      <c r="B2177" s="353" t="s">
        <v>285</v>
      </c>
      <c r="C2177" s="263" t="s">
        <v>757</v>
      </c>
      <c r="D2177" s="157" t="s">
        <v>699</v>
      </c>
      <c r="E2177" s="44">
        <f t="shared" si="165"/>
        <v>43154</v>
      </c>
      <c r="F2177" s="146" t="str">
        <f t="shared" si="166"/>
        <v>2017-18</v>
      </c>
      <c r="G2177" s="1"/>
      <c r="H2177" s="161"/>
      <c r="I2177" s="37"/>
      <c r="J2177" s="135">
        <f t="shared" si="162"/>
        <v>0.76382508261777382</v>
      </c>
      <c r="K2177" s="112"/>
      <c r="L2177" s="37">
        <v>11.285178160699999</v>
      </c>
      <c r="M2177" s="37" t="s">
        <v>288</v>
      </c>
      <c r="N2177" s="37">
        <v>950.87219512195099</v>
      </c>
      <c r="O2177" s="130">
        <f t="shared" si="163"/>
        <v>10730.76213000711</v>
      </c>
      <c r="P2177" s="132">
        <f t="shared" si="164"/>
        <v>7538.8167472924824</v>
      </c>
      <c r="Q2177" s="261">
        <v>0.91976886246027956</v>
      </c>
      <c r="R2177" s="92"/>
    </row>
    <row r="2178" spans="1:18" x14ac:dyDescent="0.25">
      <c r="A2178" s="353">
        <v>43154</v>
      </c>
      <c r="B2178" s="353" t="s">
        <v>285</v>
      </c>
      <c r="C2178" s="263" t="s">
        <v>757</v>
      </c>
      <c r="D2178" s="157" t="s">
        <v>699</v>
      </c>
      <c r="E2178" s="44">
        <f t="shared" si="165"/>
        <v>43154</v>
      </c>
      <c r="F2178" s="146" t="str">
        <f t="shared" si="166"/>
        <v>2017-18</v>
      </c>
      <c r="G2178" s="1"/>
      <c r="H2178" s="161"/>
      <c r="I2178" s="37"/>
      <c r="J2178" s="135">
        <f t="shared" si="162"/>
        <v>0.76382508261777382</v>
      </c>
      <c r="K2178" s="112"/>
      <c r="L2178" s="37">
        <v>10.909291699300001</v>
      </c>
      <c r="M2178" s="37" t="s">
        <v>288</v>
      </c>
      <c r="N2178" s="37">
        <v>950.87219512195099</v>
      </c>
      <c r="O2178" s="130">
        <f t="shared" si="163"/>
        <v>10373.342145339071</v>
      </c>
      <c r="P2178" s="132">
        <f t="shared" si="164"/>
        <v>7287.7140079355495</v>
      </c>
      <c r="Q2178" s="261">
        <v>0.91976886246027956</v>
      </c>
      <c r="R2178" s="92"/>
    </row>
    <row r="2179" spans="1:18" x14ac:dyDescent="0.25">
      <c r="A2179" s="353">
        <v>43154</v>
      </c>
      <c r="B2179" s="353" t="s">
        <v>285</v>
      </c>
      <c r="C2179" s="263" t="s">
        <v>757</v>
      </c>
      <c r="D2179" s="157" t="s">
        <v>699</v>
      </c>
      <c r="E2179" s="44">
        <f t="shared" si="165"/>
        <v>43154</v>
      </c>
      <c r="F2179" s="146" t="str">
        <f t="shared" si="166"/>
        <v>2017-18</v>
      </c>
      <c r="G2179" s="1"/>
      <c r="H2179" s="161"/>
      <c r="I2179" s="37"/>
      <c r="J2179" s="135">
        <f t="shared" si="162"/>
        <v>0.76382508261777382</v>
      </c>
      <c r="K2179" s="112"/>
      <c r="L2179" s="37">
        <v>11.125278333600001</v>
      </c>
      <c r="M2179" s="37" t="s">
        <v>288</v>
      </c>
      <c r="N2179" s="37">
        <v>950.87219512195099</v>
      </c>
      <c r="O2179" s="130">
        <f t="shared" si="163"/>
        <v>10578.717830412914</v>
      </c>
      <c r="P2179" s="132">
        <f t="shared" si="164"/>
        <v>7431.9991607852035</v>
      </c>
      <c r="Q2179" s="261">
        <v>0.91976886246027956</v>
      </c>
      <c r="R2179" s="92"/>
    </row>
    <row r="2180" spans="1:18" x14ac:dyDescent="0.25">
      <c r="A2180" s="353">
        <v>41579</v>
      </c>
      <c r="B2180" s="353" t="s">
        <v>285</v>
      </c>
      <c r="C2180" s="263" t="s">
        <v>758</v>
      </c>
      <c r="D2180" s="157" t="s">
        <v>692</v>
      </c>
      <c r="E2180" s="44">
        <f t="shared" si="165"/>
        <v>41579</v>
      </c>
      <c r="F2180" s="146" t="str">
        <f t="shared" si="166"/>
        <v>2013-14</v>
      </c>
      <c r="G2180" s="1"/>
      <c r="H2180" s="161"/>
      <c r="I2180" s="37"/>
      <c r="J2180" s="135">
        <f t="shared" si="162"/>
        <v>0.76382508261777382</v>
      </c>
      <c r="K2180" s="112"/>
      <c r="L2180" s="37">
        <v>51.999104001900001</v>
      </c>
      <c r="M2180" s="37" t="s">
        <v>288</v>
      </c>
      <c r="N2180" s="37">
        <v>950.87219512195099</v>
      </c>
      <c r="O2180" s="130">
        <f t="shared" si="163"/>
        <v>49444.502166661281</v>
      </c>
      <c r="P2180" s="132">
        <f t="shared" si="164"/>
        <v>34796.922241920278</v>
      </c>
      <c r="Q2180" s="261">
        <v>0.92135905505678073</v>
      </c>
      <c r="R2180" s="92"/>
    </row>
    <row r="2181" spans="1:18" x14ac:dyDescent="0.25">
      <c r="A2181" s="353">
        <v>41579</v>
      </c>
      <c r="B2181" s="353" t="s">
        <v>285</v>
      </c>
      <c r="C2181" s="263" t="s">
        <v>758</v>
      </c>
      <c r="D2181" s="157" t="s">
        <v>692</v>
      </c>
      <c r="E2181" s="44">
        <f t="shared" si="165"/>
        <v>41579</v>
      </c>
      <c r="F2181" s="146" t="str">
        <f t="shared" si="166"/>
        <v>2013-14</v>
      </c>
      <c r="G2181" s="1"/>
      <c r="H2181" s="161"/>
      <c r="I2181" s="37"/>
      <c r="J2181" s="135">
        <f t="shared" si="162"/>
        <v>0.76382508261777382</v>
      </c>
      <c r="K2181" s="112"/>
      <c r="L2181" s="37">
        <v>25.401039840900001</v>
      </c>
      <c r="M2181" s="37" t="s">
        <v>288</v>
      </c>
      <c r="N2181" s="37">
        <v>950.87219512195099</v>
      </c>
      <c r="O2181" s="130">
        <f t="shared" si="163"/>
        <v>24153.142511896716</v>
      </c>
      <c r="P2181" s="132">
        <f t="shared" si="164"/>
        <v>16997.946891073745</v>
      </c>
      <c r="Q2181" s="261">
        <v>0.92135905505678073</v>
      </c>
      <c r="R2181" s="92"/>
    </row>
    <row r="2182" spans="1:18" x14ac:dyDescent="0.25">
      <c r="A2182" s="353">
        <v>41579</v>
      </c>
      <c r="B2182" s="353" t="s">
        <v>285</v>
      </c>
      <c r="C2182" s="263" t="s">
        <v>758</v>
      </c>
      <c r="D2182" s="157" t="s">
        <v>692</v>
      </c>
      <c r="E2182" s="44">
        <f t="shared" si="165"/>
        <v>41579</v>
      </c>
      <c r="F2182" s="146" t="str">
        <f t="shared" si="166"/>
        <v>2013-14</v>
      </c>
      <c r="G2182" s="1"/>
      <c r="H2182" s="161"/>
      <c r="I2182" s="37"/>
      <c r="J2182" s="135">
        <f t="shared" si="162"/>
        <v>0.76382508261777382</v>
      </c>
      <c r="K2182" s="112"/>
      <c r="L2182" s="37">
        <v>37.028204952400003</v>
      </c>
      <c r="M2182" s="37" t="s">
        <v>288</v>
      </c>
      <c r="N2182" s="37">
        <v>950.87219512195099</v>
      </c>
      <c r="O2182" s="130">
        <f t="shared" si="163"/>
        <v>35209.090524514089</v>
      </c>
      <c r="P2182" s="132">
        <f t="shared" si="164"/>
        <v>24778.649425179919</v>
      </c>
      <c r="Q2182" s="261">
        <v>0.92135905505678073</v>
      </c>
      <c r="R2182" s="92"/>
    </row>
    <row r="2183" spans="1:18" x14ac:dyDescent="0.25">
      <c r="A2183" s="353">
        <v>41579</v>
      </c>
      <c r="B2183" s="353" t="s">
        <v>285</v>
      </c>
      <c r="C2183" s="263" t="s">
        <v>758</v>
      </c>
      <c r="D2183" s="157" t="s">
        <v>692</v>
      </c>
      <c r="E2183" s="44">
        <f t="shared" si="165"/>
        <v>41579</v>
      </c>
      <c r="F2183" s="146" t="str">
        <f t="shared" si="166"/>
        <v>2013-14</v>
      </c>
      <c r="G2183" s="1"/>
      <c r="H2183" s="161"/>
      <c r="I2183" s="37"/>
      <c r="J2183" s="135">
        <f t="shared" si="162"/>
        <v>0.76382508261777382</v>
      </c>
      <c r="K2183" s="112"/>
      <c r="L2183" s="37">
        <v>34.444173106599997</v>
      </c>
      <c r="M2183" s="37" t="s">
        <v>288</v>
      </c>
      <c r="N2183" s="37">
        <v>950.87219512195099</v>
      </c>
      <c r="O2183" s="130">
        <f t="shared" si="163"/>
        <v>32752.006491033211</v>
      </c>
      <c r="P2183" s="132">
        <f t="shared" si="164"/>
        <v>23049.458952865953</v>
      </c>
      <c r="Q2183" s="261">
        <v>0.92135905505678073</v>
      </c>
      <c r="R2183" s="92"/>
    </row>
    <row r="2184" spans="1:18" x14ac:dyDescent="0.25">
      <c r="A2184" s="353">
        <v>41579</v>
      </c>
      <c r="B2184" s="353" t="s">
        <v>285</v>
      </c>
      <c r="C2184" s="263" t="s">
        <v>758</v>
      </c>
      <c r="D2184" s="157" t="s">
        <v>692</v>
      </c>
      <c r="E2184" s="44">
        <f t="shared" si="165"/>
        <v>41579</v>
      </c>
      <c r="F2184" s="146" t="str">
        <f t="shared" si="166"/>
        <v>2013-14</v>
      </c>
      <c r="G2184" s="1"/>
      <c r="H2184" s="161"/>
      <c r="I2184" s="37"/>
      <c r="J2184" s="135">
        <f t="shared" si="162"/>
        <v>0.76382508261777382</v>
      </c>
      <c r="K2184" s="112"/>
      <c r="L2184" s="37">
        <v>32.130102225199998</v>
      </c>
      <c r="M2184" s="37" t="s">
        <v>288</v>
      </c>
      <c r="N2184" s="37">
        <v>950.87219512195099</v>
      </c>
      <c r="O2184" s="130">
        <f t="shared" si="163"/>
        <v>30551.620832368604</v>
      </c>
      <c r="P2184" s="132">
        <f t="shared" si="164"/>
        <v>21500.921798852192</v>
      </c>
      <c r="Q2184" s="261">
        <v>0.92135905505678073</v>
      </c>
      <c r="R2184" s="92"/>
    </row>
    <row r="2185" spans="1:18" x14ac:dyDescent="0.25">
      <c r="A2185" s="353">
        <v>41579</v>
      </c>
      <c r="B2185" s="353" t="s">
        <v>285</v>
      </c>
      <c r="C2185" s="263" t="s">
        <v>758</v>
      </c>
      <c r="D2185" s="157" t="s">
        <v>759</v>
      </c>
      <c r="E2185" s="44">
        <f t="shared" si="165"/>
        <v>41579</v>
      </c>
      <c r="F2185" s="146" t="str">
        <f t="shared" si="166"/>
        <v>2013-14</v>
      </c>
      <c r="G2185" s="1"/>
      <c r="H2185" s="161"/>
      <c r="I2185" s="37"/>
      <c r="J2185" s="135">
        <f t="shared" si="162"/>
        <v>0.76382508261777382</v>
      </c>
      <c r="K2185" s="112"/>
      <c r="L2185" s="37">
        <v>107.116484282</v>
      </c>
      <c r="M2185" s="37" t="s">
        <v>288</v>
      </c>
      <c r="N2185" s="37">
        <v>4137.5668292682922</v>
      </c>
      <c r="O2185" s="130">
        <f t="shared" si="163"/>
        <v>443201.61223304161</v>
      </c>
      <c r="P2185" s="132">
        <f t="shared" si="164"/>
        <v>311906.30631458579</v>
      </c>
      <c r="Q2185" s="261">
        <v>0.92135905505678073</v>
      </c>
      <c r="R2185" s="92"/>
    </row>
    <row r="2186" spans="1:18" x14ac:dyDescent="0.25">
      <c r="A2186" s="353">
        <v>41579</v>
      </c>
      <c r="B2186" s="353" t="s">
        <v>285</v>
      </c>
      <c r="C2186" s="263" t="s">
        <v>758</v>
      </c>
      <c r="D2186" s="157" t="s">
        <v>759</v>
      </c>
      <c r="E2186" s="44">
        <f t="shared" si="165"/>
        <v>41579</v>
      </c>
      <c r="F2186" s="146" t="str">
        <f t="shared" si="166"/>
        <v>2013-14</v>
      </c>
      <c r="G2186" s="1"/>
      <c r="H2186" s="161"/>
      <c r="I2186" s="37"/>
      <c r="J2186" s="135">
        <f t="shared" si="162"/>
        <v>0.76382508261777382</v>
      </c>
      <c r="K2186" s="112"/>
      <c r="L2186" s="37">
        <v>16.150773665700001</v>
      </c>
      <c r="M2186" s="37" t="s">
        <v>288</v>
      </c>
      <c r="N2186" s="37">
        <v>4137.5668292682922</v>
      </c>
      <c r="O2186" s="130">
        <f t="shared" si="163"/>
        <v>66824.905386220184</v>
      </c>
      <c r="P2186" s="132">
        <f t="shared" si="164"/>
        <v>47028.505387922654</v>
      </c>
      <c r="Q2186" s="261">
        <v>0.92135905505678073</v>
      </c>
      <c r="R2186" s="92"/>
    </row>
    <row r="2187" spans="1:18" x14ac:dyDescent="0.25">
      <c r="A2187" s="353">
        <v>41579</v>
      </c>
      <c r="B2187" s="353" t="s">
        <v>285</v>
      </c>
      <c r="C2187" s="263" t="s">
        <v>758</v>
      </c>
      <c r="D2187" s="157" t="s">
        <v>759</v>
      </c>
      <c r="E2187" s="44">
        <f t="shared" si="165"/>
        <v>41579</v>
      </c>
      <c r="F2187" s="146" t="str">
        <f t="shared" si="166"/>
        <v>2013-14</v>
      </c>
      <c r="G2187" s="1"/>
      <c r="H2187" s="161"/>
      <c r="I2187" s="37"/>
      <c r="J2187" s="135">
        <f t="shared" si="162"/>
        <v>0.76382508261777382</v>
      </c>
      <c r="K2187" s="112"/>
      <c r="L2187" s="37">
        <v>32.789602162900003</v>
      </c>
      <c r="M2187" s="37" t="s">
        <v>288</v>
      </c>
      <c r="N2187" s="37">
        <v>1162.6195121951216</v>
      </c>
      <c r="O2187" s="130">
        <f t="shared" si="163"/>
        <v>38121.831271702904</v>
      </c>
      <c r="P2187" s="132">
        <f t="shared" si="164"/>
        <v>26828.511570604489</v>
      </c>
      <c r="Q2187" s="261">
        <v>0.92135905505678073</v>
      </c>
      <c r="R2187" s="92"/>
    </row>
    <row r="2188" spans="1:18" x14ac:dyDescent="0.25">
      <c r="A2188" s="353">
        <v>41579</v>
      </c>
      <c r="B2188" s="353" t="s">
        <v>285</v>
      </c>
      <c r="C2188" s="263" t="s">
        <v>758</v>
      </c>
      <c r="D2188" s="157" t="s">
        <v>759</v>
      </c>
      <c r="E2188" s="44">
        <f t="shared" si="165"/>
        <v>41579</v>
      </c>
      <c r="F2188" s="146" t="str">
        <f t="shared" si="166"/>
        <v>2013-14</v>
      </c>
      <c r="G2188" s="1"/>
      <c r="H2188" s="161"/>
      <c r="I2188" s="37"/>
      <c r="J2188" s="135">
        <f t="shared" si="162"/>
        <v>0.76382508261777382</v>
      </c>
      <c r="K2188" s="112"/>
      <c r="L2188" s="37">
        <v>28.270524809400001</v>
      </c>
      <c r="M2188" s="37" t="s">
        <v>288</v>
      </c>
      <c r="N2188" s="37">
        <v>1361.4565853658535</v>
      </c>
      <c r="O2188" s="130">
        <f t="shared" si="163"/>
        <v>38489.092173506375</v>
      </c>
      <c r="P2188" s="132">
        <f t="shared" si="164"/>
        <v>27086.974058496005</v>
      </c>
      <c r="Q2188" s="261">
        <v>0.92135905505678073</v>
      </c>
      <c r="R2188" s="92"/>
    </row>
    <row r="2189" spans="1:18" x14ac:dyDescent="0.25">
      <c r="A2189" s="353">
        <v>41579</v>
      </c>
      <c r="B2189" s="353" t="s">
        <v>285</v>
      </c>
      <c r="C2189" s="263" t="s">
        <v>758</v>
      </c>
      <c r="D2189" s="157" t="s">
        <v>759</v>
      </c>
      <c r="E2189" s="44">
        <f t="shared" si="165"/>
        <v>41579</v>
      </c>
      <c r="F2189" s="146" t="str">
        <f t="shared" si="166"/>
        <v>2013-14</v>
      </c>
      <c r="G2189" s="1"/>
      <c r="H2189" s="161"/>
      <c r="I2189" s="37"/>
      <c r="J2189" s="135">
        <f t="shared" si="162"/>
        <v>0.76382508261777382</v>
      </c>
      <c r="K2189" s="112"/>
      <c r="L2189" s="37">
        <v>112.72222766599999</v>
      </c>
      <c r="M2189" s="37" t="s">
        <v>288</v>
      </c>
      <c r="N2189" s="37">
        <v>1361.4565853658535</v>
      </c>
      <c r="O2189" s="130">
        <f t="shared" si="163"/>
        <v>153466.41917298469</v>
      </c>
      <c r="P2189" s="132">
        <f t="shared" si="164"/>
        <v>108003.09075230161</v>
      </c>
      <c r="Q2189" s="261">
        <v>0.92135905505678073</v>
      </c>
      <c r="R2189" s="92"/>
    </row>
    <row r="2190" spans="1:18" x14ac:dyDescent="0.25">
      <c r="A2190" s="353">
        <v>41579</v>
      </c>
      <c r="B2190" s="353" t="s">
        <v>285</v>
      </c>
      <c r="C2190" s="263" t="s">
        <v>758</v>
      </c>
      <c r="D2190" s="157" t="s">
        <v>759</v>
      </c>
      <c r="E2190" s="44">
        <f t="shared" si="165"/>
        <v>41579</v>
      </c>
      <c r="F2190" s="146" t="str">
        <f t="shared" si="166"/>
        <v>2013-14</v>
      </c>
      <c r="G2190" s="1"/>
      <c r="H2190" s="161"/>
      <c r="I2190" s="37"/>
      <c r="J2190" s="135">
        <f t="shared" si="162"/>
        <v>0.76382508261777382</v>
      </c>
      <c r="K2190" s="112"/>
      <c r="L2190" s="37">
        <v>87.536541427000003</v>
      </c>
      <c r="M2190" s="37" t="s">
        <v>288</v>
      </c>
      <c r="N2190" s="37">
        <v>1361.4565853658535</v>
      </c>
      <c r="O2190" s="130">
        <f t="shared" si="163"/>
        <v>119177.20078594</v>
      </c>
      <c r="P2190" s="132">
        <f t="shared" si="164"/>
        <v>83871.807926792171</v>
      </c>
      <c r="Q2190" s="261">
        <v>0.92135905505678073</v>
      </c>
      <c r="R2190" s="92"/>
    </row>
    <row r="2191" spans="1:18" x14ac:dyDescent="0.25">
      <c r="A2191" s="353">
        <v>41579</v>
      </c>
      <c r="B2191" s="353" t="s">
        <v>285</v>
      </c>
      <c r="C2191" s="263" t="s">
        <v>758</v>
      </c>
      <c r="D2191" s="157" t="s">
        <v>759</v>
      </c>
      <c r="E2191" s="44">
        <f t="shared" si="165"/>
        <v>41579</v>
      </c>
      <c r="F2191" s="146" t="str">
        <f t="shared" si="166"/>
        <v>2013-14</v>
      </c>
      <c r="G2191" s="1"/>
      <c r="H2191" s="161"/>
      <c r="I2191" s="37"/>
      <c r="J2191" s="135">
        <f t="shared" si="162"/>
        <v>0.76382508261777382</v>
      </c>
      <c r="K2191" s="112"/>
      <c r="L2191" s="37">
        <v>44.813713191399998</v>
      </c>
      <c r="M2191" s="37" t="s">
        <v>288</v>
      </c>
      <c r="N2191" s="37">
        <v>1361.4565853658535</v>
      </c>
      <c r="O2191" s="130">
        <f t="shared" si="163"/>
        <v>61011.924939128148</v>
      </c>
      <c r="P2191" s="132">
        <f t="shared" si="164"/>
        <v>42937.578798562616</v>
      </c>
      <c r="Q2191" s="261">
        <v>0.92135905505678073</v>
      </c>
      <c r="R2191" s="92"/>
    </row>
    <row r="2192" spans="1:18" x14ac:dyDescent="0.25">
      <c r="A2192" s="353">
        <v>41579</v>
      </c>
      <c r="B2192" s="353" t="s">
        <v>285</v>
      </c>
      <c r="C2192" s="263" t="s">
        <v>758</v>
      </c>
      <c r="D2192" s="157" t="s">
        <v>759</v>
      </c>
      <c r="E2192" s="44">
        <f t="shared" si="165"/>
        <v>41579</v>
      </c>
      <c r="F2192" s="146" t="str">
        <f t="shared" si="166"/>
        <v>2013-14</v>
      </c>
      <c r="G2192" s="1"/>
      <c r="H2192" s="161"/>
      <c r="I2192" s="37"/>
      <c r="J2192" s="135">
        <f t="shared" si="162"/>
        <v>0.76382508261777382</v>
      </c>
      <c r="K2192" s="112"/>
      <c r="L2192" s="37">
        <v>112.83514357200001</v>
      </c>
      <c r="M2192" s="37" t="s">
        <v>288</v>
      </c>
      <c r="N2192" s="37">
        <v>3875.3912195121943</v>
      </c>
      <c r="O2192" s="130">
        <f t="shared" si="163"/>
        <v>437280.32465132663</v>
      </c>
      <c r="P2192" s="132">
        <f t="shared" si="164"/>
        <v>307739.15780415112</v>
      </c>
      <c r="Q2192" s="261">
        <v>0.92135905505678073</v>
      </c>
      <c r="R2192" s="92"/>
    </row>
    <row r="2193" spans="1:18" x14ac:dyDescent="0.25">
      <c r="A2193" s="353">
        <v>41579</v>
      </c>
      <c r="B2193" s="353" t="s">
        <v>285</v>
      </c>
      <c r="C2193" s="263" t="s">
        <v>758</v>
      </c>
      <c r="D2193" s="157" t="s">
        <v>759</v>
      </c>
      <c r="E2193" s="44">
        <f t="shared" si="165"/>
        <v>41579</v>
      </c>
      <c r="F2193" s="146" t="str">
        <f t="shared" si="166"/>
        <v>2013-14</v>
      </c>
      <c r="G2193" s="1"/>
      <c r="H2193" s="161"/>
      <c r="I2193" s="37"/>
      <c r="J2193" s="135">
        <f t="shared" si="162"/>
        <v>0.76382508261777382</v>
      </c>
      <c r="K2193" s="112"/>
      <c r="L2193" s="37">
        <v>99.624259721200005</v>
      </c>
      <c r="M2193" s="37" t="s">
        <v>288</v>
      </c>
      <c r="N2193" s="37">
        <v>1361.4565853658535</v>
      </c>
      <c r="O2193" s="130">
        <f t="shared" si="163"/>
        <v>135634.1044596259</v>
      </c>
      <c r="P2193" s="132">
        <f t="shared" si="164"/>
        <v>95453.471658501017</v>
      </c>
      <c r="Q2193" s="261">
        <v>0.92135905505678073</v>
      </c>
      <c r="R2193" s="92"/>
    </row>
    <row r="2194" spans="1:18" x14ac:dyDescent="0.25">
      <c r="A2194" s="353">
        <v>41579</v>
      </c>
      <c r="B2194" s="353" t="s">
        <v>285</v>
      </c>
      <c r="C2194" s="263" t="s">
        <v>758</v>
      </c>
      <c r="D2194" s="157" t="s">
        <v>760</v>
      </c>
      <c r="E2194" s="44">
        <f t="shared" si="165"/>
        <v>41579</v>
      </c>
      <c r="F2194" s="146" t="str">
        <f t="shared" si="166"/>
        <v>2013-14</v>
      </c>
      <c r="G2194" s="1"/>
      <c r="H2194" s="161"/>
      <c r="I2194" s="37"/>
      <c r="J2194" s="135">
        <f t="shared" si="162"/>
        <v>0.76382508261777382</v>
      </c>
      <c r="K2194" s="112"/>
      <c r="L2194" s="37">
        <v>94.264811814200002</v>
      </c>
      <c r="M2194" s="37" t="s">
        <v>288</v>
      </c>
      <c r="N2194" s="37">
        <v>3875.3912195121943</v>
      </c>
      <c r="O2194" s="130">
        <f t="shared" si="163"/>
        <v>365313.02401372005</v>
      </c>
      <c r="P2194" s="132">
        <f t="shared" si="164"/>
        <v>257091.65495728824</v>
      </c>
      <c r="Q2194" s="261">
        <v>0.92135905505678073</v>
      </c>
      <c r="R2194" s="92"/>
    </row>
    <row r="2195" spans="1:18" x14ac:dyDescent="0.25">
      <c r="A2195" s="353">
        <v>41579</v>
      </c>
      <c r="B2195" s="353" t="s">
        <v>285</v>
      </c>
      <c r="C2195" s="263" t="s">
        <v>758</v>
      </c>
      <c r="D2195" s="157" t="s">
        <v>692</v>
      </c>
      <c r="E2195" s="44">
        <f t="shared" si="165"/>
        <v>41579</v>
      </c>
      <c r="F2195" s="146" t="str">
        <f t="shared" si="166"/>
        <v>2013-14</v>
      </c>
      <c r="G2195" s="1"/>
      <c r="H2195" s="161"/>
      <c r="I2195" s="37"/>
      <c r="J2195" s="135">
        <f t="shared" si="162"/>
        <v>0.76382508261777382</v>
      </c>
      <c r="K2195" s="112"/>
      <c r="L2195" s="37">
        <v>6.0823534918600002</v>
      </c>
      <c r="M2195" s="37" t="s">
        <v>288</v>
      </c>
      <c r="N2195" s="37">
        <v>950.87219512195099</v>
      </c>
      <c r="O2195" s="130">
        <f t="shared" si="163"/>
        <v>5783.5408163125821</v>
      </c>
      <c r="P2195" s="132">
        <f t="shared" si="164"/>
        <v>4070.2082385187123</v>
      </c>
      <c r="Q2195" s="261">
        <v>0.92135905505678073</v>
      </c>
      <c r="R2195" s="92"/>
    </row>
    <row r="2196" spans="1:18" x14ac:dyDescent="0.25">
      <c r="A2196" s="353">
        <v>41579</v>
      </c>
      <c r="B2196" s="353" t="s">
        <v>285</v>
      </c>
      <c r="C2196" s="263" t="s">
        <v>758</v>
      </c>
      <c r="D2196" s="157" t="s">
        <v>692</v>
      </c>
      <c r="E2196" s="44">
        <f t="shared" si="165"/>
        <v>41579</v>
      </c>
      <c r="F2196" s="146" t="str">
        <f t="shared" si="166"/>
        <v>2013-14</v>
      </c>
      <c r="G2196" s="1"/>
      <c r="H2196" s="161"/>
      <c r="I2196" s="37"/>
      <c r="J2196" s="135">
        <f t="shared" si="162"/>
        <v>0.76382508261777382</v>
      </c>
      <c r="K2196" s="112"/>
      <c r="L2196" s="37">
        <v>80.705089926200003</v>
      </c>
      <c r="M2196" s="37" t="s">
        <v>288</v>
      </c>
      <c r="N2196" s="37">
        <v>950.87219512195099</v>
      </c>
      <c r="O2196" s="130">
        <f t="shared" si="163"/>
        <v>76740.226015640248</v>
      </c>
      <c r="P2196" s="132">
        <f t="shared" si="164"/>
        <v>54006.483238375658</v>
      </c>
      <c r="Q2196" s="261">
        <v>0.92135905505678073</v>
      </c>
      <c r="R2196" s="92"/>
    </row>
    <row r="2197" spans="1:18" x14ac:dyDescent="0.25">
      <c r="A2197" s="353">
        <v>41579</v>
      </c>
      <c r="B2197" s="353" t="s">
        <v>285</v>
      </c>
      <c r="C2197" s="263" t="s">
        <v>758</v>
      </c>
      <c r="D2197" s="157" t="s">
        <v>692</v>
      </c>
      <c r="E2197" s="44">
        <f t="shared" si="165"/>
        <v>41579</v>
      </c>
      <c r="F2197" s="146" t="str">
        <f t="shared" si="166"/>
        <v>2013-14</v>
      </c>
      <c r="G2197" s="1"/>
      <c r="H2197" s="161"/>
      <c r="I2197" s="37"/>
      <c r="J2197" s="135">
        <f t="shared" si="162"/>
        <v>0.76382508261777382</v>
      </c>
      <c r="K2197" s="112"/>
      <c r="L2197" s="37">
        <v>78.059157630599998</v>
      </c>
      <c r="M2197" s="37" t="s">
        <v>288</v>
      </c>
      <c r="N2197" s="37">
        <v>950.87219512195099</v>
      </c>
      <c r="O2197" s="130">
        <f t="shared" si="163"/>
        <v>74224.282565579007</v>
      </c>
      <c r="P2197" s="132">
        <f t="shared" si="164"/>
        <v>52235.87003042471</v>
      </c>
      <c r="Q2197" s="261">
        <v>0.92135905505678073</v>
      </c>
      <c r="R2197" s="92"/>
    </row>
    <row r="2198" spans="1:18" x14ac:dyDescent="0.25">
      <c r="A2198" s="353">
        <v>41579</v>
      </c>
      <c r="B2198" s="353" t="s">
        <v>285</v>
      </c>
      <c r="C2198" s="263" t="s">
        <v>758</v>
      </c>
      <c r="D2198" s="157" t="s">
        <v>692</v>
      </c>
      <c r="E2198" s="44">
        <f t="shared" si="165"/>
        <v>41579</v>
      </c>
      <c r="F2198" s="146" t="str">
        <f t="shared" si="166"/>
        <v>2013-14</v>
      </c>
      <c r="G2198" s="1"/>
      <c r="H2198" s="161"/>
      <c r="I2198" s="37"/>
      <c r="J2198" s="135">
        <f t="shared" si="162"/>
        <v>0.76382508261777382</v>
      </c>
      <c r="K2198" s="112"/>
      <c r="L2198" s="37">
        <v>34.190772213999999</v>
      </c>
      <c r="M2198" s="37" t="s">
        <v>288</v>
      </c>
      <c r="N2198" s="37">
        <v>3592.3639024390236</v>
      </c>
      <c r="O2198" s="130">
        <f t="shared" si="163"/>
        <v>122825.69589808877</v>
      </c>
      <c r="P2198" s="132">
        <f t="shared" si="164"/>
        <v>86439.462471872612</v>
      </c>
      <c r="Q2198" s="261">
        <v>0.92135905505678073</v>
      </c>
      <c r="R2198" s="92"/>
    </row>
    <row r="2199" spans="1:18" x14ac:dyDescent="0.25">
      <c r="A2199" s="353">
        <v>41579</v>
      </c>
      <c r="B2199" s="353" t="s">
        <v>285</v>
      </c>
      <c r="C2199" s="263" t="s">
        <v>758</v>
      </c>
      <c r="D2199" s="157" t="s">
        <v>692</v>
      </c>
      <c r="E2199" s="44">
        <f t="shared" si="165"/>
        <v>41579</v>
      </c>
      <c r="F2199" s="146" t="str">
        <f t="shared" si="166"/>
        <v>2013-14</v>
      </c>
      <c r="G2199" s="1"/>
      <c r="H2199" s="161"/>
      <c r="I2199" s="37"/>
      <c r="J2199" s="135">
        <f t="shared" si="162"/>
        <v>0.76382508261777382</v>
      </c>
      <c r="K2199" s="112"/>
      <c r="L2199" s="37">
        <v>27.008202383699999</v>
      </c>
      <c r="M2199" s="37" t="s">
        <v>288</v>
      </c>
      <c r="N2199" s="37">
        <v>950.87219512195099</v>
      </c>
      <c r="O2199" s="130">
        <f t="shared" si="163"/>
        <v>25681.348686886726</v>
      </c>
      <c r="P2199" s="132">
        <f t="shared" si="164"/>
        <v>18073.432923100274</v>
      </c>
      <c r="Q2199" s="261">
        <v>0.92135905505678073</v>
      </c>
      <c r="R2199" s="92"/>
    </row>
    <row r="2200" spans="1:18" x14ac:dyDescent="0.25">
      <c r="A2200" s="353">
        <v>41579</v>
      </c>
      <c r="B2200" s="353" t="s">
        <v>285</v>
      </c>
      <c r="C2200" s="263" t="s">
        <v>758</v>
      </c>
      <c r="D2200" s="157" t="s">
        <v>759</v>
      </c>
      <c r="E2200" s="44">
        <f t="shared" si="165"/>
        <v>41579</v>
      </c>
      <c r="F2200" s="146" t="str">
        <f t="shared" si="166"/>
        <v>2013-14</v>
      </c>
      <c r="G2200" s="1"/>
      <c r="H2200" s="161"/>
      <c r="I2200" s="37"/>
      <c r="J2200" s="135">
        <f t="shared" si="162"/>
        <v>0.76382508261777382</v>
      </c>
      <c r="K2200" s="112"/>
      <c r="L2200" s="37">
        <v>110.46903438699999</v>
      </c>
      <c r="M2200" s="37" t="s">
        <v>288</v>
      </c>
      <c r="N2200" s="37">
        <v>4137.5668292682922</v>
      </c>
      <c r="O2200" s="130">
        <f t="shared" si="163"/>
        <v>457073.0123409495</v>
      </c>
      <c r="P2200" s="132">
        <f t="shared" si="164"/>
        <v>321668.40340911149</v>
      </c>
      <c r="Q2200" s="261">
        <v>0.92135905505678073</v>
      </c>
      <c r="R2200" s="92"/>
    </row>
    <row r="2201" spans="1:18" x14ac:dyDescent="0.25">
      <c r="A2201" s="353">
        <v>41579</v>
      </c>
      <c r="B2201" s="353" t="s">
        <v>285</v>
      </c>
      <c r="C2201" s="263" t="s">
        <v>758</v>
      </c>
      <c r="D2201" s="157" t="s">
        <v>760</v>
      </c>
      <c r="E2201" s="44">
        <f t="shared" si="165"/>
        <v>41579</v>
      </c>
      <c r="F2201" s="146" t="str">
        <f t="shared" si="166"/>
        <v>2013-14</v>
      </c>
      <c r="G2201" s="1"/>
      <c r="H2201" s="161"/>
      <c r="I2201" s="37"/>
      <c r="J2201" s="135">
        <f t="shared" si="162"/>
        <v>0.76382508261777382</v>
      </c>
      <c r="K2201" s="112"/>
      <c r="L2201" s="37">
        <v>40.084123602699997</v>
      </c>
      <c r="M2201" s="37" t="s">
        <v>288</v>
      </c>
      <c r="N2201" s="37">
        <v>4137.5668292682922</v>
      </c>
      <c r="O2201" s="130">
        <f t="shared" si="163"/>
        <v>165850.74019882173</v>
      </c>
      <c r="P2201" s="132">
        <f t="shared" si="164"/>
        <v>116718.64530076251</v>
      </c>
      <c r="Q2201" s="261">
        <v>0.92135905505678073</v>
      </c>
      <c r="R2201" s="92"/>
    </row>
    <row r="2202" spans="1:18" x14ac:dyDescent="0.25">
      <c r="A2202" s="353">
        <v>41579</v>
      </c>
      <c r="B2202" s="353" t="s">
        <v>285</v>
      </c>
      <c r="C2202" s="263" t="s">
        <v>758</v>
      </c>
      <c r="D2202" s="157" t="s">
        <v>759</v>
      </c>
      <c r="E2202" s="44">
        <f t="shared" si="165"/>
        <v>41579</v>
      </c>
      <c r="F2202" s="146" t="str">
        <f t="shared" si="166"/>
        <v>2013-14</v>
      </c>
      <c r="G2202" s="1"/>
      <c r="H2202" s="161"/>
      <c r="I2202" s="37"/>
      <c r="J2202" s="135">
        <f t="shared" ref="J2202:J2265" si="167">J2201</f>
        <v>0.76382508261777382</v>
      </c>
      <c r="K2202" s="112"/>
      <c r="L2202" s="37">
        <v>54.158690567599997</v>
      </c>
      <c r="M2202" s="37" t="s">
        <v>288</v>
      </c>
      <c r="N2202" s="37">
        <v>1361.4565853658535</v>
      </c>
      <c r="O2202" s="130">
        <f t="shared" ref="O2202:O2265" si="168">IF(N2202="","-",L2202*N2202)</f>
        <v>73734.705928050549</v>
      </c>
      <c r="P2202" s="132">
        <f t="shared" ref="P2202:P2265" si="169">IF(O2202="-","-",IF(OR(E2202&lt;$E$15,E2202&gt;$E$16),0,O2202*J2202))*Q2202</f>
        <v>51891.326968182591</v>
      </c>
      <c r="Q2202" s="261">
        <v>0.92135905505678073</v>
      </c>
      <c r="R2202" s="92"/>
    </row>
    <row r="2203" spans="1:18" x14ac:dyDescent="0.25">
      <c r="A2203" s="353">
        <v>44127</v>
      </c>
      <c r="B2203" s="353" t="s">
        <v>285</v>
      </c>
      <c r="C2203" s="263" t="s">
        <v>761</v>
      </c>
      <c r="D2203" s="157" t="s">
        <v>714</v>
      </c>
      <c r="E2203" s="44">
        <f t="shared" ref="E2203:E2266" si="170">IF(VALUE(A2203)&lt;2022,DATEVALUE("30 Jun "&amp;A2203),A2203)</f>
        <v>44127</v>
      </c>
      <c r="F2203" s="146" t="str">
        <f t="shared" si="166"/>
        <v>2020-21</v>
      </c>
      <c r="G2203" s="1"/>
      <c r="H2203" s="161"/>
      <c r="I2203" s="37"/>
      <c r="J2203" s="135">
        <f t="shared" si="167"/>
        <v>0.76382508261777382</v>
      </c>
      <c r="K2203" s="112"/>
      <c r="L2203" s="37">
        <v>28.2855830769</v>
      </c>
      <c r="M2203" s="37" t="s">
        <v>288</v>
      </c>
      <c r="N2203" s="37">
        <v>812.22926829268283</v>
      </c>
      <c r="O2203" s="130">
        <f t="shared" si="168"/>
        <v>22974.378445782379</v>
      </c>
      <c r="P2203" s="132">
        <f t="shared" si="169"/>
        <v>17175.796670460579</v>
      </c>
      <c r="Q2203" s="261">
        <v>0.97876674194465996</v>
      </c>
      <c r="R2203" s="92"/>
    </row>
    <row r="2204" spans="1:18" x14ac:dyDescent="0.25">
      <c r="A2204" s="353">
        <v>44127</v>
      </c>
      <c r="B2204" s="353" t="s">
        <v>285</v>
      </c>
      <c r="C2204" s="263" t="s">
        <v>761</v>
      </c>
      <c r="D2204" s="157" t="s">
        <v>714</v>
      </c>
      <c r="E2204" s="44">
        <f t="shared" si="170"/>
        <v>44127</v>
      </c>
      <c r="F2204" s="146" t="str">
        <f t="shared" si="166"/>
        <v>2020-21</v>
      </c>
      <c r="G2204" s="1"/>
      <c r="H2204" s="161"/>
      <c r="I2204" s="37"/>
      <c r="J2204" s="135">
        <f t="shared" si="167"/>
        <v>0.76382508261777382</v>
      </c>
      <c r="K2204" s="112"/>
      <c r="L2204" s="37">
        <v>21.8432571976</v>
      </c>
      <c r="M2204" s="37" t="s">
        <v>288</v>
      </c>
      <c r="N2204" s="37">
        <v>3336.4019512195118</v>
      </c>
      <c r="O2204" s="130">
        <f t="shared" si="168"/>
        <v>72877.885935062281</v>
      </c>
      <c r="P2204" s="132">
        <f t="shared" si="169"/>
        <v>54483.987610269432</v>
      </c>
      <c r="Q2204" s="261">
        <v>0.97876674194465996</v>
      </c>
      <c r="R2204" s="92"/>
    </row>
    <row r="2205" spans="1:18" x14ac:dyDescent="0.25">
      <c r="A2205" s="353">
        <v>44127</v>
      </c>
      <c r="B2205" s="353" t="s">
        <v>285</v>
      </c>
      <c r="C2205" s="263" t="s">
        <v>761</v>
      </c>
      <c r="D2205" s="157" t="s">
        <v>714</v>
      </c>
      <c r="E2205" s="44">
        <f t="shared" si="170"/>
        <v>44127</v>
      </c>
      <c r="F2205" s="146" t="str">
        <f t="shared" si="166"/>
        <v>2020-21</v>
      </c>
      <c r="G2205" s="1"/>
      <c r="H2205" s="161"/>
      <c r="I2205" s="37"/>
      <c r="J2205" s="135">
        <f t="shared" si="167"/>
        <v>0.76382508261777382</v>
      </c>
      <c r="K2205" s="112"/>
      <c r="L2205" s="37">
        <v>20.081174866000001</v>
      </c>
      <c r="M2205" s="37" t="s">
        <v>288</v>
      </c>
      <c r="N2205" s="37">
        <v>812.22926829268283</v>
      </c>
      <c r="O2205" s="130">
        <f t="shared" si="168"/>
        <v>16310.517967868594</v>
      </c>
      <c r="P2205" s="132">
        <f t="shared" si="169"/>
        <v>12193.850678795354</v>
      </c>
      <c r="Q2205" s="261">
        <v>0.97876674194465996</v>
      </c>
      <c r="R2205" s="92"/>
    </row>
    <row r="2206" spans="1:18" x14ac:dyDescent="0.25">
      <c r="A2206" s="353">
        <v>44127</v>
      </c>
      <c r="B2206" s="353" t="s">
        <v>285</v>
      </c>
      <c r="C2206" s="263" t="s">
        <v>761</v>
      </c>
      <c r="D2206" s="157" t="s">
        <v>714</v>
      </c>
      <c r="E2206" s="44">
        <f t="shared" si="170"/>
        <v>44127</v>
      </c>
      <c r="F2206" s="146" t="str">
        <f t="shared" si="166"/>
        <v>2020-21</v>
      </c>
      <c r="G2206" s="1"/>
      <c r="H2206" s="161"/>
      <c r="I2206" s="37"/>
      <c r="J2206" s="135">
        <f t="shared" si="167"/>
        <v>0.76382508261777382</v>
      </c>
      <c r="K2206" s="112"/>
      <c r="L2206" s="37">
        <v>18.718316818800002</v>
      </c>
      <c r="M2206" s="37" t="s">
        <v>288</v>
      </c>
      <c r="N2206" s="37">
        <v>3336.4019512195118</v>
      </c>
      <c r="O2206" s="130">
        <f t="shared" si="168"/>
        <v>62451.828757789328</v>
      </c>
      <c r="P2206" s="132">
        <f t="shared" si="169"/>
        <v>46689.398582581904</v>
      </c>
      <c r="Q2206" s="261">
        <v>0.97876674194465996</v>
      </c>
      <c r="R2206" s="92"/>
    </row>
    <row r="2207" spans="1:18" x14ac:dyDescent="0.25">
      <c r="A2207" s="353">
        <v>44127</v>
      </c>
      <c r="B2207" s="353" t="s">
        <v>285</v>
      </c>
      <c r="C2207" s="263" t="s">
        <v>761</v>
      </c>
      <c r="D2207" s="157" t="s">
        <v>714</v>
      </c>
      <c r="E2207" s="44">
        <f t="shared" si="170"/>
        <v>44127</v>
      </c>
      <c r="F2207" s="146" t="str">
        <f t="shared" si="166"/>
        <v>2020-21</v>
      </c>
      <c r="G2207" s="1"/>
      <c r="H2207" s="161"/>
      <c r="I2207" s="37"/>
      <c r="J2207" s="135">
        <f t="shared" si="167"/>
        <v>0.76382508261777382</v>
      </c>
      <c r="K2207" s="112"/>
      <c r="L2207" s="37">
        <v>35.4863804015</v>
      </c>
      <c r="M2207" s="37" t="s">
        <v>288</v>
      </c>
      <c r="N2207" s="37">
        <v>812.22926829268283</v>
      </c>
      <c r="O2207" s="130">
        <f t="shared" si="168"/>
        <v>28823.076787866146</v>
      </c>
      <c r="P2207" s="132">
        <f t="shared" si="169"/>
        <v>21548.322079474736</v>
      </c>
      <c r="Q2207" s="261">
        <v>0.97876674194465996</v>
      </c>
      <c r="R2207" s="92"/>
    </row>
    <row r="2208" spans="1:18" x14ac:dyDescent="0.25">
      <c r="A2208" s="353">
        <v>44127</v>
      </c>
      <c r="B2208" s="353" t="s">
        <v>285</v>
      </c>
      <c r="C2208" s="263" t="s">
        <v>761</v>
      </c>
      <c r="D2208" s="157" t="s">
        <v>714</v>
      </c>
      <c r="E2208" s="44">
        <f t="shared" si="170"/>
        <v>44127</v>
      </c>
      <c r="F2208" s="146" t="str">
        <f t="shared" si="166"/>
        <v>2020-21</v>
      </c>
      <c r="G2208" s="1"/>
      <c r="H2208" s="161"/>
      <c r="I2208" s="37"/>
      <c r="J2208" s="135">
        <f t="shared" si="167"/>
        <v>0.76382508261777382</v>
      </c>
      <c r="K2208" s="112"/>
      <c r="L2208" s="37">
        <v>61.466868723499999</v>
      </c>
      <c r="M2208" s="37" t="s">
        <v>288</v>
      </c>
      <c r="N2208" s="37">
        <v>812.22926829268283</v>
      </c>
      <c r="O2208" s="130">
        <f t="shared" si="168"/>
        <v>49925.189807530798</v>
      </c>
      <c r="P2208" s="132">
        <f t="shared" si="169"/>
        <v>37324.400783766141</v>
      </c>
      <c r="Q2208" s="261">
        <v>0.97876674194465996</v>
      </c>
      <c r="R2208" s="92"/>
    </row>
    <row r="2209" spans="1:18" x14ac:dyDescent="0.25">
      <c r="A2209" s="353">
        <v>44127</v>
      </c>
      <c r="B2209" s="353" t="s">
        <v>285</v>
      </c>
      <c r="C2209" s="263" t="s">
        <v>761</v>
      </c>
      <c r="D2209" s="157" t="s">
        <v>714</v>
      </c>
      <c r="E2209" s="44">
        <f t="shared" si="170"/>
        <v>44127</v>
      </c>
      <c r="F2209" s="146" t="str">
        <f t="shared" si="166"/>
        <v>2020-21</v>
      </c>
      <c r="G2209" s="1"/>
      <c r="H2209" s="161"/>
      <c r="I2209" s="37"/>
      <c r="J2209" s="135">
        <f t="shared" si="167"/>
        <v>0.76382508261777382</v>
      </c>
      <c r="K2209" s="112"/>
      <c r="L2209" s="37">
        <v>73.966073305199998</v>
      </c>
      <c r="M2209" s="37" t="s">
        <v>288</v>
      </c>
      <c r="N2209" s="37">
        <v>3336.4019512195118</v>
      </c>
      <c r="O2209" s="130">
        <f t="shared" si="168"/>
        <v>246780.55129951471</v>
      </c>
      <c r="P2209" s="132">
        <f t="shared" si="169"/>
        <v>184494.7658256565</v>
      </c>
      <c r="Q2209" s="261">
        <v>0.97876674194465996</v>
      </c>
      <c r="R2209" s="92"/>
    </row>
    <row r="2210" spans="1:18" x14ac:dyDescent="0.25">
      <c r="A2210" s="353">
        <v>44127</v>
      </c>
      <c r="B2210" s="353" t="s">
        <v>285</v>
      </c>
      <c r="C2210" s="263" t="s">
        <v>761</v>
      </c>
      <c r="D2210" s="157" t="s">
        <v>714</v>
      </c>
      <c r="E2210" s="44">
        <f t="shared" si="170"/>
        <v>44127</v>
      </c>
      <c r="F2210" s="146" t="str">
        <f t="shared" si="166"/>
        <v>2020-21</v>
      </c>
      <c r="G2210" s="1"/>
      <c r="H2210" s="161"/>
      <c r="I2210" s="37"/>
      <c r="J2210" s="135">
        <f t="shared" si="167"/>
        <v>0.76382508261777382</v>
      </c>
      <c r="K2210" s="112"/>
      <c r="L2210" s="37">
        <v>29.9473184382</v>
      </c>
      <c r="M2210" s="37" t="s">
        <v>288</v>
      </c>
      <c r="N2210" s="37">
        <v>3336.4019512195118</v>
      </c>
      <c r="O2210" s="130">
        <f t="shared" si="168"/>
        <v>99916.291671002546</v>
      </c>
      <c r="P2210" s="132">
        <f t="shared" si="169"/>
        <v>74698.077854751333</v>
      </c>
      <c r="Q2210" s="261">
        <v>0.97876674194465996</v>
      </c>
      <c r="R2210" s="92"/>
    </row>
    <row r="2211" spans="1:18" x14ac:dyDescent="0.25">
      <c r="A2211" s="353">
        <v>44127</v>
      </c>
      <c r="B2211" s="353" t="s">
        <v>285</v>
      </c>
      <c r="C2211" s="263" t="s">
        <v>761</v>
      </c>
      <c r="D2211" s="157" t="s">
        <v>714</v>
      </c>
      <c r="E2211" s="44">
        <f t="shared" si="170"/>
        <v>44127</v>
      </c>
      <c r="F2211" s="146" t="str">
        <f t="shared" si="166"/>
        <v>2020-21</v>
      </c>
      <c r="G2211" s="1"/>
      <c r="H2211" s="161"/>
      <c r="I2211" s="37"/>
      <c r="J2211" s="135">
        <f t="shared" si="167"/>
        <v>0.76382508261777382</v>
      </c>
      <c r="K2211" s="112"/>
      <c r="L2211" s="37">
        <v>35.917296907100003</v>
      </c>
      <c r="M2211" s="37" t="s">
        <v>288</v>
      </c>
      <c r="N2211" s="37">
        <v>3336.4019512195118</v>
      </c>
      <c r="O2211" s="130">
        <f t="shared" si="168"/>
        <v>119834.53948337899</v>
      </c>
      <c r="P2211" s="132">
        <f t="shared" si="169"/>
        <v>89589.091131327223</v>
      </c>
      <c r="Q2211" s="261">
        <v>0.97876674194465996</v>
      </c>
      <c r="R2211" s="92"/>
    </row>
    <row r="2212" spans="1:18" x14ac:dyDescent="0.25">
      <c r="A2212" s="353">
        <v>44127</v>
      </c>
      <c r="B2212" s="353" t="s">
        <v>285</v>
      </c>
      <c r="C2212" s="263" t="s">
        <v>761</v>
      </c>
      <c r="D2212" s="157" t="s">
        <v>714</v>
      </c>
      <c r="E2212" s="44">
        <f t="shared" si="170"/>
        <v>44127</v>
      </c>
      <c r="F2212" s="146" t="str">
        <f t="shared" si="166"/>
        <v>2020-21</v>
      </c>
      <c r="G2212" s="1"/>
      <c r="H2212" s="161"/>
      <c r="I2212" s="37"/>
      <c r="J2212" s="135">
        <f t="shared" si="167"/>
        <v>0.76382508261777382</v>
      </c>
      <c r="K2212" s="112"/>
      <c r="L2212" s="37">
        <v>34.158225824200002</v>
      </c>
      <c r="M2212" s="37" t="s">
        <v>288</v>
      </c>
      <c r="N2212" s="37">
        <v>812.22926829268283</v>
      </c>
      <c r="O2212" s="130">
        <f t="shared" si="168"/>
        <v>27744.310767366191</v>
      </c>
      <c r="P2212" s="132">
        <f t="shared" si="169"/>
        <v>20741.829496146082</v>
      </c>
      <c r="Q2212" s="261">
        <v>0.97876674194465996</v>
      </c>
      <c r="R2212" s="92"/>
    </row>
    <row r="2213" spans="1:18" x14ac:dyDescent="0.25">
      <c r="A2213" s="353">
        <v>42597</v>
      </c>
      <c r="B2213" s="353" t="s">
        <v>285</v>
      </c>
      <c r="C2213" s="263" t="s">
        <v>762</v>
      </c>
      <c r="D2213" s="157" t="s">
        <v>699</v>
      </c>
      <c r="E2213" s="44">
        <f t="shared" si="170"/>
        <v>42597</v>
      </c>
      <c r="F2213" s="146" t="str">
        <f t="shared" si="166"/>
        <v>2016-17</v>
      </c>
      <c r="G2213" s="1"/>
      <c r="H2213" s="161"/>
      <c r="I2213" s="37"/>
      <c r="J2213" s="135">
        <f t="shared" si="167"/>
        <v>0.76382508261777382</v>
      </c>
      <c r="K2213" s="112"/>
      <c r="L2213" s="37">
        <v>25.085835226299999</v>
      </c>
      <c r="M2213" s="37" t="s">
        <v>288</v>
      </c>
      <c r="N2213" s="37">
        <v>1162.6195121951216</v>
      </c>
      <c r="O2213" s="130">
        <f t="shared" si="168"/>
        <v>29165.281513808102</v>
      </c>
      <c r="P2213" s="132">
        <f t="shared" si="169"/>
        <v>22149.490525190609</v>
      </c>
      <c r="Q2213" s="261">
        <v>0.99426843641946006</v>
      </c>
      <c r="R2213" s="92"/>
    </row>
    <row r="2214" spans="1:18" x14ac:dyDescent="0.25">
      <c r="A2214" s="353">
        <v>42597</v>
      </c>
      <c r="B2214" s="353" t="s">
        <v>285</v>
      </c>
      <c r="C2214" s="263" t="s">
        <v>762</v>
      </c>
      <c r="D2214" s="157" t="s">
        <v>699</v>
      </c>
      <c r="E2214" s="44">
        <f t="shared" si="170"/>
        <v>42597</v>
      </c>
      <c r="F2214" s="146" t="str">
        <f t="shared" si="166"/>
        <v>2016-17</v>
      </c>
      <c r="G2214" s="1"/>
      <c r="H2214" s="161"/>
      <c r="I2214" s="37"/>
      <c r="J2214" s="135">
        <f t="shared" si="167"/>
        <v>0.76382508261777382</v>
      </c>
      <c r="K2214" s="112"/>
      <c r="L2214" s="37">
        <v>9.1378151108499992</v>
      </c>
      <c r="M2214" s="37" t="s">
        <v>288</v>
      </c>
      <c r="N2214" s="37">
        <v>3592.3639024390236</v>
      </c>
      <c r="O2214" s="130">
        <f t="shared" si="168"/>
        <v>32826.35715137938</v>
      </c>
      <c r="P2214" s="132">
        <f t="shared" si="169"/>
        <v>24929.884059468655</v>
      </c>
      <c r="Q2214" s="261">
        <v>0.99426843641946006</v>
      </c>
      <c r="R2214" s="92"/>
    </row>
    <row r="2215" spans="1:18" x14ac:dyDescent="0.25">
      <c r="A2215" s="353">
        <v>42597</v>
      </c>
      <c r="B2215" s="353" t="s">
        <v>285</v>
      </c>
      <c r="C2215" s="263" t="s">
        <v>762</v>
      </c>
      <c r="D2215" s="157" t="s">
        <v>699</v>
      </c>
      <c r="E2215" s="44">
        <f t="shared" si="170"/>
        <v>42597</v>
      </c>
      <c r="F2215" s="146" t="str">
        <f t="shared" si="166"/>
        <v>2016-17</v>
      </c>
      <c r="G2215" s="1"/>
      <c r="H2215" s="161"/>
      <c r="I2215" s="37"/>
      <c r="J2215" s="135">
        <f t="shared" si="167"/>
        <v>0.76382508261777382</v>
      </c>
      <c r="K2215" s="112"/>
      <c r="L2215" s="37">
        <v>58.403243231899999</v>
      </c>
      <c r="M2215" s="37" t="s">
        <v>288</v>
      </c>
      <c r="N2215" s="37">
        <v>1162.6195121951216</v>
      </c>
      <c r="O2215" s="130">
        <f t="shared" si="168"/>
        <v>67900.75015688462</v>
      </c>
      <c r="P2215" s="132">
        <f t="shared" si="169"/>
        <v>51567.032587743335</v>
      </c>
      <c r="Q2215" s="261">
        <v>0.99426843641946006</v>
      </c>
      <c r="R2215" s="92"/>
    </row>
    <row r="2216" spans="1:18" x14ac:dyDescent="0.25">
      <c r="A2216" s="353">
        <v>42597</v>
      </c>
      <c r="B2216" s="353" t="s">
        <v>285</v>
      </c>
      <c r="C2216" s="263" t="s">
        <v>762</v>
      </c>
      <c r="D2216" s="157" t="s">
        <v>699</v>
      </c>
      <c r="E2216" s="44">
        <f t="shared" si="170"/>
        <v>42597</v>
      </c>
      <c r="F2216" s="146" t="str">
        <f t="shared" si="166"/>
        <v>2016-17</v>
      </c>
      <c r="G2216" s="1"/>
      <c r="H2216" s="161"/>
      <c r="I2216" s="37"/>
      <c r="J2216" s="135">
        <f t="shared" si="167"/>
        <v>0.76382508261777382</v>
      </c>
      <c r="K2216" s="112"/>
      <c r="L2216" s="37">
        <v>47.5303240601</v>
      </c>
      <c r="M2216" s="37" t="s">
        <v>288</v>
      </c>
      <c r="N2216" s="37">
        <v>950.87219512195099</v>
      </c>
      <c r="O2216" s="130">
        <f t="shared" si="168"/>
        <v>45195.263573884971</v>
      </c>
      <c r="P2216" s="132">
        <f t="shared" si="169"/>
        <v>34323.415045361937</v>
      </c>
      <c r="Q2216" s="261">
        <v>0.99426843641946006</v>
      </c>
      <c r="R2216" s="92"/>
    </row>
    <row r="2217" spans="1:18" x14ac:dyDescent="0.25">
      <c r="A2217" s="353">
        <v>42597</v>
      </c>
      <c r="B2217" s="353" t="s">
        <v>285</v>
      </c>
      <c r="C2217" s="263" t="s">
        <v>762</v>
      </c>
      <c r="D2217" s="157" t="s">
        <v>699</v>
      </c>
      <c r="E2217" s="44">
        <f t="shared" si="170"/>
        <v>42597</v>
      </c>
      <c r="F2217" s="146" t="str">
        <f t="shared" si="166"/>
        <v>2016-17</v>
      </c>
      <c r="G2217" s="1"/>
      <c r="H2217" s="161"/>
      <c r="I2217" s="37"/>
      <c r="J2217" s="135">
        <f t="shared" si="167"/>
        <v>0.76382508261777382</v>
      </c>
      <c r="K2217" s="112"/>
      <c r="L2217" s="37">
        <v>18.8716647384</v>
      </c>
      <c r="M2217" s="37" t="s">
        <v>288</v>
      </c>
      <c r="N2217" s="37">
        <v>950.87219512195099</v>
      </c>
      <c r="O2217" s="130">
        <f t="shared" si="168"/>
        <v>17944.541275407926</v>
      </c>
      <c r="P2217" s="132">
        <f t="shared" si="169"/>
        <v>13627.931099185989</v>
      </c>
      <c r="Q2217" s="261">
        <v>0.99426843641946006</v>
      </c>
      <c r="R2217" s="92"/>
    </row>
    <row r="2218" spans="1:18" x14ac:dyDescent="0.25">
      <c r="A2218" s="353">
        <v>42597</v>
      </c>
      <c r="B2218" s="353" t="s">
        <v>285</v>
      </c>
      <c r="C2218" s="263" t="s">
        <v>762</v>
      </c>
      <c r="D2218" s="157" t="s">
        <v>699</v>
      </c>
      <c r="E2218" s="44">
        <f t="shared" si="170"/>
        <v>42597</v>
      </c>
      <c r="F2218" s="146" t="str">
        <f t="shared" si="166"/>
        <v>2016-17</v>
      </c>
      <c r="G2218" s="1"/>
      <c r="H2218" s="161"/>
      <c r="I2218" s="37"/>
      <c r="J2218" s="135">
        <f t="shared" si="167"/>
        <v>0.76382508261777382</v>
      </c>
      <c r="K2218" s="112"/>
      <c r="L2218" s="37">
        <v>35.610326719500002</v>
      </c>
      <c r="M2218" s="37" t="s">
        <v>288</v>
      </c>
      <c r="N2218" s="37">
        <v>3592.3639024390236</v>
      </c>
      <c r="O2218" s="130">
        <f t="shared" si="168"/>
        <v>127925.25226119166</v>
      </c>
      <c r="P2218" s="132">
        <f t="shared" si="169"/>
        <v>97152.47087707321</v>
      </c>
      <c r="Q2218" s="261">
        <v>0.99426843641946006</v>
      </c>
      <c r="R2218" s="92"/>
    </row>
    <row r="2219" spans="1:18" x14ac:dyDescent="0.25">
      <c r="A2219" s="353">
        <v>41859</v>
      </c>
      <c r="B2219" s="353" t="s">
        <v>285</v>
      </c>
      <c r="C2219" s="263" t="s">
        <v>763</v>
      </c>
      <c r="D2219" s="157" t="s">
        <v>746</v>
      </c>
      <c r="E2219" s="44">
        <f t="shared" si="170"/>
        <v>41859</v>
      </c>
      <c r="F2219" s="146" t="str">
        <f t="shared" si="166"/>
        <v>2014-15</v>
      </c>
      <c r="G2219" s="1"/>
      <c r="H2219" s="161"/>
      <c r="I2219" s="37"/>
      <c r="J2219" s="135">
        <f t="shared" si="167"/>
        <v>0.76382508261777382</v>
      </c>
      <c r="K2219" s="112"/>
      <c r="L2219" s="37">
        <v>99.457799719299999</v>
      </c>
      <c r="M2219" s="37" t="s">
        <v>288</v>
      </c>
      <c r="N2219" s="37">
        <v>1680.8751219512192</v>
      </c>
      <c r="O2219" s="130">
        <f t="shared" si="168"/>
        <v>167176.14123217831</v>
      </c>
      <c r="P2219" s="132">
        <f t="shared" si="169"/>
        <v>127693.32988838923</v>
      </c>
      <c r="Q2219" s="261">
        <v>1</v>
      </c>
      <c r="R2219" s="92"/>
    </row>
    <row r="2220" spans="1:18" x14ac:dyDescent="0.25">
      <c r="A2220" s="353">
        <v>41859</v>
      </c>
      <c r="B2220" s="353" t="s">
        <v>285</v>
      </c>
      <c r="C2220" s="263" t="s">
        <v>763</v>
      </c>
      <c r="D2220" s="157" t="s">
        <v>746</v>
      </c>
      <c r="E2220" s="44">
        <f t="shared" si="170"/>
        <v>41859</v>
      </c>
      <c r="F2220" s="146" t="str">
        <f t="shared" si="166"/>
        <v>2014-15</v>
      </c>
      <c r="G2220" s="1"/>
      <c r="H2220" s="161"/>
      <c r="I2220" s="37"/>
      <c r="J2220" s="135">
        <f t="shared" si="167"/>
        <v>0.76382508261777382</v>
      </c>
      <c r="K2220" s="112"/>
      <c r="L2220" s="37">
        <v>84.500174940600004</v>
      </c>
      <c r="M2220" s="37" t="s">
        <v>288</v>
      </c>
      <c r="N2220" s="37">
        <v>1680.8751219512192</v>
      </c>
      <c r="O2220" s="130">
        <f t="shared" si="168"/>
        <v>142034.24185818038</v>
      </c>
      <c r="P2220" s="132">
        <f t="shared" si="169"/>
        <v>108489.3165218775</v>
      </c>
      <c r="Q2220" s="261">
        <v>1</v>
      </c>
      <c r="R2220" s="92"/>
    </row>
    <row r="2221" spans="1:18" x14ac:dyDescent="0.25">
      <c r="A2221" s="353">
        <v>41859</v>
      </c>
      <c r="B2221" s="353" t="s">
        <v>285</v>
      </c>
      <c r="C2221" s="263" t="s">
        <v>763</v>
      </c>
      <c r="D2221" s="157" t="s">
        <v>746</v>
      </c>
      <c r="E2221" s="44">
        <f t="shared" si="170"/>
        <v>41859</v>
      </c>
      <c r="F2221" s="146" t="str">
        <f t="shared" si="166"/>
        <v>2014-15</v>
      </c>
      <c r="G2221" s="1"/>
      <c r="H2221" s="161"/>
      <c r="I2221" s="37"/>
      <c r="J2221" s="135">
        <f t="shared" si="167"/>
        <v>0.76382508261777382</v>
      </c>
      <c r="K2221" s="112"/>
      <c r="L2221" s="37">
        <v>20.520291347800001</v>
      </c>
      <c r="M2221" s="37" t="s">
        <v>288</v>
      </c>
      <c r="N2221" s="37">
        <v>1680.8751219512192</v>
      </c>
      <c r="O2221" s="130">
        <f t="shared" si="168"/>
        <v>34492.047221707871</v>
      </c>
      <c r="P2221" s="132">
        <f t="shared" si="169"/>
        <v>26345.89081877717</v>
      </c>
      <c r="Q2221" s="261">
        <v>1</v>
      </c>
      <c r="R2221" s="92"/>
    </row>
    <row r="2222" spans="1:18" x14ac:dyDescent="0.25">
      <c r="A2222" s="353">
        <v>41873</v>
      </c>
      <c r="B2222" s="353" t="s">
        <v>285</v>
      </c>
      <c r="C2222" s="263" t="s">
        <v>763</v>
      </c>
      <c r="D2222" s="157" t="s">
        <v>764</v>
      </c>
      <c r="E2222" s="44">
        <f t="shared" si="170"/>
        <v>41873</v>
      </c>
      <c r="F2222" s="146" t="str">
        <f t="shared" si="166"/>
        <v>2014-15</v>
      </c>
      <c r="G2222" s="1"/>
      <c r="H2222" s="161"/>
      <c r="I2222" s="37"/>
      <c r="J2222" s="135">
        <f t="shared" si="167"/>
        <v>0.76382508261777382</v>
      </c>
      <c r="K2222" s="112"/>
      <c r="L2222" s="37">
        <v>122.94630633600001</v>
      </c>
      <c r="M2222" s="37" t="s">
        <v>288</v>
      </c>
      <c r="N2222" s="37">
        <v>5841.3648780487802</v>
      </c>
      <c r="O2222" s="130">
        <f t="shared" si="168"/>
        <v>718174.23571693664</v>
      </c>
      <c r="P2222" s="132">
        <f t="shared" si="169"/>
        <v>548559.49493044568</v>
      </c>
      <c r="Q2222" s="261">
        <v>1</v>
      </c>
      <c r="R2222" s="92"/>
    </row>
    <row r="2223" spans="1:18" x14ac:dyDescent="0.25">
      <c r="A2223" s="353">
        <v>42551</v>
      </c>
      <c r="B2223" s="353" t="s">
        <v>285</v>
      </c>
      <c r="C2223" s="263" t="s">
        <v>765</v>
      </c>
      <c r="D2223" s="157" t="s">
        <v>766</v>
      </c>
      <c r="E2223" s="44">
        <f t="shared" si="170"/>
        <v>42551</v>
      </c>
      <c r="F2223" s="146" t="str">
        <f t="shared" si="166"/>
        <v>2015-16</v>
      </c>
      <c r="G2223" s="1"/>
      <c r="H2223" s="161"/>
      <c r="I2223" s="37"/>
      <c r="J2223" s="135">
        <f t="shared" si="167"/>
        <v>0.76382508261777382</v>
      </c>
      <c r="K2223" s="112"/>
      <c r="L2223" s="37">
        <v>109.042079749</v>
      </c>
      <c r="M2223" s="37" t="s">
        <v>288</v>
      </c>
      <c r="N2223" s="37">
        <v>4137.5673744390242</v>
      </c>
      <c r="O2223" s="130">
        <f t="shared" si="168"/>
        <v>451168.95161044062</v>
      </c>
      <c r="P2223" s="132">
        <f t="shared" si="169"/>
        <v>344614.16173841921</v>
      </c>
      <c r="Q2223" s="261">
        <v>1</v>
      </c>
      <c r="R2223" s="92"/>
    </row>
    <row r="2224" spans="1:18" x14ac:dyDescent="0.25">
      <c r="A2224" s="353">
        <v>41967</v>
      </c>
      <c r="B2224" s="353" t="s">
        <v>285</v>
      </c>
      <c r="C2224" s="263" t="s">
        <v>763</v>
      </c>
      <c r="D2224" s="157" t="s">
        <v>764</v>
      </c>
      <c r="E2224" s="44">
        <f t="shared" si="170"/>
        <v>41967</v>
      </c>
      <c r="F2224" s="146" t="str">
        <f t="shared" si="166"/>
        <v>2014-15</v>
      </c>
      <c r="G2224" s="1"/>
      <c r="H2224" s="161"/>
      <c r="I2224" s="37"/>
      <c r="J2224" s="135">
        <f t="shared" si="167"/>
        <v>0.76382508261777382</v>
      </c>
      <c r="K2224" s="112"/>
      <c r="L2224" s="37">
        <v>21.190791086299999</v>
      </c>
      <c r="M2224" s="37" t="s">
        <v>288</v>
      </c>
      <c r="N2224" s="37">
        <v>3906.7707317073164</v>
      </c>
      <c r="O2224" s="130">
        <f t="shared" si="168"/>
        <v>82787.562397681118</v>
      </c>
      <c r="P2224" s="132">
        <f t="shared" si="169"/>
        <v>63235.216688132889</v>
      </c>
      <c r="Q2224" s="261">
        <v>1</v>
      </c>
      <c r="R2224" s="92"/>
    </row>
    <row r="2225" spans="1:18" x14ac:dyDescent="0.25">
      <c r="A2225" s="353">
        <v>41967</v>
      </c>
      <c r="B2225" s="353" t="s">
        <v>285</v>
      </c>
      <c r="C2225" s="263" t="s">
        <v>763</v>
      </c>
      <c r="D2225" s="157" t="s">
        <v>764</v>
      </c>
      <c r="E2225" s="44">
        <f t="shared" si="170"/>
        <v>41967</v>
      </c>
      <c r="F2225" s="146" t="str">
        <f t="shared" si="166"/>
        <v>2014-15</v>
      </c>
      <c r="G2225" s="1"/>
      <c r="H2225" s="161"/>
      <c r="I2225" s="37"/>
      <c r="J2225" s="135">
        <f t="shared" si="167"/>
        <v>0.76382508261777382</v>
      </c>
      <c r="K2225" s="112"/>
      <c r="L2225" s="37">
        <v>21.914877391200001</v>
      </c>
      <c r="M2225" s="37" t="s">
        <v>288</v>
      </c>
      <c r="N2225" s="37">
        <v>5841.3648780487802</v>
      </c>
      <c r="O2225" s="130">
        <f t="shared" si="168"/>
        <v>128012.79509970096</v>
      </c>
      <c r="P2225" s="132">
        <f t="shared" si="169"/>
        <v>97779.383793161236</v>
      </c>
      <c r="Q2225" s="261">
        <v>1</v>
      </c>
      <c r="R2225" s="92"/>
    </row>
    <row r="2226" spans="1:18" x14ac:dyDescent="0.25">
      <c r="A2226" s="353">
        <v>41967</v>
      </c>
      <c r="B2226" s="353" t="s">
        <v>285</v>
      </c>
      <c r="C2226" s="263" t="s">
        <v>763</v>
      </c>
      <c r="D2226" s="157" t="s">
        <v>764</v>
      </c>
      <c r="E2226" s="44">
        <f t="shared" si="170"/>
        <v>41967</v>
      </c>
      <c r="F2226" s="146" t="str">
        <f t="shared" si="166"/>
        <v>2014-15</v>
      </c>
      <c r="G2226" s="1"/>
      <c r="H2226" s="161"/>
      <c r="I2226" s="37"/>
      <c r="J2226" s="135">
        <f t="shared" si="167"/>
        <v>0.76382508261777382</v>
      </c>
      <c r="K2226" s="112"/>
      <c r="L2226" s="37">
        <v>21.971116305799999</v>
      </c>
      <c r="M2226" s="37" t="s">
        <v>288</v>
      </c>
      <c r="N2226" s="37">
        <v>5841.3648780487802</v>
      </c>
      <c r="O2226" s="130">
        <f t="shared" si="168"/>
        <v>128341.30712022497</v>
      </c>
      <c r="P2226" s="132">
        <f t="shared" si="169"/>
        <v>98030.309514378925</v>
      </c>
      <c r="Q2226" s="261">
        <v>1</v>
      </c>
      <c r="R2226" s="92"/>
    </row>
    <row r="2227" spans="1:18" x14ac:dyDescent="0.25">
      <c r="A2227" s="353">
        <v>42551</v>
      </c>
      <c r="B2227" s="353" t="s">
        <v>285</v>
      </c>
      <c r="C2227" s="263" t="s">
        <v>765</v>
      </c>
      <c r="D2227" s="157" t="s">
        <v>766</v>
      </c>
      <c r="E2227" s="44">
        <f t="shared" si="170"/>
        <v>42551</v>
      </c>
      <c r="F2227" s="146" t="str">
        <f t="shared" si="166"/>
        <v>2015-16</v>
      </c>
      <c r="G2227" s="1"/>
      <c r="H2227" s="161"/>
      <c r="I2227" s="37"/>
      <c r="J2227" s="135">
        <f t="shared" si="167"/>
        <v>0.76382508261777382</v>
      </c>
      <c r="K2227" s="112"/>
      <c r="L2227" s="37">
        <v>22.126298583400001</v>
      </c>
      <c r="M2227" s="37" t="s">
        <v>288</v>
      </c>
      <c r="N2227" s="37">
        <v>1361.4565853658535</v>
      </c>
      <c r="O2227" s="130">
        <f t="shared" si="168"/>
        <v>30123.994916141084</v>
      </c>
      <c r="P2227" s="132">
        <f t="shared" si="169"/>
        <v>23009.462905598863</v>
      </c>
      <c r="Q2227" s="261">
        <v>1</v>
      </c>
      <c r="R2227" s="92"/>
    </row>
    <row r="2228" spans="1:18" x14ac:dyDescent="0.25">
      <c r="A2228" s="353">
        <v>41873</v>
      </c>
      <c r="B2228" s="353" t="s">
        <v>285</v>
      </c>
      <c r="C2228" s="263" t="s">
        <v>763</v>
      </c>
      <c r="D2228" s="157" t="s">
        <v>764</v>
      </c>
      <c r="E2228" s="44">
        <f t="shared" si="170"/>
        <v>41873</v>
      </c>
      <c r="F2228" s="146" t="str">
        <f t="shared" si="166"/>
        <v>2014-15</v>
      </c>
      <c r="G2228" s="1"/>
      <c r="H2228" s="161"/>
      <c r="I2228" s="37"/>
      <c r="J2228" s="135">
        <f t="shared" si="167"/>
        <v>0.76382508261777382</v>
      </c>
      <c r="K2228" s="112"/>
      <c r="L2228" s="37">
        <v>12.2323491203</v>
      </c>
      <c r="M2228" s="37" t="s">
        <v>288</v>
      </c>
      <c r="N2228" s="37">
        <v>3906.7707317073164</v>
      </c>
      <c r="O2228" s="130">
        <f t="shared" si="168"/>
        <v>47788.983523213778</v>
      </c>
      <c r="P2228" s="132">
        <f t="shared" si="169"/>
        <v>36502.424287838192</v>
      </c>
      <c r="Q2228" s="261">
        <v>1</v>
      </c>
      <c r="R2228" s="92"/>
    </row>
    <row r="2229" spans="1:18" x14ac:dyDescent="0.25">
      <c r="A2229" s="353">
        <v>41967</v>
      </c>
      <c r="B2229" s="353" t="s">
        <v>285</v>
      </c>
      <c r="C2229" s="263" t="s">
        <v>763</v>
      </c>
      <c r="D2229" s="157" t="s">
        <v>767</v>
      </c>
      <c r="E2229" s="44">
        <f t="shared" si="170"/>
        <v>41967</v>
      </c>
      <c r="F2229" s="146" t="str">
        <f t="shared" si="166"/>
        <v>2014-15</v>
      </c>
      <c r="G2229" s="1"/>
      <c r="H2229" s="161"/>
      <c r="I2229" s="37"/>
      <c r="J2229" s="135">
        <f t="shared" si="167"/>
        <v>0.76382508261777382</v>
      </c>
      <c r="K2229" s="112"/>
      <c r="L2229" s="37">
        <v>24.193301617900001</v>
      </c>
      <c r="M2229" s="37" t="s">
        <v>288</v>
      </c>
      <c r="N2229" s="37">
        <v>812.22926829268283</v>
      </c>
      <c r="O2229" s="130">
        <f t="shared" si="168"/>
        <v>19650.507670691099</v>
      </c>
      <c r="P2229" s="132">
        <f t="shared" si="169"/>
        <v>15009.550645046827</v>
      </c>
      <c r="Q2229" s="261">
        <v>1</v>
      </c>
      <c r="R2229" s="92"/>
    </row>
    <row r="2230" spans="1:18" x14ac:dyDescent="0.25">
      <c r="A2230" s="353">
        <v>41873</v>
      </c>
      <c r="B2230" s="353" t="s">
        <v>285</v>
      </c>
      <c r="C2230" s="263" t="s">
        <v>763</v>
      </c>
      <c r="D2230" s="157" t="s">
        <v>764</v>
      </c>
      <c r="E2230" s="44">
        <f t="shared" si="170"/>
        <v>41873</v>
      </c>
      <c r="F2230" s="146" t="str">
        <f t="shared" si="166"/>
        <v>2014-15</v>
      </c>
      <c r="G2230" s="1"/>
      <c r="H2230" s="161"/>
      <c r="I2230" s="37"/>
      <c r="J2230" s="135">
        <f t="shared" si="167"/>
        <v>0.76382508261777382</v>
      </c>
      <c r="K2230" s="112"/>
      <c r="L2230" s="37">
        <v>15.7705919039</v>
      </c>
      <c r="M2230" s="37" t="s">
        <v>288</v>
      </c>
      <c r="N2230" s="37">
        <v>3906.7707317073164</v>
      </c>
      <c r="O2230" s="130">
        <f t="shared" si="168"/>
        <v>61612.086871856882</v>
      </c>
      <c r="P2230" s="132">
        <f t="shared" si="169"/>
        <v>47060.857345149539</v>
      </c>
      <c r="Q2230" s="261">
        <v>1</v>
      </c>
      <c r="R2230" s="92"/>
    </row>
    <row r="2231" spans="1:18" x14ac:dyDescent="0.25">
      <c r="A2231" s="353">
        <v>42887</v>
      </c>
      <c r="B2231" s="353" t="s">
        <v>285</v>
      </c>
      <c r="C2231" s="263" t="s">
        <v>768</v>
      </c>
      <c r="D2231" s="157" t="s">
        <v>699</v>
      </c>
      <c r="E2231" s="44">
        <f t="shared" si="170"/>
        <v>42887</v>
      </c>
      <c r="F2231" s="146" t="str">
        <f t="shared" si="166"/>
        <v>2016-17</v>
      </c>
      <c r="G2231" s="1"/>
      <c r="H2231" s="161"/>
      <c r="I2231" s="37"/>
      <c r="J2231" s="135">
        <f t="shared" si="167"/>
        <v>0.76382508261777382</v>
      </c>
      <c r="K2231" s="112"/>
      <c r="L2231" s="37">
        <v>119.943265021</v>
      </c>
      <c r="M2231" s="37" t="s">
        <v>288</v>
      </c>
      <c r="N2231" s="37">
        <v>950.87219512195099</v>
      </c>
      <c r="O2231" s="130">
        <f t="shared" si="168"/>
        <v>114050.7157006122</v>
      </c>
      <c r="P2231" s="132">
        <f t="shared" si="169"/>
        <v>87114.797342636346</v>
      </c>
      <c r="Q2231" s="261">
        <v>1</v>
      </c>
      <c r="R2231" s="92"/>
    </row>
    <row r="2232" spans="1:18" x14ac:dyDescent="0.25">
      <c r="A2232" s="353">
        <v>41859</v>
      </c>
      <c r="B2232" s="353" t="s">
        <v>285</v>
      </c>
      <c r="C2232" s="263" t="s">
        <v>763</v>
      </c>
      <c r="D2232" s="157" t="s">
        <v>746</v>
      </c>
      <c r="E2232" s="44">
        <f t="shared" si="170"/>
        <v>41859</v>
      </c>
      <c r="F2232" s="146" t="str">
        <f t="shared" si="166"/>
        <v>2014-15</v>
      </c>
      <c r="G2232" s="1"/>
      <c r="H2232" s="161"/>
      <c r="I2232" s="37"/>
      <c r="J2232" s="135">
        <f t="shared" si="167"/>
        <v>0.76382508261777382</v>
      </c>
      <c r="K2232" s="112"/>
      <c r="L2232" s="37">
        <v>142.827282212</v>
      </c>
      <c r="M2232" s="37" t="s">
        <v>288</v>
      </c>
      <c r="N2232" s="37">
        <v>1680.8751219512192</v>
      </c>
      <c r="O2232" s="130">
        <f t="shared" si="168"/>
        <v>240074.82540605668</v>
      </c>
      <c r="P2232" s="132">
        <f t="shared" si="169"/>
        <v>183375.17335022887</v>
      </c>
      <c r="Q2232" s="261">
        <v>1</v>
      </c>
      <c r="R2232" s="92"/>
    </row>
    <row r="2233" spans="1:18" x14ac:dyDescent="0.25">
      <c r="A2233" s="353">
        <v>42887</v>
      </c>
      <c r="B2233" s="353" t="s">
        <v>285</v>
      </c>
      <c r="C2233" s="263" t="s">
        <v>768</v>
      </c>
      <c r="D2233" s="157" t="s">
        <v>699</v>
      </c>
      <c r="E2233" s="44">
        <f t="shared" si="170"/>
        <v>42887</v>
      </c>
      <c r="F2233" s="146" t="str">
        <f t="shared" si="166"/>
        <v>2016-17</v>
      </c>
      <c r="G2233" s="1"/>
      <c r="H2233" s="161"/>
      <c r="I2233" s="37"/>
      <c r="J2233" s="135">
        <f t="shared" si="167"/>
        <v>0.76382508261777382</v>
      </c>
      <c r="K2233" s="112"/>
      <c r="L2233" s="37">
        <v>104.39735549300001</v>
      </c>
      <c r="M2233" s="37" t="s">
        <v>288</v>
      </c>
      <c r="N2233" s="37">
        <v>1162.6195121951216</v>
      </c>
      <c r="O2233" s="130">
        <f t="shared" si="168"/>
        <v>121374.40251773236</v>
      </c>
      <c r="P2233" s="132">
        <f t="shared" si="169"/>
        <v>92708.813030789854</v>
      </c>
      <c r="Q2233" s="261">
        <v>1</v>
      </c>
      <c r="R2233" s="92"/>
    </row>
    <row r="2234" spans="1:18" x14ac:dyDescent="0.25">
      <c r="A2234" s="353">
        <v>42887</v>
      </c>
      <c r="B2234" s="353" t="s">
        <v>285</v>
      </c>
      <c r="C2234" s="263" t="s">
        <v>768</v>
      </c>
      <c r="D2234" s="157" t="s">
        <v>699</v>
      </c>
      <c r="E2234" s="44">
        <f t="shared" si="170"/>
        <v>42887</v>
      </c>
      <c r="F2234" s="146" t="str">
        <f t="shared" si="166"/>
        <v>2016-17</v>
      </c>
      <c r="G2234" s="1"/>
      <c r="H2234" s="161"/>
      <c r="I2234" s="37"/>
      <c r="J2234" s="135">
        <f t="shared" si="167"/>
        <v>0.76382508261777382</v>
      </c>
      <c r="K2234" s="112"/>
      <c r="L2234" s="37">
        <v>119.930138748</v>
      </c>
      <c r="M2234" s="37" t="s">
        <v>288</v>
      </c>
      <c r="N2234" s="37">
        <v>1162.6195121951216</v>
      </c>
      <c r="O2234" s="130">
        <f t="shared" si="168"/>
        <v>139433.11940869302</v>
      </c>
      <c r="P2234" s="132">
        <f t="shared" si="169"/>
        <v>106502.51395199887</v>
      </c>
      <c r="Q2234" s="261">
        <v>1</v>
      </c>
      <c r="R2234" s="92"/>
    </row>
    <row r="2235" spans="1:18" x14ac:dyDescent="0.25">
      <c r="A2235" s="353">
        <v>42887</v>
      </c>
      <c r="B2235" s="353" t="s">
        <v>285</v>
      </c>
      <c r="C2235" s="263" t="s">
        <v>768</v>
      </c>
      <c r="D2235" s="157" t="s">
        <v>699</v>
      </c>
      <c r="E2235" s="44">
        <f t="shared" si="170"/>
        <v>42887</v>
      </c>
      <c r="F2235" s="146" t="str">
        <f t="shared" ref="F2235:F2298" si="171">IF(E2235="","-",IF(OR(E2235&lt;$E$15,E2235&gt;$E$16),"ERROR - date outside of range",IF(MONTH(E2235)&gt;=7,YEAR(E2235)&amp;"-"&amp;IF(YEAR(E2235)=1999,"00",IF(AND(YEAR(E2235)&gt;=2000,YEAR(E2235)&lt;2009),"0","")&amp;RIGHT(YEAR(E2235),2)+1),RIGHT(YEAR(E2235),4)-1&amp;"-"&amp;RIGHT(YEAR(E2235),2))))</f>
        <v>2016-17</v>
      </c>
      <c r="G2235" s="1"/>
      <c r="H2235" s="161"/>
      <c r="I2235" s="37"/>
      <c r="J2235" s="135">
        <f t="shared" si="167"/>
        <v>0.76382508261777382</v>
      </c>
      <c r="K2235" s="112"/>
      <c r="L2235" s="37">
        <v>115.95758683699999</v>
      </c>
      <c r="M2235" s="37" t="s">
        <v>288</v>
      </c>
      <c r="N2235" s="37">
        <v>950.87219512195099</v>
      </c>
      <c r="O2235" s="130">
        <f t="shared" si="168"/>
        <v>110260.84513674243</v>
      </c>
      <c r="P2235" s="132">
        <f t="shared" si="169"/>
        <v>84219.999146077855</v>
      </c>
      <c r="Q2235" s="261">
        <v>1</v>
      </c>
      <c r="R2235" s="92"/>
    </row>
    <row r="2236" spans="1:18" x14ac:dyDescent="0.25">
      <c r="A2236" s="353">
        <v>41859</v>
      </c>
      <c r="B2236" s="353" t="s">
        <v>285</v>
      </c>
      <c r="C2236" s="263" t="s">
        <v>763</v>
      </c>
      <c r="D2236" s="157" t="s">
        <v>699</v>
      </c>
      <c r="E2236" s="44">
        <f t="shared" si="170"/>
        <v>41859</v>
      </c>
      <c r="F2236" s="146" t="str">
        <f t="shared" si="171"/>
        <v>2014-15</v>
      </c>
      <c r="G2236" s="1"/>
      <c r="H2236" s="161"/>
      <c r="I2236" s="37"/>
      <c r="J2236" s="135">
        <f t="shared" si="167"/>
        <v>0.76382508261777382</v>
      </c>
      <c r="K2236" s="112"/>
      <c r="L2236" s="37">
        <v>179.96782044400001</v>
      </c>
      <c r="M2236" s="37" t="s">
        <v>288</v>
      </c>
      <c r="N2236" s="37">
        <v>3875.3912195121943</v>
      </c>
      <c r="O2236" s="130">
        <f t="shared" si="168"/>
        <v>697445.71114342485</v>
      </c>
      <c r="P2236" s="132">
        <f t="shared" si="169"/>
        <v>532726.52793553856</v>
      </c>
      <c r="Q2236" s="261">
        <v>1</v>
      </c>
      <c r="R2236" s="92"/>
    </row>
    <row r="2237" spans="1:18" x14ac:dyDescent="0.25">
      <c r="A2237" s="353">
        <v>41859</v>
      </c>
      <c r="B2237" s="353" t="s">
        <v>285</v>
      </c>
      <c r="C2237" s="263" t="s">
        <v>763</v>
      </c>
      <c r="D2237" s="157" t="s">
        <v>746</v>
      </c>
      <c r="E2237" s="44">
        <f t="shared" si="170"/>
        <v>41859</v>
      </c>
      <c r="F2237" s="146" t="str">
        <f t="shared" si="171"/>
        <v>2014-15</v>
      </c>
      <c r="G2237" s="1"/>
      <c r="H2237" s="161"/>
      <c r="I2237" s="37"/>
      <c r="J2237" s="135">
        <f t="shared" si="167"/>
        <v>0.76382508261777382</v>
      </c>
      <c r="K2237" s="112"/>
      <c r="L2237" s="37">
        <v>179.75160977900001</v>
      </c>
      <c r="M2237" s="37" t="s">
        <v>288</v>
      </c>
      <c r="N2237" s="37">
        <v>2005.9707317073169</v>
      </c>
      <c r="O2237" s="130">
        <f t="shared" si="168"/>
        <v>360576.46819394873</v>
      </c>
      <c r="P2237" s="132">
        <f t="shared" si="169"/>
        <v>275417.350608268</v>
      </c>
      <c r="Q2237" s="261">
        <v>1</v>
      </c>
      <c r="R2237" s="92"/>
    </row>
    <row r="2238" spans="1:18" x14ac:dyDescent="0.25">
      <c r="A2238" s="353">
        <v>42887</v>
      </c>
      <c r="B2238" s="353" t="s">
        <v>285</v>
      </c>
      <c r="C2238" s="263" t="s">
        <v>768</v>
      </c>
      <c r="D2238" s="157" t="s">
        <v>699</v>
      </c>
      <c r="E2238" s="44">
        <f t="shared" si="170"/>
        <v>42887</v>
      </c>
      <c r="F2238" s="146" t="str">
        <f t="shared" si="171"/>
        <v>2016-17</v>
      </c>
      <c r="G2238" s="1"/>
      <c r="H2238" s="161"/>
      <c r="I2238" s="37"/>
      <c r="J2238" s="135">
        <f t="shared" si="167"/>
        <v>0.76382508261777382</v>
      </c>
      <c r="K2238" s="112"/>
      <c r="L2238" s="37">
        <v>119.94447741</v>
      </c>
      <c r="M2238" s="37" t="s">
        <v>288</v>
      </c>
      <c r="N2238" s="37">
        <v>3875.3912195121943</v>
      </c>
      <c r="O2238" s="130">
        <f t="shared" si="168"/>
        <v>464831.77458369278</v>
      </c>
      <c r="P2238" s="132">
        <f t="shared" si="169"/>
        <v>355050.16862475558</v>
      </c>
      <c r="Q2238" s="261">
        <v>1</v>
      </c>
      <c r="R2238" s="92"/>
    </row>
    <row r="2239" spans="1:18" x14ac:dyDescent="0.25">
      <c r="A2239" s="353">
        <v>41859</v>
      </c>
      <c r="B2239" s="353" t="s">
        <v>285</v>
      </c>
      <c r="C2239" s="263" t="s">
        <v>763</v>
      </c>
      <c r="D2239" s="157" t="s">
        <v>746</v>
      </c>
      <c r="E2239" s="44">
        <f t="shared" si="170"/>
        <v>41859</v>
      </c>
      <c r="F2239" s="146" t="str">
        <f t="shared" si="171"/>
        <v>2014-15</v>
      </c>
      <c r="G2239" s="1"/>
      <c r="H2239" s="161"/>
      <c r="I2239" s="37"/>
      <c r="J2239" s="135">
        <f t="shared" si="167"/>
        <v>0.76382508261777382</v>
      </c>
      <c r="K2239" s="112"/>
      <c r="L2239" s="37">
        <v>169.78492682500001</v>
      </c>
      <c r="M2239" s="37" t="s">
        <v>288</v>
      </c>
      <c r="N2239" s="37">
        <v>1680.8751219512192</v>
      </c>
      <c r="O2239" s="130">
        <f t="shared" si="168"/>
        <v>285387.25958245073</v>
      </c>
      <c r="P2239" s="132">
        <f t="shared" si="169"/>
        <v>217985.9471286255</v>
      </c>
      <c r="Q2239" s="261">
        <v>1</v>
      </c>
      <c r="R2239" s="92"/>
    </row>
    <row r="2240" spans="1:18" x14ac:dyDescent="0.25">
      <c r="A2240" s="353">
        <v>41859</v>
      </c>
      <c r="B2240" s="353" t="s">
        <v>285</v>
      </c>
      <c r="C2240" s="263" t="s">
        <v>763</v>
      </c>
      <c r="D2240" s="157" t="s">
        <v>699</v>
      </c>
      <c r="E2240" s="44">
        <f t="shared" si="170"/>
        <v>41859</v>
      </c>
      <c r="F2240" s="146" t="str">
        <f t="shared" si="171"/>
        <v>2014-15</v>
      </c>
      <c r="G2240" s="1"/>
      <c r="H2240" s="161"/>
      <c r="I2240" s="37"/>
      <c r="J2240" s="135">
        <f t="shared" si="167"/>
        <v>0.76382508261777382</v>
      </c>
      <c r="K2240" s="112"/>
      <c r="L2240" s="37">
        <v>39.713792129700003</v>
      </c>
      <c r="M2240" s="37" t="s">
        <v>288</v>
      </c>
      <c r="N2240" s="37">
        <v>3875.3912195121943</v>
      </c>
      <c r="O2240" s="130">
        <f t="shared" si="168"/>
        <v>153906.48131297188</v>
      </c>
      <c r="P2240" s="132">
        <f t="shared" si="169"/>
        <v>117557.63080429161</v>
      </c>
      <c r="Q2240" s="261">
        <v>1</v>
      </c>
      <c r="R2240" s="92"/>
    </row>
    <row r="2241" spans="1:18" x14ac:dyDescent="0.25">
      <c r="A2241" s="353">
        <v>43131</v>
      </c>
      <c r="B2241" s="353" t="s">
        <v>285</v>
      </c>
      <c r="C2241" s="263" t="s">
        <v>768</v>
      </c>
      <c r="D2241" s="157" t="s">
        <v>746</v>
      </c>
      <c r="E2241" s="44">
        <f t="shared" si="170"/>
        <v>43131</v>
      </c>
      <c r="F2241" s="146" t="str">
        <f t="shared" si="171"/>
        <v>2017-18</v>
      </c>
      <c r="G2241" s="1"/>
      <c r="H2241" s="161"/>
      <c r="I2241" s="37"/>
      <c r="J2241" s="135">
        <f t="shared" si="167"/>
        <v>0.76382508261777382</v>
      </c>
      <c r="K2241" s="112"/>
      <c r="L2241" s="37">
        <v>130.243824241</v>
      </c>
      <c r="M2241" s="37" t="s">
        <v>288</v>
      </c>
      <c r="N2241" s="37">
        <v>4416.6341463414628</v>
      </c>
      <c r="O2241" s="130">
        <f t="shared" si="168"/>
        <v>575239.32149289653</v>
      </c>
      <c r="P2241" s="132">
        <f t="shared" si="169"/>
        <v>439382.22226430383</v>
      </c>
      <c r="Q2241" s="261">
        <v>1</v>
      </c>
      <c r="R2241" s="92"/>
    </row>
    <row r="2242" spans="1:18" x14ac:dyDescent="0.25">
      <c r="A2242" s="353">
        <v>41859</v>
      </c>
      <c r="B2242" s="353" t="s">
        <v>285</v>
      </c>
      <c r="C2242" s="263" t="s">
        <v>763</v>
      </c>
      <c r="D2242" s="157" t="s">
        <v>699</v>
      </c>
      <c r="E2242" s="44">
        <f t="shared" si="170"/>
        <v>41859</v>
      </c>
      <c r="F2242" s="146" t="str">
        <f t="shared" si="171"/>
        <v>2014-15</v>
      </c>
      <c r="G2242" s="1"/>
      <c r="H2242" s="161"/>
      <c r="I2242" s="37"/>
      <c r="J2242" s="135">
        <f t="shared" si="167"/>
        <v>0.76382508261777382</v>
      </c>
      <c r="K2242" s="112"/>
      <c r="L2242" s="37">
        <v>177.39096686400001</v>
      </c>
      <c r="M2242" s="37" t="s">
        <v>288</v>
      </c>
      <c r="N2242" s="37">
        <v>950.87219512195099</v>
      </c>
      <c r="O2242" s="130">
        <f t="shared" si="168"/>
        <v>168676.13805677695</v>
      </c>
      <c r="P2242" s="132">
        <f t="shared" si="169"/>
        <v>128839.06508686468</v>
      </c>
      <c r="Q2242" s="261">
        <v>1</v>
      </c>
      <c r="R2242" s="92"/>
    </row>
    <row r="2243" spans="1:18" x14ac:dyDescent="0.25">
      <c r="A2243" s="353">
        <v>41859</v>
      </c>
      <c r="B2243" s="353" t="s">
        <v>285</v>
      </c>
      <c r="C2243" s="263" t="s">
        <v>763</v>
      </c>
      <c r="D2243" s="157" t="s">
        <v>699</v>
      </c>
      <c r="E2243" s="44">
        <f t="shared" si="170"/>
        <v>41859</v>
      </c>
      <c r="F2243" s="146" t="str">
        <f t="shared" si="171"/>
        <v>2014-15</v>
      </c>
      <c r="G2243" s="1"/>
      <c r="H2243" s="161"/>
      <c r="I2243" s="37"/>
      <c r="J2243" s="135">
        <f t="shared" si="167"/>
        <v>0.76382508261777382</v>
      </c>
      <c r="K2243" s="112"/>
      <c r="L2243" s="37">
        <v>179.83301027900001</v>
      </c>
      <c r="M2243" s="37" t="s">
        <v>288</v>
      </c>
      <c r="N2243" s="37">
        <v>1162.6195121951216</v>
      </c>
      <c r="O2243" s="130">
        <f t="shared" si="168"/>
        <v>209077.36668715128</v>
      </c>
      <c r="P2243" s="132">
        <f t="shared" si="169"/>
        <v>159698.53688331993</v>
      </c>
      <c r="Q2243" s="261">
        <v>1</v>
      </c>
      <c r="R2243" s="92"/>
    </row>
    <row r="2244" spans="1:18" x14ac:dyDescent="0.25">
      <c r="A2244" s="353">
        <v>41859</v>
      </c>
      <c r="B2244" s="353" t="s">
        <v>285</v>
      </c>
      <c r="C2244" s="263" t="s">
        <v>763</v>
      </c>
      <c r="D2244" s="157" t="s">
        <v>699</v>
      </c>
      <c r="E2244" s="44">
        <f t="shared" si="170"/>
        <v>41859</v>
      </c>
      <c r="F2244" s="146" t="str">
        <f t="shared" si="171"/>
        <v>2014-15</v>
      </c>
      <c r="G2244" s="1"/>
      <c r="H2244" s="161"/>
      <c r="I2244" s="37"/>
      <c r="J2244" s="135">
        <f t="shared" si="167"/>
        <v>0.76382508261777382</v>
      </c>
      <c r="K2244" s="112"/>
      <c r="L2244" s="37">
        <v>180.02638500200001</v>
      </c>
      <c r="M2244" s="37" t="s">
        <v>288</v>
      </c>
      <c r="N2244" s="37">
        <v>950.87219512195099</v>
      </c>
      <c r="O2244" s="130">
        <f t="shared" si="168"/>
        <v>171182.08388672123</v>
      </c>
      <c r="P2244" s="132">
        <f t="shared" si="169"/>
        <v>130753.16936745754</v>
      </c>
      <c r="Q2244" s="261">
        <v>1</v>
      </c>
      <c r="R2244" s="92"/>
    </row>
    <row r="2245" spans="1:18" x14ac:dyDescent="0.25">
      <c r="A2245" s="353">
        <v>41859</v>
      </c>
      <c r="B2245" s="353" t="s">
        <v>285</v>
      </c>
      <c r="C2245" s="263" t="s">
        <v>763</v>
      </c>
      <c r="D2245" s="157" t="s">
        <v>699</v>
      </c>
      <c r="E2245" s="44">
        <f t="shared" si="170"/>
        <v>41859</v>
      </c>
      <c r="F2245" s="146" t="str">
        <f t="shared" si="171"/>
        <v>2014-15</v>
      </c>
      <c r="G2245" s="1"/>
      <c r="H2245" s="161"/>
      <c r="I2245" s="37"/>
      <c r="J2245" s="135">
        <f t="shared" si="167"/>
        <v>0.76382508261777382</v>
      </c>
      <c r="K2245" s="112"/>
      <c r="L2245" s="37">
        <v>54.776331197399998</v>
      </c>
      <c r="M2245" s="37" t="s">
        <v>288</v>
      </c>
      <c r="N2245" s="37">
        <v>3875.3912195121943</v>
      </c>
      <c r="O2245" s="130">
        <f t="shared" si="168"/>
        <v>212279.71295949584</v>
      </c>
      <c r="P2245" s="132">
        <f t="shared" si="169"/>
        <v>162144.56928936421</v>
      </c>
      <c r="Q2245" s="261">
        <v>1</v>
      </c>
      <c r="R2245" s="92"/>
    </row>
    <row r="2246" spans="1:18" x14ac:dyDescent="0.25">
      <c r="A2246" s="353">
        <v>42887</v>
      </c>
      <c r="B2246" s="353" t="s">
        <v>285</v>
      </c>
      <c r="C2246" s="263" t="s">
        <v>768</v>
      </c>
      <c r="D2246" s="157" t="s">
        <v>699</v>
      </c>
      <c r="E2246" s="44">
        <f t="shared" si="170"/>
        <v>42887</v>
      </c>
      <c r="F2246" s="146" t="str">
        <f t="shared" si="171"/>
        <v>2016-17</v>
      </c>
      <c r="G2246" s="1"/>
      <c r="H2246" s="161"/>
      <c r="I2246" s="37"/>
      <c r="J2246" s="135">
        <f t="shared" si="167"/>
        <v>0.76382508261777382</v>
      </c>
      <c r="K2246" s="112"/>
      <c r="L2246" s="37">
        <v>113.051508289</v>
      </c>
      <c r="M2246" s="37" t="s">
        <v>288</v>
      </c>
      <c r="N2246" s="37">
        <v>3592.3639024390236</v>
      </c>
      <c r="O2246" s="130">
        <f t="shared" si="168"/>
        <v>406122.15749368968</v>
      </c>
      <c r="P2246" s="132">
        <f t="shared" si="169"/>
        <v>310206.29050052608</v>
      </c>
      <c r="Q2246" s="261">
        <v>1</v>
      </c>
      <c r="R2246" s="92"/>
    </row>
    <row r="2247" spans="1:18" x14ac:dyDescent="0.25">
      <c r="A2247" s="353">
        <v>42887</v>
      </c>
      <c r="B2247" s="353" t="s">
        <v>285</v>
      </c>
      <c r="C2247" s="263" t="s">
        <v>768</v>
      </c>
      <c r="D2247" s="157" t="s">
        <v>699</v>
      </c>
      <c r="E2247" s="44">
        <f t="shared" si="170"/>
        <v>42887</v>
      </c>
      <c r="F2247" s="146" t="str">
        <f t="shared" si="171"/>
        <v>2016-17</v>
      </c>
      <c r="G2247" s="1"/>
      <c r="H2247" s="161"/>
      <c r="I2247" s="37"/>
      <c r="J2247" s="135">
        <f t="shared" si="167"/>
        <v>0.76382508261777382</v>
      </c>
      <c r="K2247" s="112"/>
      <c r="L2247" s="37">
        <v>90.426679094199997</v>
      </c>
      <c r="M2247" s="37" t="s">
        <v>288</v>
      </c>
      <c r="N2247" s="37">
        <v>950.87219512195099</v>
      </c>
      <c r="O2247" s="130">
        <f t="shared" si="168"/>
        <v>85984.21484789018</v>
      </c>
      <c r="P2247" s="132">
        <f t="shared" si="169"/>
        <v>65676.900010014127</v>
      </c>
      <c r="Q2247" s="261">
        <v>1</v>
      </c>
      <c r="R2247" s="92"/>
    </row>
    <row r="2248" spans="1:18" x14ac:dyDescent="0.25">
      <c r="A2248" s="353">
        <v>41859</v>
      </c>
      <c r="B2248" s="353" t="s">
        <v>285</v>
      </c>
      <c r="C2248" s="263" t="s">
        <v>763</v>
      </c>
      <c r="D2248" s="157" t="s">
        <v>699</v>
      </c>
      <c r="E2248" s="44">
        <f t="shared" si="170"/>
        <v>41859</v>
      </c>
      <c r="F2248" s="146" t="str">
        <f t="shared" si="171"/>
        <v>2014-15</v>
      </c>
      <c r="G2248" s="1"/>
      <c r="H2248" s="161"/>
      <c r="I2248" s="37"/>
      <c r="J2248" s="135">
        <f t="shared" si="167"/>
        <v>0.76382508261777382</v>
      </c>
      <c r="K2248" s="112"/>
      <c r="L2248" s="37">
        <v>107.526780673</v>
      </c>
      <c r="M2248" s="37" t="s">
        <v>288</v>
      </c>
      <c r="N2248" s="37">
        <v>950.87219512195099</v>
      </c>
      <c r="O2248" s="130">
        <f t="shared" si="168"/>
        <v>102244.22597293209</v>
      </c>
      <c r="P2248" s="132">
        <f t="shared" si="169"/>
        <v>78096.704350965199</v>
      </c>
      <c r="Q2248" s="261">
        <v>1</v>
      </c>
      <c r="R2248" s="92"/>
    </row>
    <row r="2249" spans="1:18" x14ac:dyDescent="0.25">
      <c r="A2249" s="353">
        <v>41859</v>
      </c>
      <c r="B2249" s="353" t="s">
        <v>285</v>
      </c>
      <c r="C2249" s="263" t="s">
        <v>763</v>
      </c>
      <c r="D2249" s="157" t="s">
        <v>699</v>
      </c>
      <c r="E2249" s="44">
        <f t="shared" si="170"/>
        <v>41859</v>
      </c>
      <c r="F2249" s="146" t="str">
        <f t="shared" si="171"/>
        <v>2014-15</v>
      </c>
      <c r="G2249" s="1"/>
      <c r="H2249" s="161"/>
      <c r="I2249" s="37"/>
      <c r="J2249" s="135">
        <f t="shared" si="167"/>
        <v>0.76382508261777382</v>
      </c>
      <c r="K2249" s="112"/>
      <c r="L2249" s="37">
        <v>89.943579260000007</v>
      </c>
      <c r="M2249" s="37" t="s">
        <v>288</v>
      </c>
      <c r="N2249" s="37">
        <v>3592.3639024390236</v>
      </c>
      <c r="O2249" s="130">
        <f t="shared" si="168"/>
        <v>323110.06738978723</v>
      </c>
      <c r="P2249" s="132">
        <f t="shared" si="169"/>
        <v>246799.57391863869</v>
      </c>
      <c r="Q2249" s="261">
        <v>1</v>
      </c>
      <c r="R2249" s="92"/>
    </row>
    <row r="2250" spans="1:18" x14ac:dyDescent="0.25">
      <c r="A2250" s="353">
        <v>43131</v>
      </c>
      <c r="B2250" s="353" t="s">
        <v>285</v>
      </c>
      <c r="C2250" s="263" t="s">
        <v>768</v>
      </c>
      <c r="D2250" s="157" t="s">
        <v>746</v>
      </c>
      <c r="E2250" s="44">
        <f t="shared" si="170"/>
        <v>43131</v>
      </c>
      <c r="F2250" s="146" t="str">
        <f t="shared" si="171"/>
        <v>2017-18</v>
      </c>
      <c r="G2250" s="1"/>
      <c r="H2250" s="161"/>
      <c r="I2250" s="37"/>
      <c r="J2250" s="135">
        <f t="shared" si="167"/>
        <v>0.76382508261777382</v>
      </c>
      <c r="K2250" s="112"/>
      <c r="L2250" s="37">
        <v>179.81606154100001</v>
      </c>
      <c r="M2250" s="37" t="s">
        <v>288</v>
      </c>
      <c r="N2250" s="37">
        <v>1680.8751219512192</v>
      </c>
      <c r="O2250" s="130">
        <f t="shared" si="168"/>
        <v>302248.34437151632</v>
      </c>
      <c r="P2250" s="132">
        <f t="shared" si="169"/>
        <v>230864.86661065879</v>
      </c>
      <c r="Q2250" s="261">
        <v>1</v>
      </c>
      <c r="R2250" s="92"/>
    </row>
    <row r="2251" spans="1:18" x14ac:dyDescent="0.25">
      <c r="A2251" s="353">
        <v>43131</v>
      </c>
      <c r="B2251" s="353" t="s">
        <v>285</v>
      </c>
      <c r="C2251" s="263" t="s">
        <v>768</v>
      </c>
      <c r="D2251" s="157" t="s">
        <v>746</v>
      </c>
      <c r="E2251" s="44">
        <f t="shared" si="170"/>
        <v>43131</v>
      </c>
      <c r="F2251" s="146" t="str">
        <f t="shared" si="171"/>
        <v>2017-18</v>
      </c>
      <c r="G2251" s="1"/>
      <c r="H2251" s="161"/>
      <c r="I2251" s="37"/>
      <c r="J2251" s="135">
        <f t="shared" si="167"/>
        <v>0.76382508261777382</v>
      </c>
      <c r="K2251" s="112"/>
      <c r="L2251" s="37">
        <v>156.348371034</v>
      </c>
      <c r="M2251" s="37" t="s">
        <v>288</v>
      </c>
      <c r="N2251" s="37">
        <v>1680.8751219512192</v>
      </c>
      <c r="O2251" s="130">
        <f t="shared" si="168"/>
        <v>262802.08722864918</v>
      </c>
      <c r="P2251" s="132">
        <f t="shared" si="169"/>
        <v>200734.82598954637</v>
      </c>
      <c r="Q2251" s="261">
        <v>1</v>
      </c>
      <c r="R2251" s="92"/>
    </row>
    <row r="2252" spans="1:18" x14ac:dyDescent="0.25">
      <c r="A2252" s="353">
        <v>43131</v>
      </c>
      <c r="B2252" s="353" t="s">
        <v>285</v>
      </c>
      <c r="C2252" s="263" t="s">
        <v>768</v>
      </c>
      <c r="D2252" s="157" t="s">
        <v>746</v>
      </c>
      <c r="E2252" s="44">
        <f t="shared" si="170"/>
        <v>43131</v>
      </c>
      <c r="F2252" s="146" t="str">
        <f t="shared" si="171"/>
        <v>2017-18</v>
      </c>
      <c r="G2252" s="1"/>
      <c r="H2252" s="161"/>
      <c r="I2252" s="37"/>
      <c r="J2252" s="135">
        <f t="shared" si="167"/>
        <v>0.76382508261777382</v>
      </c>
      <c r="K2252" s="112"/>
      <c r="L2252" s="37">
        <v>76.574719718699995</v>
      </c>
      <c r="M2252" s="37" t="s">
        <v>288</v>
      </c>
      <c r="N2252" s="37">
        <v>1680.8751219512192</v>
      </c>
      <c r="O2252" s="130">
        <f t="shared" si="168"/>
        <v>128712.54134555029</v>
      </c>
      <c r="P2252" s="132">
        <f t="shared" si="169"/>
        <v>98313.867527208582</v>
      </c>
      <c r="Q2252" s="261">
        <v>1</v>
      </c>
      <c r="R2252" s="92"/>
    </row>
    <row r="2253" spans="1:18" x14ac:dyDescent="0.25">
      <c r="A2253" s="353">
        <v>43131</v>
      </c>
      <c r="B2253" s="353" t="s">
        <v>285</v>
      </c>
      <c r="C2253" s="263" t="s">
        <v>768</v>
      </c>
      <c r="D2253" s="157" t="s">
        <v>746</v>
      </c>
      <c r="E2253" s="44">
        <f t="shared" si="170"/>
        <v>43131</v>
      </c>
      <c r="F2253" s="146" t="str">
        <f t="shared" si="171"/>
        <v>2017-18</v>
      </c>
      <c r="G2253" s="1"/>
      <c r="H2253" s="161"/>
      <c r="I2253" s="37"/>
      <c r="J2253" s="135">
        <f t="shared" si="167"/>
        <v>0.76382508261777382</v>
      </c>
      <c r="K2253" s="112"/>
      <c r="L2253" s="37">
        <v>105.75232568600001</v>
      </c>
      <c r="M2253" s="37" t="s">
        <v>288</v>
      </c>
      <c r="N2253" s="37">
        <v>1680.8751219512192</v>
      </c>
      <c r="O2253" s="130">
        <f t="shared" si="168"/>
        <v>177756.45333408032</v>
      </c>
      <c r="P2253" s="132">
        <f t="shared" si="169"/>
        <v>135774.83765374636</v>
      </c>
      <c r="Q2253" s="261">
        <v>1</v>
      </c>
      <c r="R2253" s="92"/>
    </row>
    <row r="2254" spans="1:18" x14ac:dyDescent="0.25">
      <c r="A2254" s="353">
        <v>43131</v>
      </c>
      <c r="B2254" s="353" t="s">
        <v>285</v>
      </c>
      <c r="C2254" s="263" t="s">
        <v>768</v>
      </c>
      <c r="D2254" s="157" t="s">
        <v>746</v>
      </c>
      <c r="E2254" s="44">
        <f t="shared" si="170"/>
        <v>43131</v>
      </c>
      <c r="F2254" s="146" t="str">
        <f t="shared" si="171"/>
        <v>2017-18</v>
      </c>
      <c r="G2254" s="1"/>
      <c r="H2254" s="161"/>
      <c r="I2254" s="37"/>
      <c r="J2254" s="135">
        <f t="shared" si="167"/>
        <v>0.76382508261777382</v>
      </c>
      <c r="K2254" s="112"/>
      <c r="L2254" s="37">
        <v>118.537782842</v>
      </c>
      <c r="M2254" s="37" t="s">
        <v>288</v>
      </c>
      <c r="N2254" s="37">
        <v>1680.8751219512192</v>
      </c>
      <c r="O2254" s="130">
        <f t="shared" si="168"/>
        <v>199247.21019037388</v>
      </c>
      <c r="P2254" s="132">
        <f t="shared" si="169"/>
        <v>152190.01678502327</v>
      </c>
      <c r="Q2254" s="261">
        <v>1</v>
      </c>
      <c r="R2254" s="92"/>
    </row>
    <row r="2255" spans="1:18" x14ac:dyDescent="0.25">
      <c r="A2255" s="353">
        <v>43131</v>
      </c>
      <c r="B2255" s="353" t="s">
        <v>285</v>
      </c>
      <c r="C2255" s="263" t="s">
        <v>768</v>
      </c>
      <c r="D2255" s="157" t="s">
        <v>746</v>
      </c>
      <c r="E2255" s="44">
        <f t="shared" si="170"/>
        <v>43131</v>
      </c>
      <c r="F2255" s="146" t="str">
        <f t="shared" si="171"/>
        <v>2017-18</v>
      </c>
      <c r="G2255" s="1"/>
      <c r="H2255" s="161"/>
      <c r="I2255" s="37"/>
      <c r="J2255" s="135">
        <f t="shared" si="167"/>
        <v>0.76382508261777382</v>
      </c>
      <c r="K2255" s="112"/>
      <c r="L2255" s="37">
        <v>179.57149288799999</v>
      </c>
      <c r="M2255" s="37" t="s">
        <v>288</v>
      </c>
      <c r="N2255" s="37">
        <v>2326.8487804878046</v>
      </c>
      <c r="O2255" s="130">
        <f t="shared" si="168"/>
        <v>417835.70923681726</v>
      </c>
      <c r="P2255" s="132">
        <f t="shared" si="169"/>
        <v>319153.39512846805</v>
      </c>
      <c r="Q2255" s="261">
        <v>1</v>
      </c>
      <c r="R2255" s="92"/>
    </row>
    <row r="2256" spans="1:18" x14ac:dyDescent="0.25">
      <c r="A2256" s="353">
        <v>43131</v>
      </c>
      <c r="B2256" s="353" t="s">
        <v>285</v>
      </c>
      <c r="C2256" s="263" t="s">
        <v>768</v>
      </c>
      <c r="D2256" s="157" t="s">
        <v>746</v>
      </c>
      <c r="E2256" s="44">
        <f t="shared" si="170"/>
        <v>43131</v>
      </c>
      <c r="F2256" s="146" t="str">
        <f t="shared" si="171"/>
        <v>2017-18</v>
      </c>
      <c r="G2256" s="1"/>
      <c r="H2256" s="161"/>
      <c r="I2256" s="37"/>
      <c r="J2256" s="135">
        <f t="shared" si="167"/>
        <v>0.76382508261777382</v>
      </c>
      <c r="K2256" s="112"/>
      <c r="L2256" s="37">
        <v>150.12492292799999</v>
      </c>
      <c r="M2256" s="37" t="s">
        <v>288</v>
      </c>
      <c r="N2256" s="37">
        <v>2005.9707317073169</v>
      </c>
      <c r="O2256" s="130">
        <f t="shared" si="168"/>
        <v>301146.20149338467</v>
      </c>
      <c r="P2256" s="132">
        <f t="shared" si="169"/>
        <v>230023.02223571332</v>
      </c>
      <c r="Q2256" s="261">
        <v>1</v>
      </c>
      <c r="R2256" s="92"/>
    </row>
    <row r="2257" spans="1:18" x14ac:dyDescent="0.25">
      <c r="A2257" s="353">
        <v>43131</v>
      </c>
      <c r="B2257" s="353" t="s">
        <v>285</v>
      </c>
      <c r="C2257" s="263" t="s">
        <v>768</v>
      </c>
      <c r="D2257" s="157" t="s">
        <v>746</v>
      </c>
      <c r="E2257" s="44">
        <f t="shared" si="170"/>
        <v>43131</v>
      </c>
      <c r="F2257" s="146" t="str">
        <f t="shared" si="171"/>
        <v>2017-18</v>
      </c>
      <c r="G2257" s="1"/>
      <c r="H2257" s="161"/>
      <c r="I2257" s="37"/>
      <c r="J2257" s="135">
        <f t="shared" si="167"/>
        <v>0.76382508261777382</v>
      </c>
      <c r="K2257" s="112"/>
      <c r="L2257" s="37">
        <v>175.61863218100001</v>
      </c>
      <c r="M2257" s="37" t="s">
        <v>288</v>
      </c>
      <c r="N2257" s="37">
        <v>2005.9707317073169</v>
      </c>
      <c r="O2257" s="130">
        <f t="shared" si="168"/>
        <v>352285.83609755873</v>
      </c>
      <c r="P2257" s="132">
        <f t="shared" si="169"/>
        <v>269084.75786228932</v>
      </c>
      <c r="Q2257" s="261">
        <v>1</v>
      </c>
      <c r="R2257" s="92"/>
    </row>
    <row r="2258" spans="1:18" x14ac:dyDescent="0.25">
      <c r="A2258" s="353">
        <v>43131</v>
      </c>
      <c r="B2258" s="353" t="s">
        <v>285</v>
      </c>
      <c r="C2258" s="263" t="s">
        <v>768</v>
      </c>
      <c r="D2258" s="157" t="s">
        <v>746</v>
      </c>
      <c r="E2258" s="44">
        <f t="shared" si="170"/>
        <v>43131</v>
      </c>
      <c r="F2258" s="146" t="str">
        <f t="shared" si="171"/>
        <v>2017-18</v>
      </c>
      <c r="G2258" s="1"/>
      <c r="H2258" s="161"/>
      <c r="I2258" s="37"/>
      <c r="J2258" s="135">
        <f t="shared" si="167"/>
        <v>0.76382508261777382</v>
      </c>
      <c r="K2258" s="112"/>
      <c r="L2258" s="37">
        <v>40.040258640499999</v>
      </c>
      <c r="M2258" s="37" t="s">
        <v>288</v>
      </c>
      <c r="N2258" s="37">
        <v>4641.6565853658531</v>
      </c>
      <c r="O2258" s="130">
        <f t="shared" si="168"/>
        <v>185853.13019842881</v>
      </c>
      <c r="P2258" s="132">
        <f t="shared" si="169"/>
        <v>141959.28252858677</v>
      </c>
      <c r="Q2258" s="261">
        <v>1</v>
      </c>
      <c r="R2258" s="92"/>
    </row>
    <row r="2259" spans="1:18" x14ac:dyDescent="0.25">
      <c r="A2259" s="353">
        <v>43131</v>
      </c>
      <c r="B2259" s="353" t="s">
        <v>285</v>
      </c>
      <c r="C2259" s="263" t="s">
        <v>768</v>
      </c>
      <c r="D2259" s="157" t="s">
        <v>746</v>
      </c>
      <c r="E2259" s="44">
        <f t="shared" si="170"/>
        <v>43131</v>
      </c>
      <c r="F2259" s="146" t="str">
        <f t="shared" si="171"/>
        <v>2017-18</v>
      </c>
      <c r="G2259" s="1"/>
      <c r="H2259" s="161"/>
      <c r="I2259" s="37"/>
      <c r="J2259" s="135">
        <f t="shared" si="167"/>
        <v>0.76382508261777382</v>
      </c>
      <c r="K2259" s="112"/>
      <c r="L2259" s="37">
        <v>71.859266305700004</v>
      </c>
      <c r="M2259" s="37" t="s">
        <v>288</v>
      </c>
      <c r="N2259" s="37">
        <v>4641.6565853658531</v>
      </c>
      <c r="O2259" s="130">
        <f t="shared" si="168"/>
        <v>333546.03666741098</v>
      </c>
      <c r="P2259" s="132">
        <f t="shared" si="169"/>
        <v>254770.8290143162</v>
      </c>
      <c r="Q2259" s="261">
        <v>1</v>
      </c>
      <c r="R2259" s="92"/>
    </row>
    <row r="2260" spans="1:18" x14ac:dyDescent="0.25">
      <c r="A2260" s="353">
        <v>43131</v>
      </c>
      <c r="B2260" s="353" t="s">
        <v>285</v>
      </c>
      <c r="C2260" s="263" t="s">
        <v>768</v>
      </c>
      <c r="D2260" s="157" t="s">
        <v>746</v>
      </c>
      <c r="E2260" s="44">
        <f t="shared" si="170"/>
        <v>43131</v>
      </c>
      <c r="F2260" s="146" t="str">
        <f t="shared" si="171"/>
        <v>2017-18</v>
      </c>
      <c r="G2260" s="1"/>
      <c r="H2260" s="161"/>
      <c r="I2260" s="37"/>
      <c r="J2260" s="135">
        <f t="shared" si="167"/>
        <v>0.76382508261777382</v>
      </c>
      <c r="K2260" s="112"/>
      <c r="L2260" s="37">
        <v>112.767930517</v>
      </c>
      <c r="M2260" s="37" t="s">
        <v>288</v>
      </c>
      <c r="N2260" s="37">
        <v>1680.8751219512192</v>
      </c>
      <c r="O2260" s="130">
        <f t="shared" si="168"/>
        <v>189548.80895994898</v>
      </c>
      <c r="P2260" s="132">
        <f t="shared" si="169"/>
        <v>144782.13466393366</v>
      </c>
      <c r="Q2260" s="261">
        <v>1</v>
      </c>
      <c r="R2260" s="92"/>
    </row>
    <row r="2261" spans="1:18" x14ac:dyDescent="0.25">
      <c r="A2261" s="353">
        <v>43777</v>
      </c>
      <c r="B2261" s="353" t="s">
        <v>285</v>
      </c>
      <c r="C2261" s="263" t="s">
        <v>769</v>
      </c>
      <c r="D2261" s="157" t="s">
        <v>770</v>
      </c>
      <c r="E2261" s="44">
        <f t="shared" si="170"/>
        <v>43777</v>
      </c>
      <c r="F2261" s="146" t="str">
        <f t="shared" si="171"/>
        <v>2019-20</v>
      </c>
      <c r="G2261" s="1"/>
      <c r="H2261" s="161"/>
      <c r="I2261" s="37"/>
      <c r="J2261" s="135">
        <f t="shared" si="167"/>
        <v>0.76382508261777382</v>
      </c>
      <c r="K2261" s="112"/>
      <c r="L2261" s="37">
        <v>130.55115854300001</v>
      </c>
      <c r="M2261" s="37" t="s">
        <v>288</v>
      </c>
      <c r="N2261" s="37">
        <v>1680.8751219512192</v>
      </c>
      <c r="O2261" s="130">
        <f t="shared" si="168"/>
        <v>219440.1945368381</v>
      </c>
      <c r="P2261" s="132">
        <f t="shared" si="169"/>
        <v>167613.92472176073</v>
      </c>
      <c r="Q2261" s="261">
        <v>1</v>
      </c>
      <c r="R2261" s="92"/>
    </row>
    <row r="2262" spans="1:18" x14ac:dyDescent="0.25">
      <c r="A2262" s="353">
        <v>43777</v>
      </c>
      <c r="B2262" s="353" t="s">
        <v>285</v>
      </c>
      <c r="C2262" s="263" t="s">
        <v>769</v>
      </c>
      <c r="D2262" s="157" t="s">
        <v>770</v>
      </c>
      <c r="E2262" s="44">
        <f t="shared" si="170"/>
        <v>43777</v>
      </c>
      <c r="F2262" s="146" t="str">
        <f t="shared" si="171"/>
        <v>2019-20</v>
      </c>
      <c r="G2262" s="1"/>
      <c r="H2262" s="161"/>
      <c r="I2262" s="37"/>
      <c r="J2262" s="135">
        <f t="shared" si="167"/>
        <v>0.76382508261777382</v>
      </c>
      <c r="K2262" s="112"/>
      <c r="L2262" s="37">
        <v>105.672633283</v>
      </c>
      <c r="M2262" s="37" t="s">
        <v>288</v>
      </c>
      <c r="N2262" s="37">
        <v>1680.8751219512192</v>
      </c>
      <c r="O2262" s="130">
        <f t="shared" si="168"/>
        <v>177622.50035646907</v>
      </c>
      <c r="P2262" s="132">
        <f t="shared" si="169"/>
        <v>135672.52100955555</v>
      </c>
      <c r="Q2262" s="261">
        <v>1</v>
      </c>
      <c r="R2262" s="92"/>
    </row>
    <row r="2263" spans="1:18" x14ac:dyDescent="0.25">
      <c r="A2263" s="353">
        <v>43777</v>
      </c>
      <c r="B2263" s="353" t="s">
        <v>285</v>
      </c>
      <c r="C2263" s="263" t="s">
        <v>769</v>
      </c>
      <c r="D2263" s="157" t="s">
        <v>770</v>
      </c>
      <c r="E2263" s="44">
        <f t="shared" si="170"/>
        <v>43777</v>
      </c>
      <c r="F2263" s="146" t="str">
        <f t="shared" si="171"/>
        <v>2019-20</v>
      </c>
      <c r="G2263" s="1"/>
      <c r="H2263" s="161"/>
      <c r="I2263" s="37"/>
      <c r="J2263" s="135">
        <f t="shared" si="167"/>
        <v>0.76382508261777382</v>
      </c>
      <c r="K2263" s="112"/>
      <c r="L2263" s="37">
        <v>180.13160546899999</v>
      </c>
      <c r="M2263" s="37" t="s">
        <v>288</v>
      </c>
      <c r="N2263" s="37">
        <v>1680.8751219512192</v>
      </c>
      <c r="O2263" s="130">
        <f t="shared" si="168"/>
        <v>302778.73430997424</v>
      </c>
      <c r="P2263" s="132">
        <f t="shared" si="169"/>
        <v>231269.99174922105</v>
      </c>
      <c r="Q2263" s="261">
        <v>1</v>
      </c>
      <c r="R2263" s="92"/>
    </row>
    <row r="2264" spans="1:18" x14ac:dyDescent="0.25">
      <c r="A2264" s="353">
        <v>43777</v>
      </c>
      <c r="B2264" s="353" t="s">
        <v>285</v>
      </c>
      <c r="C2264" s="263" t="s">
        <v>769</v>
      </c>
      <c r="D2264" s="157" t="s">
        <v>770</v>
      </c>
      <c r="E2264" s="44">
        <f t="shared" si="170"/>
        <v>43777</v>
      </c>
      <c r="F2264" s="146" t="str">
        <f t="shared" si="171"/>
        <v>2019-20</v>
      </c>
      <c r="G2264" s="1"/>
      <c r="H2264" s="161"/>
      <c r="I2264" s="37"/>
      <c r="J2264" s="135">
        <f t="shared" si="167"/>
        <v>0.76382508261777382</v>
      </c>
      <c r="K2264" s="112"/>
      <c r="L2264" s="37">
        <v>188.204918026</v>
      </c>
      <c r="M2264" s="37" t="s">
        <v>288</v>
      </c>
      <c r="N2264" s="37">
        <v>4416.6341463414628</v>
      </c>
      <c r="O2264" s="130">
        <f t="shared" si="168"/>
        <v>831232.2674630275</v>
      </c>
      <c r="P2264" s="132">
        <f t="shared" si="169"/>
        <v>634916.05536950647</v>
      </c>
      <c r="Q2264" s="261">
        <v>1</v>
      </c>
      <c r="R2264" s="92"/>
    </row>
    <row r="2265" spans="1:18" x14ac:dyDescent="0.25">
      <c r="A2265" s="353">
        <v>43777</v>
      </c>
      <c r="B2265" s="353" t="s">
        <v>285</v>
      </c>
      <c r="C2265" s="263" t="s">
        <v>769</v>
      </c>
      <c r="D2265" s="157" t="s">
        <v>770</v>
      </c>
      <c r="E2265" s="44">
        <f t="shared" si="170"/>
        <v>43777</v>
      </c>
      <c r="F2265" s="146" t="str">
        <f t="shared" si="171"/>
        <v>2019-20</v>
      </c>
      <c r="G2265" s="1"/>
      <c r="H2265" s="161"/>
      <c r="I2265" s="37"/>
      <c r="J2265" s="135">
        <f t="shared" si="167"/>
        <v>0.76382508261777382</v>
      </c>
      <c r="K2265" s="112"/>
      <c r="L2265" s="37">
        <v>175.872027261</v>
      </c>
      <c r="M2265" s="37" t="s">
        <v>288</v>
      </c>
      <c r="N2265" s="37">
        <v>1680.8751219512192</v>
      </c>
      <c r="O2265" s="130">
        <f t="shared" si="168"/>
        <v>295618.9152701415</v>
      </c>
      <c r="P2265" s="132">
        <f t="shared" si="169"/>
        <v>225801.14237959252</v>
      </c>
      <c r="Q2265" s="261">
        <v>1</v>
      </c>
      <c r="R2265" s="92"/>
    </row>
    <row r="2266" spans="1:18" x14ac:dyDescent="0.25">
      <c r="A2266" s="353">
        <v>41894</v>
      </c>
      <c r="B2266" s="353" t="s">
        <v>285</v>
      </c>
      <c r="C2266" s="263" t="s">
        <v>763</v>
      </c>
      <c r="D2266" s="157" t="s">
        <v>771</v>
      </c>
      <c r="E2266" s="44">
        <f t="shared" si="170"/>
        <v>41894</v>
      </c>
      <c r="F2266" s="146" t="str">
        <f t="shared" si="171"/>
        <v>2014-15</v>
      </c>
      <c r="G2266" s="1"/>
      <c r="H2266" s="161"/>
      <c r="I2266" s="37"/>
      <c r="J2266" s="135">
        <f t="shared" ref="J2266:J2329" si="172">J2265</f>
        <v>0.76382508261777382</v>
      </c>
      <c r="K2266" s="112"/>
      <c r="L2266" s="37">
        <v>16.303934647799998</v>
      </c>
      <c r="M2266" s="37" t="s">
        <v>288</v>
      </c>
      <c r="N2266" s="37">
        <v>1361.4565853658535</v>
      </c>
      <c r="O2266" s="130">
        <f t="shared" ref="O2266:O2329" si="173">IF(N2266="","-",L2266*N2266)</f>
        <v>22197.099193621816</v>
      </c>
      <c r="P2266" s="132">
        <f t="shared" ref="P2266:P2329" si="174">IF(O2266="-","-",IF(OR(E2266&lt;$E$15,E2266&gt;$E$16),0,O2266*J2266))*Q2266</f>
        <v>16954.701125443105</v>
      </c>
      <c r="Q2266" s="261">
        <v>1</v>
      </c>
      <c r="R2266" s="92"/>
    </row>
    <row r="2267" spans="1:18" x14ac:dyDescent="0.25">
      <c r="A2267" s="353">
        <v>41894</v>
      </c>
      <c r="B2267" s="353" t="s">
        <v>285</v>
      </c>
      <c r="C2267" s="263" t="s">
        <v>763</v>
      </c>
      <c r="D2267" s="157" t="s">
        <v>771</v>
      </c>
      <c r="E2267" s="44">
        <f t="shared" ref="E2267:E2330" si="175">IF(VALUE(A2267)&lt;2022,DATEVALUE("30 Jun "&amp;A2267),A2267)</f>
        <v>41894</v>
      </c>
      <c r="F2267" s="146" t="str">
        <f t="shared" si="171"/>
        <v>2014-15</v>
      </c>
      <c r="G2267" s="1"/>
      <c r="H2267" s="161"/>
      <c r="I2267" s="37"/>
      <c r="J2267" s="135">
        <f t="shared" si="172"/>
        <v>0.76382508261777382</v>
      </c>
      <c r="K2267" s="112"/>
      <c r="L2267" s="37">
        <v>30.146555955899998</v>
      </c>
      <c r="M2267" s="37" t="s">
        <v>288</v>
      </c>
      <c r="N2267" s="37">
        <v>1361.4565853658535</v>
      </c>
      <c r="O2267" s="130">
        <f t="shared" si="173"/>
        <v>41043.227132260246</v>
      </c>
      <c r="P2267" s="132">
        <f t="shared" si="174"/>
        <v>31349.846355198737</v>
      </c>
      <c r="Q2267" s="261">
        <v>1</v>
      </c>
      <c r="R2267" s="92"/>
    </row>
    <row r="2268" spans="1:18" x14ac:dyDescent="0.25">
      <c r="A2268" s="353">
        <v>41894</v>
      </c>
      <c r="B2268" s="353" t="s">
        <v>285</v>
      </c>
      <c r="C2268" s="263" t="s">
        <v>763</v>
      </c>
      <c r="D2268" s="157" t="s">
        <v>771</v>
      </c>
      <c r="E2268" s="44">
        <f t="shared" si="175"/>
        <v>41894</v>
      </c>
      <c r="F2268" s="146" t="str">
        <f t="shared" si="171"/>
        <v>2014-15</v>
      </c>
      <c r="G2268" s="1"/>
      <c r="H2268" s="161"/>
      <c r="I2268" s="37"/>
      <c r="J2268" s="135">
        <f t="shared" si="172"/>
        <v>0.76382508261777382</v>
      </c>
      <c r="K2268" s="112"/>
      <c r="L2268" s="37">
        <v>156.97977969499999</v>
      </c>
      <c r="M2268" s="37" t="s">
        <v>288</v>
      </c>
      <c r="N2268" s="37">
        <v>1361.4565853658535</v>
      </c>
      <c r="O2268" s="130">
        <f t="shared" si="173"/>
        <v>213721.15483503861</v>
      </c>
      <c r="P2268" s="132">
        <f t="shared" si="174"/>
        <v>163245.57874903941</v>
      </c>
      <c r="Q2268" s="261">
        <v>1</v>
      </c>
      <c r="R2268" s="92"/>
    </row>
    <row r="2269" spans="1:18" x14ac:dyDescent="0.25">
      <c r="A2269" s="353">
        <v>41894</v>
      </c>
      <c r="B2269" s="353" t="s">
        <v>285</v>
      </c>
      <c r="C2269" s="263" t="s">
        <v>763</v>
      </c>
      <c r="D2269" s="157" t="s">
        <v>771</v>
      </c>
      <c r="E2269" s="44">
        <f t="shared" si="175"/>
        <v>41894</v>
      </c>
      <c r="F2269" s="146" t="str">
        <f t="shared" si="171"/>
        <v>2014-15</v>
      </c>
      <c r="G2269" s="1"/>
      <c r="H2269" s="161"/>
      <c r="I2269" s="37"/>
      <c r="J2269" s="135">
        <f t="shared" si="172"/>
        <v>0.76382508261777382</v>
      </c>
      <c r="K2269" s="112"/>
      <c r="L2269" s="37">
        <v>62.251215931899999</v>
      </c>
      <c r="M2269" s="37" t="s">
        <v>288</v>
      </c>
      <c r="N2269" s="37">
        <v>1361.4565853658535</v>
      </c>
      <c r="O2269" s="130">
        <f t="shared" si="173"/>
        <v>84752.327877516989</v>
      </c>
      <c r="P2269" s="132">
        <f t="shared" si="174"/>
        <v>64735.95384309307</v>
      </c>
      <c r="Q2269" s="261">
        <v>1</v>
      </c>
      <c r="R2269" s="92"/>
    </row>
    <row r="2270" spans="1:18" x14ac:dyDescent="0.25">
      <c r="A2270" s="353">
        <v>41894</v>
      </c>
      <c r="B2270" s="353" t="s">
        <v>285</v>
      </c>
      <c r="C2270" s="263" t="s">
        <v>763</v>
      </c>
      <c r="D2270" s="157" t="s">
        <v>771</v>
      </c>
      <c r="E2270" s="44">
        <f t="shared" si="175"/>
        <v>41894</v>
      </c>
      <c r="F2270" s="146" t="str">
        <f t="shared" si="171"/>
        <v>2014-15</v>
      </c>
      <c r="G2270" s="1"/>
      <c r="H2270" s="161"/>
      <c r="I2270" s="37"/>
      <c r="J2270" s="135">
        <f t="shared" si="172"/>
        <v>0.76382508261777382</v>
      </c>
      <c r="K2270" s="112"/>
      <c r="L2270" s="37">
        <v>69.858314644700002</v>
      </c>
      <c r="M2270" s="37" t="s">
        <v>288</v>
      </c>
      <c r="N2270" s="37">
        <v>2326.8487804878046</v>
      </c>
      <c r="O2270" s="130">
        <f t="shared" si="173"/>
        <v>162549.73423795353</v>
      </c>
      <c r="P2270" s="132">
        <f t="shared" si="174"/>
        <v>124159.56418380202</v>
      </c>
      <c r="Q2270" s="261">
        <v>1</v>
      </c>
      <c r="R2270" s="92"/>
    </row>
    <row r="2271" spans="1:18" x14ac:dyDescent="0.25">
      <c r="A2271" s="353">
        <v>41894</v>
      </c>
      <c r="B2271" s="353" t="s">
        <v>285</v>
      </c>
      <c r="C2271" s="263" t="s">
        <v>763</v>
      </c>
      <c r="D2271" s="157" t="s">
        <v>771</v>
      </c>
      <c r="E2271" s="44">
        <f t="shared" si="175"/>
        <v>41894</v>
      </c>
      <c r="F2271" s="146" t="str">
        <f t="shared" si="171"/>
        <v>2014-15</v>
      </c>
      <c r="G2271" s="1"/>
      <c r="H2271" s="161"/>
      <c r="I2271" s="37"/>
      <c r="J2271" s="135">
        <f t="shared" si="172"/>
        <v>0.76382508261777382</v>
      </c>
      <c r="K2271" s="112"/>
      <c r="L2271" s="37">
        <v>28.000478656599999</v>
      </c>
      <c r="M2271" s="37" t="s">
        <v>288</v>
      </c>
      <c r="N2271" s="37">
        <v>2326.8487804878046</v>
      </c>
      <c r="O2271" s="130">
        <f t="shared" si="173"/>
        <v>65152.879615184509</v>
      </c>
      <c r="P2271" s="132">
        <f t="shared" si="174"/>
        <v>49765.403654854177</v>
      </c>
      <c r="Q2271" s="261">
        <v>1</v>
      </c>
      <c r="R2271" s="92"/>
    </row>
    <row r="2272" spans="1:18" x14ac:dyDescent="0.25">
      <c r="A2272" s="353">
        <v>41894</v>
      </c>
      <c r="B2272" s="353" t="s">
        <v>285</v>
      </c>
      <c r="C2272" s="263" t="s">
        <v>763</v>
      </c>
      <c r="D2272" s="157" t="s">
        <v>771</v>
      </c>
      <c r="E2272" s="44">
        <f t="shared" si="175"/>
        <v>41894</v>
      </c>
      <c r="F2272" s="146" t="str">
        <f t="shared" si="171"/>
        <v>2014-15</v>
      </c>
      <c r="G2272" s="1"/>
      <c r="H2272" s="161"/>
      <c r="I2272" s="37"/>
      <c r="J2272" s="135">
        <f t="shared" si="172"/>
        <v>0.76382508261777382</v>
      </c>
      <c r="K2272" s="112"/>
      <c r="L2272" s="37">
        <v>165.82208171900001</v>
      </c>
      <c r="M2272" s="37" t="s">
        <v>288</v>
      </c>
      <c r="N2272" s="37">
        <v>4137.5668292682922</v>
      </c>
      <c r="O2272" s="130">
        <f t="shared" si="173"/>
        <v>686099.9448807505</v>
      </c>
      <c r="P2272" s="132">
        <f t="shared" si="174"/>
        <v>524060.34708258929</v>
      </c>
      <c r="Q2272" s="261">
        <v>1</v>
      </c>
      <c r="R2272" s="92"/>
    </row>
    <row r="2273" spans="1:18" x14ac:dyDescent="0.25">
      <c r="A2273" s="353">
        <v>41894</v>
      </c>
      <c r="B2273" s="353" t="s">
        <v>285</v>
      </c>
      <c r="C2273" s="263" t="s">
        <v>763</v>
      </c>
      <c r="D2273" s="157" t="s">
        <v>771</v>
      </c>
      <c r="E2273" s="44">
        <f t="shared" si="175"/>
        <v>41894</v>
      </c>
      <c r="F2273" s="146" t="str">
        <f t="shared" si="171"/>
        <v>2014-15</v>
      </c>
      <c r="G2273" s="1"/>
      <c r="H2273" s="161"/>
      <c r="I2273" s="37"/>
      <c r="J2273" s="135">
        <f t="shared" si="172"/>
        <v>0.76382508261777382</v>
      </c>
      <c r="K2273" s="112"/>
      <c r="L2273" s="37">
        <v>65.672973535500006</v>
      </c>
      <c r="M2273" s="37" t="s">
        <v>288</v>
      </c>
      <c r="N2273" s="37">
        <v>1361.4565853658535</v>
      </c>
      <c r="O2273" s="130">
        <f t="shared" si="173"/>
        <v>89410.902300463902</v>
      </c>
      <c r="P2273" s="132">
        <f t="shared" si="174"/>
        <v>68294.289836581549</v>
      </c>
      <c r="Q2273" s="261">
        <v>1</v>
      </c>
      <c r="R2273" s="92"/>
    </row>
    <row r="2274" spans="1:18" x14ac:dyDescent="0.25">
      <c r="A2274" s="353">
        <v>42551</v>
      </c>
      <c r="B2274" s="353" t="s">
        <v>285</v>
      </c>
      <c r="C2274" s="263" t="s">
        <v>765</v>
      </c>
      <c r="D2274" s="157" t="s">
        <v>766</v>
      </c>
      <c r="E2274" s="44">
        <f t="shared" si="175"/>
        <v>42551</v>
      </c>
      <c r="F2274" s="146" t="str">
        <f t="shared" si="171"/>
        <v>2015-16</v>
      </c>
      <c r="G2274" s="1"/>
      <c r="H2274" s="161"/>
      <c r="I2274" s="37"/>
      <c r="J2274" s="135">
        <f t="shared" si="172"/>
        <v>0.76382508261777382</v>
      </c>
      <c r="K2274" s="112"/>
      <c r="L2274" s="37">
        <v>178.058371881</v>
      </c>
      <c r="M2274" s="37" t="s">
        <v>288</v>
      </c>
      <c r="N2274" s="37">
        <v>4137.5673744390242</v>
      </c>
      <c r="O2274" s="130">
        <f t="shared" si="173"/>
        <v>736728.51024055656</v>
      </c>
      <c r="P2274" s="132">
        <f t="shared" si="174"/>
        <v>562731.7152013625</v>
      </c>
      <c r="Q2274" s="261">
        <v>1</v>
      </c>
      <c r="R2274" s="92"/>
    </row>
    <row r="2275" spans="1:18" x14ac:dyDescent="0.25">
      <c r="A2275" s="353">
        <v>42551</v>
      </c>
      <c r="B2275" s="353" t="s">
        <v>285</v>
      </c>
      <c r="C2275" s="263" t="s">
        <v>765</v>
      </c>
      <c r="D2275" s="157" t="s">
        <v>766</v>
      </c>
      <c r="E2275" s="44">
        <f t="shared" si="175"/>
        <v>42551</v>
      </c>
      <c r="F2275" s="146" t="str">
        <f t="shared" si="171"/>
        <v>2015-16</v>
      </c>
      <c r="G2275" s="1"/>
      <c r="H2275" s="161"/>
      <c r="I2275" s="37"/>
      <c r="J2275" s="135">
        <f t="shared" si="172"/>
        <v>0.76382508261777382</v>
      </c>
      <c r="K2275" s="112"/>
      <c r="L2275" s="37">
        <v>194.49789858</v>
      </c>
      <c r="M2275" s="37" t="s">
        <v>288</v>
      </c>
      <c r="N2275" s="37">
        <v>4137.5673744390242</v>
      </c>
      <c r="O2275" s="130">
        <f t="shared" si="173"/>
        <v>804748.15956155816</v>
      </c>
      <c r="P2275" s="132">
        <f t="shared" si="174"/>
        <v>614686.82946360856</v>
      </c>
      <c r="Q2275" s="261">
        <v>1</v>
      </c>
      <c r="R2275" s="92"/>
    </row>
    <row r="2276" spans="1:18" x14ac:dyDescent="0.25">
      <c r="A2276" s="353">
        <v>42551</v>
      </c>
      <c r="B2276" s="353" t="s">
        <v>285</v>
      </c>
      <c r="C2276" s="263" t="s">
        <v>765</v>
      </c>
      <c r="D2276" s="157" t="s">
        <v>766</v>
      </c>
      <c r="E2276" s="44">
        <f t="shared" si="175"/>
        <v>42551</v>
      </c>
      <c r="F2276" s="146" t="str">
        <f t="shared" si="171"/>
        <v>2015-16</v>
      </c>
      <c r="G2276" s="1"/>
      <c r="H2276" s="161"/>
      <c r="I2276" s="37"/>
      <c r="J2276" s="135">
        <f t="shared" si="172"/>
        <v>0.76382508261777382</v>
      </c>
      <c r="K2276" s="112"/>
      <c r="L2276" s="37">
        <v>32.4044102708</v>
      </c>
      <c r="M2276" s="37" t="s">
        <v>288</v>
      </c>
      <c r="N2276" s="37">
        <v>4137.5668292682922</v>
      </c>
      <c r="O2276" s="130">
        <f t="shared" si="173"/>
        <v>134075.41305846284</v>
      </c>
      <c r="P2276" s="132">
        <f t="shared" si="174"/>
        <v>102410.16345639253</v>
      </c>
      <c r="Q2276" s="261">
        <v>1</v>
      </c>
      <c r="R2276" s="92"/>
    </row>
    <row r="2277" spans="1:18" x14ac:dyDescent="0.25">
      <c r="A2277" s="353">
        <v>42551</v>
      </c>
      <c r="B2277" s="353" t="s">
        <v>285</v>
      </c>
      <c r="C2277" s="263" t="s">
        <v>765</v>
      </c>
      <c r="D2277" s="157" t="s">
        <v>766</v>
      </c>
      <c r="E2277" s="44">
        <f t="shared" si="175"/>
        <v>42551</v>
      </c>
      <c r="F2277" s="146" t="str">
        <f t="shared" si="171"/>
        <v>2015-16</v>
      </c>
      <c r="G2277" s="1"/>
      <c r="H2277" s="161"/>
      <c r="I2277" s="37"/>
      <c r="J2277" s="135">
        <f t="shared" si="172"/>
        <v>0.76382508261777382</v>
      </c>
      <c r="K2277" s="112"/>
      <c r="L2277" s="37">
        <v>114.279761222</v>
      </c>
      <c r="M2277" s="37" t="s">
        <v>288</v>
      </c>
      <c r="N2277" s="37">
        <v>1361.4565853658535</v>
      </c>
      <c r="O2277" s="130">
        <f t="shared" si="173"/>
        <v>155586.93348972921</v>
      </c>
      <c r="P2277" s="132">
        <f t="shared" si="174"/>
        <v>118841.2023270385</v>
      </c>
      <c r="Q2277" s="261">
        <v>1</v>
      </c>
      <c r="R2277" s="92"/>
    </row>
    <row r="2278" spans="1:18" x14ac:dyDescent="0.25">
      <c r="A2278" s="353">
        <v>42551</v>
      </c>
      <c r="B2278" s="353" t="s">
        <v>285</v>
      </c>
      <c r="C2278" s="263" t="s">
        <v>765</v>
      </c>
      <c r="D2278" s="157" t="s">
        <v>766</v>
      </c>
      <c r="E2278" s="44">
        <f t="shared" si="175"/>
        <v>42551</v>
      </c>
      <c r="F2278" s="146" t="str">
        <f t="shared" si="171"/>
        <v>2015-16</v>
      </c>
      <c r="G2278" s="1"/>
      <c r="H2278" s="161"/>
      <c r="I2278" s="37"/>
      <c r="J2278" s="135">
        <f t="shared" si="172"/>
        <v>0.76382508261777382</v>
      </c>
      <c r="K2278" s="112"/>
      <c r="L2278" s="37">
        <v>4.4984552904299999</v>
      </c>
      <c r="M2278" s="37" t="s">
        <v>288</v>
      </c>
      <c r="N2278" s="37">
        <v>1361.4565853658535</v>
      </c>
      <c r="O2278" s="130">
        <f t="shared" si="173"/>
        <v>6124.4515791297863</v>
      </c>
      <c r="P2278" s="132">
        <f t="shared" si="174"/>
        <v>4678.0097334173643</v>
      </c>
      <c r="Q2278" s="261">
        <v>1</v>
      </c>
      <c r="R2278" s="92"/>
    </row>
    <row r="2279" spans="1:18" x14ac:dyDescent="0.25">
      <c r="A2279" s="353">
        <v>43777</v>
      </c>
      <c r="B2279" s="353" t="s">
        <v>285</v>
      </c>
      <c r="C2279" s="263" t="s">
        <v>769</v>
      </c>
      <c r="D2279" s="157" t="s">
        <v>767</v>
      </c>
      <c r="E2279" s="44">
        <f t="shared" si="175"/>
        <v>43777</v>
      </c>
      <c r="F2279" s="146" t="str">
        <f t="shared" si="171"/>
        <v>2019-20</v>
      </c>
      <c r="G2279" s="1"/>
      <c r="H2279" s="161"/>
      <c r="I2279" s="37"/>
      <c r="J2279" s="135">
        <f t="shared" si="172"/>
        <v>0.76382508261777382</v>
      </c>
      <c r="K2279" s="112"/>
      <c r="L2279" s="37">
        <v>149.57321629899999</v>
      </c>
      <c r="M2279" s="37" t="s">
        <v>288</v>
      </c>
      <c r="N2279" s="37">
        <v>1162.6195121951216</v>
      </c>
      <c r="O2279" s="130">
        <f t="shared" si="173"/>
        <v>173896.7397709988</v>
      </c>
      <c r="P2279" s="132">
        <f t="shared" si="174"/>
        <v>132826.69162254466</v>
      </c>
      <c r="Q2279" s="261">
        <v>1</v>
      </c>
      <c r="R2279" s="92"/>
    </row>
    <row r="2280" spans="1:18" x14ac:dyDescent="0.25">
      <c r="A2280" s="353">
        <v>43777</v>
      </c>
      <c r="B2280" s="353" t="s">
        <v>285</v>
      </c>
      <c r="C2280" s="263" t="s">
        <v>769</v>
      </c>
      <c r="D2280" s="157" t="s">
        <v>767</v>
      </c>
      <c r="E2280" s="44">
        <f t="shared" si="175"/>
        <v>43777</v>
      </c>
      <c r="F2280" s="146" t="str">
        <f t="shared" si="171"/>
        <v>2019-20</v>
      </c>
      <c r="G2280" s="1"/>
      <c r="H2280" s="161"/>
      <c r="I2280" s="37"/>
      <c r="J2280" s="135">
        <f t="shared" si="172"/>
        <v>0.76382508261777382</v>
      </c>
      <c r="K2280" s="112"/>
      <c r="L2280" s="37">
        <v>109.335104633</v>
      </c>
      <c r="M2280" s="37" t="s">
        <v>288</v>
      </c>
      <c r="N2280" s="37">
        <v>1162.6195121951216</v>
      </c>
      <c r="O2280" s="130">
        <f t="shared" si="173"/>
        <v>127115.12601422104</v>
      </c>
      <c r="P2280" s="132">
        <f t="shared" si="174"/>
        <v>97093.72162978111</v>
      </c>
      <c r="Q2280" s="261">
        <v>1</v>
      </c>
      <c r="R2280" s="92"/>
    </row>
    <row r="2281" spans="1:18" x14ac:dyDescent="0.25">
      <c r="A2281" s="353">
        <v>43777</v>
      </c>
      <c r="B2281" s="353" t="s">
        <v>285</v>
      </c>
      <c r="C2281" s="263" t="s">
        <v>769</v>
      </c>
      <c r="D2281" s="157" t="s">
        <v>767</v>
      </c>
      <c r="E2281" s="44">
        <f t="shared" si="175"/>
        <v>43777</v>
      </c>
      <c r="F2281" s="146" t="str">
        <f t="shared" si="171"/>
        <v>2019-20</v>
      </c>
      <c r="G2281" s="1"/>
      <c r="H2281" s="161"/>
      <c r="I2281" s="37"/>
      <c r="J2281" s="135">
        <f t="shared" si="172"/>
        <v>0.76382508261777382</v>
      </c>
      <c r="K2281" s="112"/>
      <c r="L2281" s="37">
        <v>30.085774877799999</v>
      </c>
      <c r="M2281" s="37" t="s">
        <v>288</v>
      </c>
      <c r="N2281" s="37">
        <v>1162.6195121951216</v>
      </c>
      <c r="O2281" s="130">
        <f t="shared" si="173"/>
        <v>34978.308912440079</v>
      </c>
      <c r="P2281" s="132">
        <f t="shared" si="174"/>
        <v>26717.309694874559</v>
      </c>
      <c r="Q2281" s="261">
        <v>1</v>
      </c>
      <c r="R2281" s="92"/>
    </row>
    <row r="2282" spans="1:18" x14ac:dyDescent="0.25">
      <c r="A2282" s="353">
        <v>43777</v>
      </c>
      <c r="B2282" s="353" t="s">
        <v>285</v>
      </c>
      <c r="C2282" s="263" t="s">
        <v>769</v>
      </c>
      <c r="D2282" s="157" t="s">
        <v>767</v>
      </c>
      <c r="E2282" s="44">
        <f t="shared" si="175"/>
        <v>43777</v>
      </c>
      <c r="F2282" s="146" t="str">
        <f t="shared" si="171"/>
        <v>2019-20</v>
      </c>
      <c r="G2282" s="1"/>
      <c r="H2282" s="161"/>
      <c r="I2282" s="37"/>
      <c r="J2282" s="135">
        <f t="shared" si="172"/>
        <v>0.76382508261777382</v>
      </c>
      <c r="K2282" s="112"/>
      <c r="L2282" s="37">
        <v>88.959516331900005</v>
      </c>
      <c r="M2282" s="37" t="s">
        <v>288</v>
      </c>
      <c r="N2282" s="37">
        <v>1162.6195121951216</v>
      </c>
      <c r="O2282" s="130">
        <f t="shared" si="173"/>
        <v>103426.06948290754</v>
      </c>
      <c r="P2282" s="132">
        <f t="shared" si="174"/>
        <v>78999.426067613458</v>
      </c>
      <c r="Q2282" s="261">
        <v>1</v>
      </c>
      <c r="R2282" s="92"/>
    </row>
    <row r="2283" spans="1:18" x14ac:dyDescent="0.25">
      <c r="A2283" s="353">
        <v>43777</v>
      </c>
      <c r="B2283" s="353" t="s">
        <v>285</v>
      </c>
      <c r="C2283" s="263" t="s">
        <v>769</v>
      </c>
      <c r="D2283" s="157" t="s">
        <v>767</v>
      </c>
      <c r="E2283" s="44">
        <f t="shared" si="175"/>
        <v>43777</v>
      </c>
      <c r="F2283" s="146" t="str">
        <f t="shared" si="171"/>
        <v>2019-20</v>
      </c>
      <c r="G2283" s="1"/>
      <c r="H2283" s="161"/>
      <c r="I2283" s="37"/>
      <c r="J2283" s="135">
        <f t="shared" si="172"/>
        <v>0.76382508261777382</v>
      </c>
      <c r="K2283" s="112"/>
      <c r="L2283" s="37">
        <v>35.352138619900003</v>
      </c>
      <c r="M2283" s="37" t="s">
        <v>288</v>
      </c>
      <c r="N2283" s="37">
        <v>1162.6195121951216</v>
      </c>
      <c r="O2283" s="130">
        <f t="shared" si="173"/>
        <v>41101.086157322461</v>
      </c>
      <c r="P2283" s="132">
        <f t="shared" si="174"/>
        <v>31394.040529797068</v>
      </c>
      <c r="Q2283" s="261">
        <v>1</v>
      </c>
      <c r="R2283" s="92"/>
    </row>
    <row r="2284" spans="1:18" x14ac:dyDescent="0.25">
      <c r="A2284" s="353">
        <v>43777</v>
      </c>
      <c r="B2284" s="353" t="s">
        <v>285</v>
      </c>
      <c r="C2284" s="263" t="s">
        <v>769</v>
      </c>
      <c r="D2284" s="157" t="s">
        <v>767</v>
      </c>
      <c r="E2284" s="44">
        <f t="shared" si="175"/>
        <v>43777</v>
      </c>
      <c r="F2284" s="146" t="str">
        <f t="shared" si="171"/>
        <v>2019-20</v>
      </c>
      <c r="G2284" s="1"/>
      <c r="H2284" s="161"/>
      <c r="I2284" s="37"/>
      <c r="J2284" s="135">
        <f t="shared" si="172"/>
        <v>0.76382508261777382</v>
      </c>
      <c r="K2284" s="112"/>
      <c r="L2284" s="37">
        <v>46.3607446985</v>
      </c>
      <c r="M2284" s="37" t="s">
        <v>288</v>
      </c>
      <c r="N2284" s="37">
        <v>1162.6195121951216</v>
      </c>
      <c r="O2284" s="130">
        <f t="shared" si="173"/>
        <v>53899.906386372641</v>
      </c>
      <c r="P2284" s="132">
        <f t="shared" si="174"/>
        <v>41170.10044866136</v>
      </c>
      <c r="Q2284" s="261">
        <v>1</v>
      </c>
      <c r="R2284" s="92"/>
    </row>
    <row r="2285" spans="1:18" x14ac:dyDescent="0.25">
      <c r="A2285" s="353">
        <v>41873</v>
      </c>
      <c r="B2285" s="353" t="s">
        <v>285</v>
      </c>
      <c r="C2285" s="263" t="s">
        <v>763</v>
      </c>
      <c r="D2285" s="157" t="s">
        <v>764</v>
      </c>
      <c r="E2285" s="44">
        <f t="shared" si="175"/>
        <v>41873</v>
      </c>
      <c r="F2285" s="146" t="str">
        <f t="shared" si="171"/>
        <v>2014-15</v>
      </c>
      <c r="G2285" s="1"/>
      <c r="H2285" s="161"/>
      <c r="I2285" s="37"/>
      <c r="J2285" s="135">
        <f t="shared" si="172"/>
        <v>0.76382508261777382</v>
      </c>
      <c r="K2285" s="112"/>
      <c r="L2285" s="37">
        <v>137.61881923799999</v>
      </c>
      <c r="M2285" s="37" t="s">
        <v>288</v>
      </c>
      <c r="N2285" s="37">
        <v>5841.3648780487802</v>
      </c>
      <c r="O2285" s="130">
        <f t="shared" si="173"/>
        <v>803881.7372553969</v>
      </c>
      <c r="P2285" s="132">
        <f t="shared" si="174"/>
        <v>614025.03437402309</v>
      </c>
      <c r="Q2285" s="261">
        <v>1</v>
      </c>
      <c r="R2285" s="92"/>
    </row>
    <row r="2286" spans="1:18" x14ac:dyDescent="0.25">
      <c r="A2286" s="353">
        <v>43777</v>
      </c>
      <c r="B2286" s="353" t="s">
        <v>285</v>
      </c>
      <c r="C2286" s="263" t="s">
        <v>769</v>
      </c>
      <c r="D2286" s="157" t="s">
        <v>767</v>
      </c>
      <c r="E2286" s="44">
        <f t="shared" si="175"/>
        <v>43777</v>
      </c>
      <c r="F2286" s="146" t="str">
        <f t="shared" si="171"/>
        <v>2019-20</v>
      </c>
      <c r="G2286" s="1"/>
      <c r="H2286" s="161"/>
      <c r="I2286" s="37"/>
      <c r="J2286" s="135">
        <f t="shared" si="172"/>
        <v>0.76382508261777382</v>
      </c>
      <c r="K2286" s="112"/>
      <c r="L2286" s="37">
        <v>34.072485380400003</v>
      </c>
      <c r="M2286" s="37" t="s">
        <v>288</v>
      </c>
      <c r="N2286" s="37">
        <v>1162.6195121951216</v>
      </c>
      <c r="O2286" s="130">
        <f t="shared" si="173"/>
        <v>39613.336332236067</v>
      </c>
      <c r="P2286" s="132">
        <f t="shared" si="174"/>
        <v>30257.659896735877</v>
      </c>
      <c r="Q2286" s="261">
        <v>1</v>
      </c>
      <c r="R2286" s="92"/>
    </row>
    <row r="2287" spans="1:18" x14ac:dyDescent="0.25">
      <c r="A2287" s="353">
        <v>43777</v>
      </c>
      <c r="B2287" s="353" t="s">
        <v>285</v>
      </c>
      <c r="C2287" s="263" t="s">
        <v>769</v>
      </c>
      <c r="D2287" s="157" t="s">
        <v>767</v>
      </c>
      <c r="E2287" s="44">
        <f t="shared" si="175"/>
        <v>43777</v>
      </c>
      <c r="F2287" s="146" t="str">
        <f t="shared" si="171"/>
        <v>2019-20</v>
      </c>
      <c r="G2287" s="1"/>
      <c r="H2287" s="161"/>
      <c r="I2287" s="37"/>
      <c r="J2287" s="135">
        <f t="shared" si="172"/>
        <v>0.76382508261777382</v>
      </c>
      <c r="K2287" s="112"/>
      <c r="L2287" s="37">
        <v>119.893834946</v>
      </c>
      <c r="M2287" s="37" t="s">
        <v>288</v>
      </c>
      <c r="N2287" s="37">
        <v>1162.6195121951216</v>
      </c>
      <c r="O2287" s="130">
        <f t="shared" si="173"/>
        <v>139390.91190012093</v>
      </c>
      <c r="P2287" s="132">
        <f t="shared" si="174"/>
        <v>106470.2747982767</v>
      </c>
      <c r="Q2287" s="261">
        <v>1</v>
      </c>
      <c r="R2287" s="92"/>
    </row>
    <row r="2288" spans="1:18" x14ac:dyDescent="0.25">
      <c r="A2288" s="353">
        <v>43777</v>
      </c>
      <c r="B2288" s="353" t="s">
        <v>285</v>
      </c>
      <c r="C2288" s="263" t="s">
        <v>769</v>
      </c>
      <c r="D2288" s="157" t="s">
        <v>767</v>
      </c>
      <c r="E2288" s="44">
        <f t="shared" si="175"/>
        <v>43777</v>
      </c>
      <c r="F2288" s="146" t="str">
        <f t="shared" si="171"/>
        <v>2019-20</v>
      </c>
      <c r="G2288" s="1"/>
      <c r="H2288" s="161"/>
      <c r="I2288" s="37"/>
      <c r="J2288" s="135">
        <f t="shared" si="172"/>
        <v>0.76382508261777382</v>
      </c>
      <c r="K2288" s="112"/>
      <c r="L2288" s="37">
        <v>82.906012761400007</v>
      </c>
      <c r="M2288" s="37" t="s">
        <v>288</v>
      </c>
      <c r="N2288" s="37">
        <v>1162.6195121951216</v>
      </c>
      <c r="O2288" s="130">
        <f t="shared" si="173"/>
        <v>96388.148114701398</v>
      </c>
      <c r="P2288" s="132">
        <f t="shared" si="174"/>
        <v>73623.685197086015</v>
      </c>
      <c r="Q2288" s="261">
        <v>1</v>
      </c>
      <c r="R2288" s="92"/>
    </row>
    <row r="2289" spans="1:18" x14ac:dyDescent="0.25">
      <c r="A2289" s="353">
        <v>41873</v>
      </c>
      <c r="B2289" s="353" t="s">
        <v>285</v>
      </c>
      <c r="C2289" s="263" t="s">
        <v>763</v>
      </c>
      <c r="D2289" s="157" t="s">
        <v>764</v>
      </c>
      <c r="E2289" s="44">
        <f t="shared" si="175"/>
        <v>41873</v>
      </c>
      <c r="F2289" s="146" t="str">
        <f t="shared" si="171"/>
        <v>2014-15</v>
      </c>
      <c r="G2289" s="1"/>
      <c r="H2289" s="161"/>
      <c r="I2289" s="37"/>
      <c r="J2289" s="135">
        <f t="shared" si="172"/>
        <v>0.76382508261777382</v>
      </c>
      <c r="K2289" s="112"/>
      <c r="L2289" s="37">
        <v>104.263961142</v>
      </c>
      <c r="M2289" s="37" t="s">
        <v>288</v>
      </c>
      <c r="N2289" s="37">
        <v>3906.7707317073164</v>
      </c>
      <c r="O2289" s="130">
        <f t="shared" si="173"/>
        <v>407335.39176143456</v>
      </c>
      <c r="P2289" s="132">
        <f t="shared" si="174"/>
        <v>311132.989265321</v>
      </c>
      <c r="Q2289" s="261">
        <v>1</v>
      </c>
      <c r="R2289" s="92"/>
    </row>
    <row r="2290" spans="1:18" x14ac:dyDescent="0.25">
      <c r="A2290" s="353">
        <v>41873</v>
      </c>
      <c r="B2290" s="353" t="s">
        <v>285</v>
      </c>
      <c r="C2290" s="263" t="s">
        <v>763</v>
      </c>
      <c r="D2290" s="157" t="s">
        <v>764</v>
      </c>
      <c r="E2290" s="44">
        <f t="shared" si="175"/>
        <v>41873</v>
      </c>
      <c r="F2290" s="146" t="str">
        <f t="shared" si="171"/>
        <v>2014-15</v>
      </c>
      <c r="G2290" s="1"/>
      <c r="H2290" s="161"/>
      <c r="I2290" s="37"/>
      <c r="J2290" s="135">
        <f t="shared" si="172"/>
        <v>0.76382508261777382</v>
      </c>
      <c r="K2290" s="112"/>
      <c r="L2290" s="37">
        <v>179.879177011</v>
      </c>
      <c r="M2290" s="37" t="s">
        <v>288</v>
      </c>
      <c r="N2290" s="37">
        <v>3906.7707317073164</v>
      </c>
      <c r="O2290" s="130">
        <f t="shared" si="173"/>
        <v>702746.70399017434</v>
      </c>
      <c r="P2290" s="132">
        <f t="shared" si="174"/>
        <v>536775.55923466315</v>
      </c>
      <c r="Q2290" s="261">
        <v>1</v>
      </c>
      <c r="R2290" s="92"/>
    </row>
    <row r="2291" spans="1:18" x14ac:dyDescent="0.25">
      <c r="A2291" s="353">
        <v>42551</v>
      </c>
      <c r="B2291" s="353" t="s">
        <v>285</v>
      </c>
      <c r="C2291" s="263" t="s">
        <v>765</v>
      </c>
      <c r="D2291" s="157" t="s">
        <v>766</v>
      </c>
      <c r="E2291" s="44">
        <f t="shared" si="175"/>
        <v>42551</v>
      </c>
      <c r="F2291" s="146" t="str">
        <f t="shared" si="171"/>
        <v>2015-16</v>
      </c>
      <c r="G2291" s="1"/>
      <c r="H2291" s="161"/>
      <c r="I2291" s="37"/>
      <c r="J2291" s="135">
        <f t="shared" si="172"/>
        <v>0.76382508261777382</v>
      </c>
      <c r="K2291" s="112"/>
      <c r="L2291" s="37">
        <v>199.21144099899999</v>
      </c>
      <c r="M2291" s="37" t="s">
        <v>288</v>
      </c>
      <c r="N2291" s="37">
        <v>4137.5673744390242</v>
      </c>
      <c r="O2291" s="130">
        <f t="shared" si="173"/>
        <v>824250.75889244699</v>
      </c>
      <c r="P2291" s="132">
        <f t="shared" si="174"/>
        <v>629583.40400878608</v>
      </c>
      <c r="Q2291" s="261">
        <v>1</v>
      </c>
      <c r="R2291" s="92"/>
    </row>
    <row r="2292" spans="1:18" x14ac:dyDescent="0.25">
      <c r="A2292" s="353">
        <v>42551</v>
      </c>
      <c r="B2292" s="353" t="s">
        <v>285</v>
      </c>
      <c r="C2292" s="263" t="s">
        <v>765</v>
      </c>
      <c r="D2292" s="157" t="s">
        <v>766</v>
      </c>
      <c r="E2292" s="44">
        <f t="shared" si="175"/>
        <v>42551</v>
      </c>
      <c r="F2292" s="146" t="str">
        <f t="shared" si="171"/>
        <v>2015-16</v>
      </c>
      <c r="G2292" s="1"/>
      <c r="H2292" s="161"/>
      <c r="I2292" s="37"/>
      <c r="J2292" s="135">
        <f t="shared" si="172"/>
        <v>0.76382508261777382</v>
      </c>
      <c r="K2292" s="112"/>
      <c r="L2292" s="37">
        <v>60.245113005100002</v>
      </c>
      <c r="M2292" s="37" t="s">
        <v>288</v>
      </c>
      <c r="N2292" s="37">
        <v>4137.5673744390242</v>
      </c>
      <c r="O2292" s="130">
        <f t="shared" si="173"/>
        <v>249268.21403929393</v>
      </c>
      <c r="P2292" s="132">
        <f t="shared" si="174"/>
        <v>190397.31418254861</v>
      </c>
      <c r="Q2292" s="261">
        <v>1</v>
      </c>
      <c r="R2292" s="92"/>
    </row>
    <row r="2293" spans="1:18" x14ac:dyDescent="0.25">
      <c r="A2293" s="353">
        <v>41873</v>
      </c>
      <c r="B2293" s="353" t="s">
        <v>285</v>
      </c>
      <c r="C2293" s="263" t="s">
        <v>763</v>
      </c>
      <c r="D2293" s="157" t="s">
        <v>764</v>
      </c>
      <c r="E2293" s="44">
        <f t="shared" si="175"/>
        <v>41873</v>
      </c>
      <c r="F2293" s="146" t="str">
        <f t="shared" si="171"/>
        <v>2014-15</v>
      </c>
      <c r="G2293" s="1"/>
      <c r="H2293" s="161"/>
      <c r="I2293" s="37"/>
      <c r="J2293" s="135">
        <f t="shared" si="172"/>
        <v>0.76382508261777382</v>
      </c>
      <c r="K2293" s="112"/>
      <c r="L2293" s="37">
        <v>139.70919366300001</v>
      </c>
      <c r="M2293" s="37" t="s">
        <v>288</v>
      </c>
      <c r="N2293" s="37">
        <v>3906.7707317073164</v>
      </c>
      <c r="O2293" s="130">
        <f t="shared" si="173"/>
        <v>545811.78875303769</v>
      </c>
      <c r="P2293" s="132">
        <f t="shared" si="174"/>
        <v>416904.73463804391</v>
      </c>
      <c r="Q2293" s="261">
        <v>1</v>
      </c>
      <c r="R2293" s="92"/>
    </row>
    <row r="2294" spans="1:18" x14ac:dyDescent="0.25">
      <c r="A2294" s="353">
        <v>41873</v>
      </c>
      <c r="B2294" s="353" t="s">
        <v>285</v>
      </c>
      <c r="C2294" s="263" t="s">
        <v>763</v>
      </c>
      <c r="D2294" s="157" t="s">
        <v>764</v>
      </c>
      <c r="E2294" s="44">
        <f t="shared" si="175"/>
        <v>41873</v>
      </c>
      <c r="F2294" s="146" t="str">
        <f t="shared" si="171"/>
        <v>2014-15</v>
      </c>
      <c r="G2294" s="1"/>
      <c r="H2294" s="161"/>
      <c r="I2294" s="37"/>
      <c r="J2294" s="135">
        <f t="shared" si="172"/>
        <v>0.76382508261777382</v>
      </c>
      <c r="K2294" s="112"/>
      <c r="L2294" s="37">
        <v>169.917159301</v>
      </c>
      <c r="M2294" s="37" t="s">
        <v>288</v>
      </c>
      <c r="N2294" s="37">
        <v>3906.7707317073164</v>
      </c>
      <c r="O2294" s="130">
        <f t="shared" si="173"/>
        <v>663827.38477199641</v>
      </c>
      <c r="P2294" s="132">
        <f t="shared" si="174"/>
        <v>507048.00701741088</v>
      </c>
      <c r="Q2294" s="261">
        <v>1</v>
      </c>
      <c r="R2294" s="92"/>
    </row>
    <row r="2295" spans="1:18" x14ac:dyDescent="0.25">
      <c r="A2295" s="353">
        <v>42551</v>
      </c>
      <c r="B2295" s="353" t="s">
        <v>285</v>
      </c>
      <c r="C2295" s="263" t="s">
        <v>765</v>
      </c>
      <c r="D2295" s="157" t="s">
        <v>767</v>
      </c>
      <c r="E2295" s="44">
        <f t="shared" si="175"/>
        <v>42551</v>
      </c>
      <c r="F2295" s="146" t="str">
        <f t="shared" si="171"/>
        <v>2015-16</v>
      </c>
      <c r="G2295" s="1"/>
      <c r="H2295" s="161"/>
      <c r="I2295" s="37"/>
      <c r="J2295" s="135">
        <f t="shared" si="172"/>
        <v>0.76382508261777382</v>
      </c>
      <c r="K2295" s="112"/>
      <c r="L2295" s="37">
        <v>197.873839105</v>
      </c>
      <c r="M2295" s="37" t="s">
        <v>288</v>
      </c>
      <c r="N2295" s="37">
        <v>1162.6195121951216</v>
      </c>
      <c r="O2295" s="130">
        <f t="shared" si="173"/>
        <v>230051.98629643107</v>
      </c>
      <c r="P2295" s="132">
        <f t="shared" si="174"/>
        <v>175719.47743925444</v>
      </c>
      <c r="Q2295" s="261">
        <v>1</v>
      </c>
      <c r="R2295" s="92"/>
    </row>
    <row r="2296" spans="1:18" x14ac:dyDescent="0.25">
      <c r="A2296" s="353">
        <v>41873</v>
      </c>
      <c r="B2296" s="353" t="s">
        <v>285</v>
      </c>
      <c r="C2296" s="263" t="s">
        <v>763</v>
      </c>
      <c r="D2296" s="157" t="s">
        <v>764</v>
      </c>
      <c r="E2296" s="44">
        <f t="shared" si="175"/>
        <v>41873</v>
      </c>
      <c r="F2296" s="146" t="str">
        <f t="shared" si="171"/>
        <v>2014-15</v>
      </c>
      <c r="G2296" s="1"/>
      <c r="H2296" s="161"/>
      <c r="I2296" s="37"/>
      <c r="J2296" s="135">
        <f t="shared" si="172"/>
        <v>0.76382508261777382</v>
      </c>
      <c r="K2296" s="112"/>
      <c r="L2296" s="37">
        <v>136.76519303500001</v>
      </c>
      <c r="M2296" s="37" t="s">
        <v>288</v>
      </c>
      <c r="N2296" s="37">
        <v>3906.7707317073164</v>
      </c>
      <c r="O2296" s="130">
        <f t="shared" si="173"/>
        <v>534310.2532654393</v>
      </c>
      <c r="P2296" s="132">
        <f t="shared" si="174"/>
        <v>408119.57334399782</v>
      </c>
      <c r="Q2296" s="261">
        <v>1</v>
      </c>
      <c r="R2296" s="92"/>
    </row>
    <row r="2297" spans="1:18" x14ac:dyDescent="0.25">
      <c r="A2297" s="353">
        <v>41873</v>
      </c>
      <c r="B2297" s="353" t="s">
        <v>285</v>
      </c>
      <c r="C2297" s="263" t="s">
        <v>763</v>
      </c>
      <c r="D2297" s="157" t="s">
        <v>764</v>
      </c>
      <c r="E2297" s="44">
        <f t="shared" si="175"/>
        <v>41873</v>
      </c>
      <c r="F2297" s="146" t="str">
        <f t="shared" si="171"/>
        <v>2014-15</v>
      </c>
      <c r="G2297" s="1"/>
      <c r="H2297" s="161"/>
      <c r="I2297" s="37"/>
      <c r="J2297" s="135">
        <f t="shared" si="172"/>
        <v>0.76382508261777382</v>
      </c>
      <c r="K2297" s="112"/>
      <c r="L2297" s="37">
        <v>129.93581914200001</v>
      </c>
      <c r="M2297" s="37" t="s">
        <v>288</v>
      </c>
      <c r="N2297" s="37">
        <v>3906.7707317073164</v>
      </c>
      <c r="O2297" s="130">
        <f t="shared" si="173"/>
        <v>507629.45522438094</v>
      </c>
      <c r="P2297" s="132">
        <f t="shared" si="174"/>
        <v>387740.11057597829</v>
      </c>
      <c r="Q2297" s="261">
        <v>1</v>
      </c>
      <c r="R2297" s="92"/>
    </row>
    <row r="2298" spans="1:18" x14ac:dyDescent="0.25">
      <c r="A2298" s="353">
        <v>41873</v>
      </c>
      <c r="B2298" s="353" t="s">
        <v>285</v>
      </c>
      <c r="C2298" s="263" t="s">
        <v>763</v>
      </c>
      <c r="D2298" s="157" t="s">
        <v>764</v>
      </c>
      <c r="E2298" s="44">
        <f t="shared" si="175"/>
        <v>41873</v>
      </c>
      <c r="F2298" s="146" t="str">
        <f t="shared" si="171"/>
        <v>2014-15</v>
      </c>
      <c r="G2298" s="1"/>
      <c r="H2298" s="161"/>
      <c r="I2298" s="37"/>
      <c r="J2298" s="135">
        <f t="shared" si="172"/>
        <v>0.76382508261777382</v>
      </c>
      <c r="K2298" s="112"/>
      <c r="L2298" s="37">
        <v>178.73220140999999</v>
      </c>
      <c r="M2298" s="37" t="s">
        <v>288</v>
      </c>
      <c r="N2298" s="37">
        <v>3906.7707317073164</v>
      </c>
      <c r="O2298" s="130">
        <f t="shared" si="173"/>
        <v>698265.73328220507</v>
      </c>
      <c r="P2298" s="132">
        <f t="shared" si="174"/>
        <v>533352.88141344069</v>
      </c>
      <c r="Q2298" s="261">
        <v>1</v>
      </c>
      <c r="R2298" s="92"/>
    </row>
    <row r="2299" spans="1:18" x14ac:dyDescent="0.25">
      <c r="A2299" s="353">
        <v>41873</v>
      </c>
      <c r="B2299" s="353" t="s">
        <v>285</v>
      </c>
      <c r="C2299" s="263" t="s">
        <v>763</v>
      </c>
      <c r="D2299" s="157" t="s">
        <v>764</v>
      </c>
      <c r="E2299" s="44">
        <f t="shared" si="175"/>
        <v>41873</v>
      </c>
      <c r="F2299" s="146" t="str">
        <f t="shared" ref="F2299:F2362" si="176">IF(E2299="","-",IF(OR(E2299&lt;$E$15,E2299&gt;$E$16),"ERROR - date outside of range",IF(MONTH(E2299)&gt;=7,YEAR(E2299)&amp;"-"&amp;IF(YEAR(E2299)=1999,"00",IF(AND(YEAR(E2299)&gt;=2000,YEAR(E2299)&lt;2009),"0","")&amp;RIGHT(YEAR(E2299),2)+1),RIGHT(YEAR(E2299),4)-1&amp;"-"&amp;RIGHT(YEAR(E2299),2))))</f>
        <v>2014-15</v>
      </c>
      <c r="G2299" s="1"/>
      <c r="H2299" s="161"/>
      <c r="I2299" s="37"/>
      <c r="J2299" s="135">
        <f t="shared" si="172"/>
        <v>0.76382508261777382</v>
      </c>
      <c r="K2299" s="112"/>
      <c r="L2299" s="37">
        <v>71.209237659199999</v>
      </c>
      <c r="M2299" s="37" t="s">
        <v>288</v>
      </c>
      <c r="N2299" s="37">
        <v>3906.7707317073164</v>
      </c>
      <c r="O2299" s="130">
        <f t="shared" si="173"/>
        <v>278198.16551415296</v>
      </c>
      <c r="P2299" s="132">
        <f t="shared" si="174"/>
        <v>212494.73675796101</v>
      </c>
      <c r="Q2299" s="261">
        <v>1</v>
      </c>
      <c r="R2299" s="92"/>
    </row>
    <row r="2300" spans="1:18" x14ac:dyDescent="0.25">
      <c r="A2300" s="353">
        <v>42551</v>
      </c>
      <c r="B2300" s="353" t="s">
        <v>285</v>
      </c>
      <c r="C2300" s="263" t="s">
        <v>765</v>
      </c>
      <c r="D2300" s="157" t="s">
        <v>767</v>
      </c>
      <c r="E2300" s="44">
        <f t="shared" si="175"/>
        <v>42551</v>
      </c>
      <c r="F2300" s="146" t="str">
        <f t="shared" si="176"/>
        <v>2015-16</v>
      </c>
      <c r="G2300" s="1"/>
      <c r="H2300" s="161"/>
      <c r="I2300" s="37"/>
      <c r="J2300" s="135">
        <f t="shared" si="172"/>
        <v>0.76382508261777382</v>
      </c>
      <c r="K2300" s="112"/>
      <c r="L2300" s="37">
        <v>8.0611855827800003</v>
      </c>
      <c r="M2300" s="37" t="s">
        <v>288</v>
      </c>
      <c r="N2300" s="37">
        <v>1162.6195121951216</v>
      </c>
      <c r="O2300" s="130">
        <f t="shared" si="173"/>
        <v>9372.0916499660307</v>
      </c>
      <c r="P2300" s="132">
        <f t="shared" si="174"/>
        <v>7158.6386788366517</v>
      </c>
      <c r="Q2300" s="261">
        <v>1</v>
      </c>
      <c r="R2300" s="92"/>
    </row>
    <row r="2301" spans="1:18" x14ac:dyDescent="0.25">
      <c r="A2301" s="353">
        <v>41901</v>
      </c>
      <c r="B2301" s="353" t="s">
        <v>285</v>
      </c>
      <c r="C2301" s="263" t="s">
        <v>763</v>
      </c>
      <c r="D2301" s="157" t="s">
        <v>767</v>
      </c>
      <c r="E2301" s="44">
        <f t="shared" si="175"/>
        <v>41901</v>
      </c>
      <c r="F2301" s="146" t="str">
        <f t="shared" si="176"/>
        <v>2014-15</v>
      </c>
      <c r="G2301" s="1"/>
      <c r="H2301" s="161"/>
      <c r="I2301" s="37"/>
      <c r="J2301" s="135">
        <f t="shared" si="172"/>
        <v>0.76382508261777382</v>
      </c>
      <c r="K2301" s="112"/>
      <c r="L2301" s="37">
        <v>51.078894467300003</v>
      </c>
      <c r="M2301" s="37" t="s">
        <v>288</v>
      </c>
      <c r="N2301" s="37">
        <v>1162.6195121951216</v>
      </c>
      <c r="O2301" s="130">
        <f t="shared" si="173"/>
        <v>59385.319369038429</v>
      </c>
      <c r="P2301" s="132">
        <f t="shared" si="174"/>
        <v>45359.996473338659</v>
      </c>
      <c r="Q2301" s="261">
        <v>1</v>
      </c>
      <c r="R2301" s="92"/>
    </row>
    <row r="2302" spans="1:18" x14ac:dyDescent="0.25">
      <c r="A2302" s="353">
        <v>41901</v>
      </c>
      <c r="B2302" s="353" t="s">
        <v>285</v>
      </c>
      <c r="C2302" s="263" t="s">
        <v>763</v>
      </c>
      <c r="D2302" s="157" t="s">
        <v>767</v>
      </c>
      <c r="E2302" s="44">
        <f t="shared" si="175"/>
        <v>41901</v>
      </c>
      <c r="F2302" s="146" t="str">
        <f t="shared" si="176"/>
        <v>2014-15</v>
      </c>
      <c r="G2302" s="1"/>
      <c r="H2302" s="161"/>
      <c r="I2302" s="37"/>
      <c r="J2302" s="135">
        <f t="shared" si="172"/>
        <v>0.76382508261777382</v>
      </c>
      <c r="K2302" s="112"/>
      <c r="L2302" s="37">
        <v>143.11286114500001</v>
      </c>
      <c r="M2302" s="37" t="s">
        <v>288</v>
      </c>
      <c r="N2302" s="37">
        <v>3875.3912195121943</v>
      </c>
      <c r="O2302" s="130">
        <f t="shared" si="173"/>
        <v>554618.32548060094</v>
      </c>
      <c r="P2302" s="132">
        <f t="shared" si="174"/>
        <v>423631.38828155136</v>
      </c>
      <c r="Q2302" s="261">
        <v>1</v>
      </c>
      <c r="R2302" s="92"/>
    </row>
    <row r="2303" spans="1:18" x14ac:dyDescent="0.25">
      <c r="A2303" s="353">
        <v>41901</v>
      </c>
      <c r="B2303" s="353" t="s">
        <v>285</v>
      </c>
      <c r="C2303" s="263" t="s">
        <v>763</v>
      </c>
      <c r="D2303" s="157" t="s">
        <v>724</v>
      </c>
      <c r="E2303" s="44">
        <f t="shared" si="175"/>
        <v>41901</v>
      </c>
      <c r="F2303" s="146" t="str">
        <f t="shared" si="176"/>
        <v>2014-15</v>
      </c>
      <c r="G2303" s="1"/>
      <c r="H2303" s="161"/>
      <c r="I2303" s="37"/>
      <c r="J2303" s="135">
        <f t="shared" si="172"/>
        <v>0.76382508261777382</v>
      </c>
      <c r="K2303" s="112"/>
      <c r="L2303" s="37">
        <v>69.611894929300007</v>
      </c>
      <c r="M2303" s="37" t="s">
        <v>288</v>
      </c>
      <c r="N2303" s="37">
        <v>3875.3912195121943</v>
      </c>
      <c r="O2303" s="130">
        <f t="shared" si="173"/>
        <v>269773.32638261467</v>
      </c>
      <c r="P2303" s="132">
        <f t="shared" si="174"/>
        <v>206059.63331227232</v>
      </c>
      <c r="Q2303" s="261">
        <v>1</v>
      </c>
      <c r="R2303" s="92"/>
    </row>
    <row r="2304" spans="1:18" x14ac:dyDescent="0.25">
      <c r="A2304" s="353">
        <v>42551</v>
      </c>
      <c r="B2304" s="353" t="s">
        <v>285</v>
      </c>
      <c r="C2304" s="263" t="s">
        <v>765</v>
      </c>
      <c r="D2304" s="157" t="s">
        <v>724</v>
      </c>
      <c r="E2304" s="44">
        <f t="shared" si="175"/>
        <v>42551</v>
      </c>
      <c r="F2304" s="146" t="str">
        <f t="shared" si="176"/>
        <v>2015-16</v>
      </c>
      <c r="G2304" s="1"/>
      <c r="H2304" s="161"/>
      <c r="I2304" s="37"/>
      <c r="J2304" s="135">
        <f t="shared" si="172"/>
        <v>0.76382508261777382</v>
      </c>
      <c r="K2304" s="112"/>
      <c r="L2304" s="37">
        <v>93.175930695600002</v>
      </c>
      <c r="M2304" s="37" t="s">
        <v>288</v>
      </c>
      <c r="N2304" s="37">
        <v>1162.6195121951216</v>
      </c>
      <c r="O2304" s="130">
        <f t="shared" si="173"/>
        <v>108328.15509364493</v>
      </c>
      <c r="P2304" s="132">
        <f t="shared" si="174"/>
        <v>82743.762014234351</v>
      </c>
      <c r="Q2304" s="261">
        <v>1</v>
      </c>
      <c r="R2304" s="92"/>
    </row>
    <row r="2305" spans="1:18" x14ac:dyDescent="0.25">
      <c r="A2305" s="353">
        <v>42551</v>
      </c>
      <c r="B2305" s="353" t="s">
        <v>285</v>
      </c>
      <c r="C2305" s="263" t="s">
        <v>765</v>
      </c>
      <c r="D2305" s="157" t="s">
        <v>724</v>
      </c>
      <c r="E2305" s="44">
        <f t="shared" si="175"/>
        <v>42551</v>
      </c>
      <c r="F2305" s="146" t="str">
        <f t="shared" si="176"/>
        <v>2015-16</v>
      </c>
      <c r="G2305" s="1"/>
      <c r="H2305" s="161"/>
      <c r="I2305" s="37"/>
      <c r="J2305" s="135">
        <f t="shared" si="172"/>
        <v>0.76382508261777382</v>
      </c>
      <c r="K2305" s="112"/>
      <c r="L2305" s="37">
        <v>43.2354879353</v>
      </c>
      <c r="M2305" s="37" t="s">
        <v>288</v>
      </c>
      <c r="N2305" s="37">
        <v>1162.6195121951216</v>
      </c>
      <c r="O2305" s="130">
        <f t="shared" si="173"/>
        <v>50266.421892856553</v>
      </c>
      <c r="P2305" s="132">
        <f t="shared" si="174"/>
        <v>38394.753855211035</v>
      </c>
      <c r="Q2305" s="261">
        <v>1</v>
      </c>
      <c r="R2305" s="92"/>
    </row>
    <row r="2306" spans="1:18" x14ac:dyDescent="0.25">
      <c r="A2306" s="353">
        <v>42551</v>
      </c>
      <c r="B2306" s="353" t="s">
        <v>285</v>
      </c>
      <c r="C2306" s="263" t="s">
        <v>765</v>
      </c>
      <c r="D2306" s="157" t="s">
        <v>772</v>
      </c>
      <c r="E2306" s="44">
        <f t="shared" si="175"/>
        <v>42551</v>
      </c>
      <c r="F2306" s="146" t="str">
        <f t="shared" si="176"/>
        <v>2015-16</v>
      </c>
      <c r="G2306" s="1"/>
      <c r="H2306" s="161"/>
      <c r="I2306" s="37"/>
      <c r="J2306" s="135">
        <f t="shared" si="172"/>
        <v>0.76382508261777382</v>
      </c>
      <c r="K2306" s="112"/>
      <c r="L2306" s="37">
        <v>142.605992122</v>
      </c>
      <c r="M2306" s="37" t="s">
        <v>288</v>
      </c>
      <c r="N2306" s="37">
        <v>4137.5668292682922</v>
      </c>
      <c r="O2306" s="130">
        <f t="shared" si="173"/>
        <v>590041.82265888259</v>
      </c>
      <c r="P2306" s="132">
        <f t="shared" si="174"/>
        <v>450688.74394036282</v>
      </c>
      <c r="Q2306" s="261">
        <v>1</v>
      </c>
      <c r="R2306" s="92"/>
    </row>
    <row r="2307" spans="1:18" x14ac:dyDescent="0.25">
      <c r="A2307" s="353">
        <v>42551</v>
      </c>
      <c r="B2307" s="353" t="s">
        <v>285</v>
      </c>
      <c r="C2307" s="263" t="s">
        <v>765</v>
      </c>
      <c r="D2307" s="157" t="s">
        <v>724</v>
      </c>
      <c r="E2307" s="44">
        <f t="shared" si="175"/>
        <v>42551</v>
      </c>
      <c r="F2307" s="146" t="str">
        <f t="shared" si="176"/>
        <v>2015-16</v>
      </c>
      <c r="G2307" s="1"/>
      <c r="H2307" s="161"/>
      <c r="I2307" s="37"/>
      <c r="J2307" s="135">
        <f t="shared" si="172"/>
        <v>0.76382508261777382</v>
      </c>
      <c r="K2307" s="112"/>
      <c r="L2307" s="37">
        <v>175.090427621</v>
      </c>
      <c r="M2307" s="37" t="s">
        <v>288</v>
      </c>
      <c r="N2307" s="37">
        <v>1162.6195121951216</v>
      </c>
      <c r="O2307" s="130">
        <f t="shared" si="173"/>
        <v>203563.54755076228</v>
      </c>
      <c r="P2307" s="132">
        <f t="shared" si="174"/>
        <v>155486.94352592813</v>
      </c>
      <c r="Q2307" s="261">
        <v>1</v>
      </c>
      <c r="R2307" s="92"/>
    </row>
    <row r="2308" spans="1:18" x14ac:dyDescent="0.25">
      <c r="A2308" s="353">
        <v>41901</v>
      </c>
      <c r="B2308" s="353" t="s">
        <v>285</v>
      </c>
      <c r="C2308" s="263" t="s">
        <v>763</v>
      </c>
      <c r="D2308" s="157" t="s">
        <v>724</v>
      </c>
      <c r="E2308" s="44">
        <f t="shared" si="175"/>
        <v>41901</v>
      </c>
      <c r="F2308" s="146" t="str">
        <f t="shared" si="176"/>
        <v>2014-15</v>
      </c>
      <c r="G2308" s="1"/>
      <c r="H2308" s="161"/>
      <c r="I2308" s="37"/>
      <c r="J2308" s="135">
        <f t="shared" si="172"/>
        <v>0.76382508261777382</v>
      </c>
      <c r="K2308" s="112"/>
      <c r="L2308" s="37">
        <v>176.639084293</v>
      </c>
      <c r="M2308" s="37" t="s">
        <v>288</v>
      </c>
      <c r="N2308" s="37">
        <v>950.87219512195099</v>
      </c>
      <c r="O2308" s="130">
        <f t="shared" si="173"/>
        <v>167961.19382601624</v>
      </c>
      <c r="P2308" s="132">
        <f t="shared" si="174"/>
        <v>128292.97275073678</v>
      </c>
      <c r="Q2308" s="261">
        <v>1</v>
      </c>
      <c r="R2308" s="92"/>
    </row>
    <row r="2309" spans="1:18" x14ac:dyDescent="0.25">
      <c r="A2309" s="353">
        <v>41901</v>
      </c>
      <c r="B2309" s="353" t="s">
        <v>285</v>
      </c>
      <c r="C2309" s="263" t="s">
        <v>763</v>
      </c>
      <c r="D2309" s="157" t="s">
        <v>724</v>
      </c>
      <c r="E2309" s="44">
        <f t="shared" si="175"/>
        <v>41901</v>
      </c>
      <c r="F2309" s="146" t="str">
        <f t="shared" si="176"/>
        <v>2014-15</v>
      </c>
      <c r="G2309" s="1"/>
      <c r="H2309" s="161"/>
      <c r="I2309" s="37"/>
      <c r="J2309" s="135">
        <f t="shared" si="172"/>
        <v>0.76382508261777382</v>
      </c>
      <c r="K2309" s="112"/>
      <c r="L2309" s="37">
        <v>200.44663338699999</v>
      </c>
      <c r="M2309" s="37" t="s">
        <v>288</v>
      </c>
      <c r="N2309" s="37">
        <v>950.87219512195099</v>
      </c>
      <c r="O2309" s="130">
        <f t="shared" si="173"/>
        <v>190599.13029350163</v>
      </c>
      <c r="P2309" s="132">
        <f t="shared" si="174"/>
        <v>145584.39644330973</v>
      </c>
      <c r="Q2309" s="261">
        <v>1</v>
      </c>
      <c r="R2309" s="92"/>
    </row>
    <row r="2310" spans="1:18" x14ac:dyDescent="0.25">
      <c r="A2310" s="353">
        <v>41901</v>
      </c>
      <c r="B2310" s="353" t="s">
        <v>285</v>
      </c>
      <c r="C2310" s="263" t="s">
        <v>763</v>
      </c>
      <c r="D2310" s="157" t="s">
        <v>724</v>
      </c>
      <c r="E2310" s="44">
        <f t="shared" si="175"/>
        <v>41901</v>
      </c>
      <c r="F2310" s="146" t="str">
        <f t="shared" si="176"/>
        <v>2014-15</v>
      </c>
      <c r="G2310" s="1"/>
      <c r="H2310" s="161"/>
      <c r="I2310" s="37"/>
      <c r="J2310" s="135">
        <f t="shared" si="172"/>
        <v>0.76382508261777382</v>
      </c>
      <c r="K2310" s="112"/>
      <c r="L2310" s="37">
        <v>185.41864730399999</v>
      </c>
      <c r="M2310" s="37" t="s">
        <v>288</v>
      </c>
      <c r="N2310" s="37">
        <v>950.87219512195099</v>
      </c>
      <c r="O2310" s="130">
        <f t="shared" si="173"/>
        <v>176309.4361784973</v>
      </c>
      <c r="P2310" s="132">
        <f t="shared" si="174"/>
        <v>134669.56965533382</v>
      </c>
      <c r="Q2310" s="261">
        <v>1</v>
      </c>
      <c r="R2310" s="92"/>
    </row>
    <row r="2311" spans="1:18" x14ac:dyDescent="0.25">
      <c r="A2311" s="353">
        <v>41901</v>
      </c>
      <c r="B2311" s="353" t="s">
        <v>285</v>
      </c>
      <c r="C2311" s="263" t="s">
        <v>763</v>
      </c>
      <c r="D2311" s="157" t="s">
        <v>724</v>
      </c>
      <c r="E2311" s="44">
        <f t="shared" si="175"/>
        <v>41901</v>
      </c>
      <c r="F2311" s="146" t="str">
        <f t="shared" si="176"/>
        <v>2014-15</v>
      </c>
      <c r="G2311" s="1"/>
      <c r="H2311" s="161"/>
      <c r="I2311" s="37"/>
      <c r="J2311" s="135">
        <f t="shared" si="172"/>
        <v>0.76382508261777382</v>
      </c>
      <c r="K2311" s="112"/>
      <c r="L2311" s="37">
        <v>120.309009359</v>
      </c>
      <c r="M2311" s="37" t="s">
        <v>288</v>
      </c>
      <c r="N2311" s="37">
        <v>3592.3639024390236</v>
      </c>
      <c r="O2311" s="130">
        <f t="shared" si="173"/>
        <v>432193.74235947029</v>
      </c>
      <c r="P2311" s="132">
        <f t="shared" si="174"/>
        <v>330120.42096460727</v>
      </c>
      <c r="Q2311" s="261">
        <v>1</v>
      </c>
      <c r="R2311" s="92"/>
    </row>
    <row r="2312" spans="1:18" x14ac:dyDescent="0.25">
      <c r="A2312" s="353">
        <v>41901</v>
      </c>
      <c r="B2312" s="353" t="s">
        <v>285</v>
      </c>
      <c r="C2312" s="263" t="s">
        <v>763</v>
      </c>
      <c r="D2312" s="157" t="s">
        <v>724</v>
      </c>
      <c r="E2312" s="44">
        <f t="shared" si="175"/>
        <v>41901</v>
      </c>
      <c r="F2312" s="146" t="str">
        <f t="shared" si="176"/>
        <v>2014-15</v>
      </c>
      <c r="G2312" s="1"/>
      <c r="H2312" s="161"/>
      <c r="I2312" s="37"/>
      <c r="J2312" s="135">
        <f t="shared" si="172"/>
        <v>0.76382508261777382</v>
      </c>
      <c r="K2312" s="112"/>
      <c r="L2312" s="37">
        <v>179.46321395199999</v>
      </c>
      <c r="M2312" s="37" t="s">
        <v>288</v>
      </c>
      <c r="N2312" s="37">
        <v>950.87219512195099</v>
      </c>
      <c r="O2312" s="130">
        <f t="shared" si="173"/>
        <v>170646.58019417856</v>
      </c>
      <c r="P2312" s="132">
        <f t="shared" si="174"/>
        <v>130344.13821525901</v>
      </c>
      <c r="Q2312" s="261">
        <v>1</v>
      </c>
      <c r="R2312" s="92"/>
    </row>
    <row r="2313" spans="1:18" x14ac:dyDescent="0.25">
      <c r="A2313" s="353">
        <v>42551</v>
      </c>
      <c r="B2313" s="353" t="s">
        <v>285</v>
      </c>
      <c r="C2313" s="263" t="s">
        <v>765</v>
      </c>
      <c r="D2313" s="157" t="s">
        <v>724</v>
      </c>
      <c r="E2313" s="44">
        <f t="shared" si="175"/>
        <v>42551</v>
      </c>
      <c r="F2313" s="146" t="str">
        <f t="shared" si="176"/>
        <v>2015-16</v>
      </c>
      <c r="G2313" s="1"/>
      <c r="H2313" s="161"/>
      <c r="I2313" s="37"/>
      <c r="J2313" s="135">
        <f t="shared" si="172"/>
        <v>0.76382508261777382</v>
      </c>
      <c r="K2313" s="112"/>
      <c r="L2313" s="37">
        <v>224.93016913899999</v>
      </c>
      <c r="M2313" s="37" t="s">
        <v>288</v>
      </c>
      <c r="N2313" s="37">
        <v>1162.6195121951216</v>
      </c>
      <c r="O2313" s="130">
        <f t="shared" si="173"/>
        <v>261508.20352235035</v>
      </c>
      <c r="P2313" s="132">
        <f t="shared" si="174"/>
        <v>199746.52516068486</v>
      </c>
      <c r="Q2313" s="261">
        <v>1</v>
      </c>
      <c r="R2313" s="92"/>
    </row>
    <row r="2314" spans="1:18" x14ac:dyDescent="0.25">
      <c r="A2314" s="353">
        <v>42551</v>
      </c>
      <c r="B2314" s="353" t="s">
        <v>285</v>
      </c>
      <c r="C2314" s="263" t="s">
        <v>765</v>
      </c>
      <c r="D2314" s="157" t="s">
        <v>724</v>
      </c>
      <c r="E2314" s="44">
        <f t="shared" si="175"/>
        <v>42551</v>
      </c>
      <c r="F2314" s="146" t="str">
        <f t="shared" si="176"/>
        <v>2015-16</v>
      </c>
      <c r="G2314" s="1"/>
      <c r="H2314" s="161"/>
      <c r="I2314" s="37"/>
      <c r="J2314" s="135">
        <f t="shared" si="172"/>
        <v>0.76382508261777382</v>
      </c>
      <c r="K2314" s="112"/>
      <c r="L2314" s="37">
        <v>67.111593819500001</v>
      </c>
      <c r="M2314" s="37" t="s">
        <v>288</v>
      </c>
      <c r="N2314" s="37">
        <v>1162.6195121951216</v>
      </c>
      <c r="O2314" s="130">
        <f t="shared" si="173"/>
        <v>78025.24846906423</v>
      </c>
      <c r="P2314" s="132">
        <f t="shared" si="174"/>
        <v>59597.641858155315</v>
      </c>
      <c r="Q2314" s="261">
        <v>1</v>
      </c>
      <c r="R2314" s="92"/>
    </row>
    <row r="2315" spans="1:18" x14ac:dyDescent="0.25">
      <c r="A2315" s="353">
        <v>42551</v>
      </c>
      <c r="B2315" s="353" t="s">
        <v>285</v>
      </c>
      <c r="C2315" s="263" t="s">
        <v>765</v>
      </c>
      <c r="D2315" s="157" t="s">
        <v>767</v>
      </c>
      <c r="E2315" s="44">
        <f t="shared" si="175"/>
        <v>42551</v>
      </c>
      <c r="F2315" s="146" t="str">
        <f t="shared" si="176"/>
        <v>2015-16</v>
      </c>
      <c r="G2315" s="1"/>
      <c r="H2315" s="161"/>
      <c r="I2315" s="37"/>
      <c r="J2315" s="135">
        <f t="shared" si="172"/>
        <v>0.76382508261777382</v>
      </c>
      <c r="K2315" s="112"/>
      <c r="L2315" s="37">
        <v>128.931782156</v>
      </c>
      <c r="M2315" s="37" t="s">
        <v>288</v>
      </c>
      <c r="N2315" s="37">
        <v>1162.6195121951216</v>
      </c>
      <c r="O2315" s="130">
        <f t="shared" si="173"/>
        <v>149898.60567665641</v>
      </c>
      <c r="P2315" s="132">
        <f t="shared" si="174"/>
        <v>114496.31486526119</v>
      </c>
      <c r="Q2315" s="261">
        <v>1</v>
      </c>
      <c r="R2315" s="92"/>
    </row>
    <row r="2316" spans="1:18" x14ac:dyDescent="0.25">
      <c r="A2316" s="353">
        <v>42551</v>
      </c>
      <c r="B2316" s="353" t="s">
        <v>285</v>
      </c>
      <c r="C2316" s="263" t="s">
        <v>765</v>
      </c>
      <c r="D2316" s="157" t="s">
        <v>766</v>
      </c>
      <c r="E2316" s="44">
        <f t="shared" si="175"/>
        <v>42551</v>
      </c>
      <c r="F2316" s="146" t="str">
        <f t="shared" si="176"/>
        <v>2015-16</v>
      </c>
      <c r="G2316" s="1"/>
      <c r="H2316" s="161"/>
      <c r="I2316" s="37"/>
      <c r="J2316" s="135">
        <f t="shared" si="172"/>
        <v>0.76382508261777382</v>
      </c>
      <c r="K2316" s="112"/>
      <c r="L2316" s="37">
        <v>138.80326643399999</v>
      </c>
      <c r="M2316" s="37" t="s">
        <v>288</v>
      </c>
      <c r="N2316" s="37">
        <v>4137.5668292682922</v>
      </c>
      <c r="O2316" s="130">
        <f t="shared" si="173"/>
        <v>574307.79099140735</v>
      </c>
      <c r="P2316" s="132">
        <f t="shared" si="174"/>
        <v>438670.69590204291</v>
      </c>
      <c r="Q2316" s="261">
        <v>1</v>
      </c>
      <c r="R2316" s="92"/>
    </row>
    <row r="2317" spans="1:18" x14ac:dyDescent="0.25">
      <c r="A2317" s="353">
        <v>42551</v>
      </c>
      <c r="B2317" s="353" t="s">
        <v>285</v>
      </c>
      <c r="C2317" s="263" t="s">
        <v>765</v>
      </c>
      <c r="D2317" s="157" t="s">
        <v>767</v>
      </c>
      <c r="E2317" s="44">
        <f t="shared" si="175"/>
        <v>42551</v>
      </c>
      <c r="F2317" s="146" t="str">
        <f t="shared" si="176"/>
        <v>2015-16</v>
      </c>
      <c r="G2317" s="1"/>
      <c r="H2317" s="161"/>
      <c r="I2317" s="37"/>
      <c r="J2317" s="135">
        <f t="shared" si="172"/>
        <v>0.76382508261777382</v>
      </c>
      <c r="K2317" s="112"/>
      <c r="L2317" s="37">
        <v>97.684920908999999</v>
      </c>
      <c r="M2317" s="37" t="s">
        <v>288</v>
      </c>
      <c r="N2317" s="37">
        <v>1162.6195121951216</v>
      </c>
      <c r="O2317" s="130">
        <f t="shared" si="173"/>
        <v>113570.39509604061</v>
      </c>
      <c r="P2317" s="132">
        <f t="shared" si="174"/>
        <v>86747.916417166431</v>
      </c>
      <c r="Q2317" s="261">
        <v>1</v>
      </c>
      <c r="R2317" s="92"/>
    </row>
    <row r="2318" spans="1:18" x14ac:dyDescent="0.25">
      <c r="A2318" s="353">
        <v>42551</v>
      </c>
      <c r="B2318" s="353" t="s">
        <v>285</v>
      </c>
      <c r="C2318" s="263" t="s">
        <v>765</v>
      </c>
      <c r="D2318" s="157" t="s">
        <v>767</v>
      </c>
      <c r="E2318" s="44">
        <f t="shared" si="175"/>
        <v>42551</v>
      </c>
      <c r="F2318" s="146" t="str">
        <f t="shared" si="176"/>
        <v>2015-16</v>
      </c>
      <c r="G2318" s="1"/>
      <c r="H2318" s="161"/>
      <c r="I2318" s="37"/>
      <c r="J2318" s="135">
        <f t="shared" si="172"/>
        <v>0.76382508261777382</v>
      </c>
      <c r="K2318" s="112"/>
      <c r="L2318" s="37">
        <v>57.825148940600002</v>
      </c>
      <c r="M2318" s="37" t="s">
        <v>288</v>
      </c>
      <c r="N2318" s="37">
        <v>1162.6195121951216</v>
      </c>
      <c r="O2318" s="130">
        <f t="shared" si="173"/>
        <v>67228.646453930633</v>
      </c>
      <c r="P2318" s="132">
        <f t="shared" si="174"/>
        <v>51350.926431954671</v>
      </c>
      <c r="Q2318" s="261">
        <v>1</v>
      </c>
      <c r="R2318" s="92"/>
    </row>
    <row r="2319" spans="1:18" x14ac:dyDescent="0.25">
      <c r="A2319" s="353">
        <v>42551</v>
      </c>
      <c r="B2319" s="353" t="s">
        <v>285</v>
      </c>
      <c r="C2319" s="263" t="s">
        <v>765</v>
      </c>
      <c r="D2319" s="157" t="s">
        <v>767</v>
      </c>
      <c r="E2319" s="44">
        <f t="shared" si="175"/>
        <v>42551</v>
      </c>
      <c r="F2319" s="146" t="str">
        <f t="shared" si="176"/>
        <v>2015-16</v>
      </c>
      <c r="G2319" s="1"/>
      <c r="H2319" s="161"/>
      <c r="I2319" s="37"/>
      <c r="J2319" s="135">
        <f t="shared" si="172"/>
        <v>0.76382508261777382</v>
      </c>
      <c r="K2319" s="112"/>
      <c r="L2319" s="37">
        <v>44.623070490499998</v>
      </c>
      <c r="M2319" s="37" t="s">
        <v>288</v>
      </c>
      <c r="N2319" s="37">
        <v>1162.6195121951216</v>
      </c>
      <c r="O2319" s="130">
        <f t="shared" si="173"/>
        <v>51879.652446313637</v>
      </c>
      <c r="P2319" s="132">
        <f t="shared" si="174"/>
        <v>39626.979815986902</v>
      </c>
      <c r="Q2319" s="261">
        <v>1</v>
      </c>
      <c r="R2319" s="92"/>
    </row>
    <row r="2320" spans="1:18" x14ac:dyDescent="0.25">
      <c r="A2320" s="353">
        <v>41859</v>
      </c>
      <c r="B2320" s="353" t="s">
        <v>285</v>
      </c>
      <c r="C2320" s="263" t="s">
        <v>763</v>
      </c>
      <c r="D2320" s="157" t="s">
        <v>746</v>
      </c>
      <c r="E2320" s="44">
        <f t="shared" si="175"/>
        <v>41859</v>
      </c>
      <c r="F2320" s="146" t="str">
        <f t="shared" si="176"/>
        <v>2014-15</v>
      </c>
      <c r="G2320" s="1"/>
      <c r="H2320" s="161"/>
      <c r="I2320" s="37"/>
      <c r="J2320" s="135">
        <f t="shared" si="172"/>
        <v>0.76382508261777382</v>
      </c>
      <c r="K2320" s="112"/>
      <c r="L2320" s="37">
        <v>99.778988193900005</v>
      </c>
      <c r="M2320" s="37" t="s">
        <v>288</v>
      </c>
      <c r="N2320" s="37">
        <v>1680.8751219512192</v>
      </c>
      <c r="O2320" s="130">
        <f t="shared" si="173"/>
        <v>167716.01894859094</v>
      </c>
      <c r="P2320" s="132">
        <f t="shared" si="174"/>
        <v>128105.70202973159</v>
      </c>
      <c r="Q2320" s="261">
        <v>1</v>
      </c>
      <c r="R2320" s="92"/>
    </row>
    <row r="2321" spans="1:18" x14ac:dyDescent="0.25">
      <c r="A2321" s="353">
        <v>41859</v>
      </c>
      <c r="B2321" s="353" t="s">
        <v>285</v>
      </c>
      <c r="C2321" s="263" t="s">
        <v>763</v>
      </c>
      <c r="D2321" s="157" t="s">
        <v>746</v>
      </c>
      <c r="E2321" s="44">
        <f t="shared" si="175"/>
        <v>41859</v>
      </c>
      <c r="F2321" s="146" t="str">
        <f t="shared" si="176"/>
        <v>2014-15</v>
      </c>
      <c r="G2321" s="1"/>
      <c r="H2321" s="161"/>
      <c r="I2321" s="37"/>
      <c r="J2321" s="135">
        <f t="shared" si="172"/>
        <v>0.76382508261777382</v>
      </c>
      <c r="K2321" s="112"/>
      <c r="L2321" s="37">
        <v>180.096257732</v>
      </c>
      <c r="M2321" s="37" t="s">
        <v>288</v>
      </c>
      <c r="N2321" s="37">
        <v>1680.8751219512192</v>
      </c>
      <c r="O2321" s="130">
        <f t="shared" si="173"/>
        <v>302719.31917823368</v>
      </c>
      <c r="P2321" s="132">
        <f t="shared" si="174"/>
        <v>231224.60898131059</v>
      </c>
      <c r="Q2321" s="261">
        <v>1</v>
      </c>
      <c r="R2321" s="92"/>
    </row>
    <row r="2322" spans="1:18" x14ac:dyDescent="0.25">
      <c r="A2322" s="353">
        <v>41859</v>
      </c>
      <c r="B2322" s="353" t="s">
        <v>285</v>
      </c>
      <c r="C2322" s="263" t="s">
        <v>763</v>
      </c>
      <c r="D2322" s="157" t="s">
        <v>746</v>
      </c>
      <c r="E2322" s="44">
        <f t="shared" si="175"/>
        <v>41859</v>
      </c>
      <c r="F2322" s="146" t="str">
        <f t="shared" si="176"/>
        <v>2014-15</v>
      </c>
      <c r="G2322" s="1"/>
      <c r="H2322" s="161"/>
      <c r="I2322" s="37"/>
      <c r="J2322" s="135">
        <f t="shared" si="172"/>
        <v>0.76382508261777382</v>
      </c>
      <c r="K2322" s="112"/>
      <c r="L2322" s="37">
        <v>120.119462203</v>
      </c>
      <c r="M2322" s="37" t="s">
        <v>288</v>
      </c>
      <c r="N2322" s="37">
        <v>2005.9707317073169</v>
      </c>
      <c r="O2322" s="130">
        <f t="shared" si="173"/>
        <v>240956.12548764129</v>
      </c>
      <c r="P2322" s="132">
        <f t="shared" si="174"/>
        <v>184048.33245785628</v>
      </c>
      <c r="Q2322" s="261">
        <v>1</v>
      </c>
      <c r="R2322" s="92"/>
    </row>
    <row r="2323" spans="1:18" x14ac:dyDescent="0.25">
      <c r="A2323" s="353">
        <v>41859</v>
      </c>
      <c r="B2323" s="353" t="s">
        <v>285</v>
      </c>
      <c r="C2323" s="263" t="s">
        <v>763</v>
      </c>
      <c r="D2323" s="157" t="s">
        <v>746</v>
      </c>
      <c r="E2323" s="44">
        <f t="shared" si="175"/>
        <v>41859</v>
      </c>
      <c r="F2323" s="146" t="str">
        <f t="shared" si="176"/>
        <v>2014-15</v>
      </c>
      <c r="G2323" s="1"/>
      <c r="H2323" s="161"/>
      <c r="I2323" s="37"/>
      <c r="J2323" s="135">
        <f t="shared" si="172"/>
        <v>0.76382508261777382</v>
      </c>
      <c r="K2323" s="112"/>
      <c r="L2323" s="37">
        <v>64.7704052558</v>
      </c>
      <c r="M2323" s="37" t="s">
        <v>288</v>
      </c>
      <c r="N2323" s="37">
        <v>2005.9707317073169</v>
      </c>
      <c r="O2323" s="130">
        <f t="shared" si="173"/>
        <v>129927.53722395656</v>
      </c>
      <c r="P2323" s="132">
        <f t="shared" si="174"/>
        <v>99241.911854412509</v>
      </c>
      <c r="Q2323" s="261">
        <v>1</v>
      </c>
      <c r="R2323" s="92"/>
    </row>
    <row r="2324" spans="1:18" x14ac:dyDescent="0.25">
      <c r="A2324" s="353">
        <v>41859</v>
      </c>
      <c r="B2324" s="353" t="s">
        <v>285</v>
      </c>
      <c r="C2324" s="263" t="s">
        <v>763</v>
      </c>
      <c r="D2324" s="157" t="s">
        <v>746</v>
      </c>
      <c r="E2324" s="44">
        <f t="shared" si="175"/>
        <v>41859</v>
      </c>
      <c r="F2324" s="146" t="str">
        <f t="shared" si="176"/>
        <v>2014-15</v>
      </c>
      <c r="G2324" s="1"/>
      <c r="H2324" s="161"/>
      <c r="I2324" s="37"/>
      <c r="J2324" s="135">
        <f t="shared" si="172"/>
        <v>0.76382508261777382</v>
      </c>
      <c r="K2324" s="112"/>
      <c r="L2324" s="37">
        <v>180.152961186</v>
      </c>
      <c r="M2324" s="37" t="s">
        <v>288</v>
      </c>
      <c r="N2324" s="37">
        <v>2005.9707317073169</v>
      </c>
      <c r="O2324" s="130">
        <f t="shared" si="173"/>
        <v>361381.56736952026</v>
      </c>
      <c r="P2324" s="132">
        <f t="shared" si="174"/>
        <v>276032.30555256439</v>
      </c>
      <c r="Q2324" s="261">
        <v>1</v>
      </c>
      <c r="R2324" s="92"/>
    </row>
    <row r="2325" spans="1:18" x14ac:dyDescent="0.25">
      <c r="A2325" s="353">
        <v>43131</v>
      </c>
      <c r="B2325" s="353" t="s">
        <v>285</v>
      </c>
      <c r="C2325" s="263" t="s">
        <v>768</v>
      </c>
      <c r="D2325" s="157" t="s">
        <v>746</v>
      </c>
      <c r="E2325" s="44">
        <f t="shared" si="175"/>
        <v>43131</v>
      </c>
      <c r="F2325" s="146" t="str">
        <f t="shared" si="176"/>
        <v>2017-18</v>
      </c>
      <c r="G2325" s="1"/>
      <c r="H2325" s="161"/>
      <c r="I2325" s="37"/>
      <c r="J2325" s="135">
        <f t="shared" si="172"/>
        <v>0.76382508261777382</v>
      </c>
      <c r="K2325" s="112"/>
      <c r="L2325" s="37">
        <v>179.43047223100001</v>
      </c>
      <c r="M2325" s="37" t="s">
        <v>288</v>
      </c>
      <c r="N2325" s="37">
        <v>2326.8487804878046</v>
      </c>
      <c r="O2325" s="130">
        <f t="shared" si="173"/>
        <v>417507.57549305324</v>
      </c>
      <c r="P2325" s="132">
        <f t="shared" si="174"/>
        <v>318902.75834452786</v>
      </c>
      <c r="Q2325" s="261">
        <v>1</v>
      </c>
      <c r="R2325" s="92"/>
    </row>
    <row r="2326" spans="1:18" x14ac:dyDescent="0.25">
      <c r="A2326" s="353">
        <v>43131</v>
      </c>
      <c r="B2326" s="353" t="s">
        <v>285</v>
      </c>
      <c r="C2326" s="263" t="s">
        <v>768</v>
      </c>
      <c r="D2326" s="157" t="s">
        <v>746</v>
      </c>
      <c r="E2326" s="44">
        <f t="shared" si="175"/>
        <v>43131</v>
      </c>
      <c r="F2326" s="146" t="str">
        <f t="shared" si="176"/>
        <v>2017-18</v>
      </c>
      <c r="G2326" s="1"/>
      <c r="H2326" s="161"/>
      <c r="I2326" s="37"/>
      <c r="J2326" s="135">
        <f t="shared" si="172"/>
        <v>0.76382508261777382</v>
      </c>
      <c r="K2326" s="112"/>
      <c r="L2326" s="37">
        <v>177.622350297</v>
      </c>
      <c r="M2326" s="37" t="s">
        <v>288</v>
      </c>
      <c r="N2326" s="37">
        <v>2326.8487804878046</v>
      </c>
      <c r="O2326" s="130">
        <f t="shared" si="173"/>
        <v>413300.34917595208</v>
      </c>
      <c r="P2326" s="132">
        <f t="shared" si="174"/>
        <v>315689.17335527635</v>
      </c>
      <c r="Q2326" s="261">
        <v>1</v>
      </c>
      <c r="R2326" s="92"/>
    </row>
    <row r="2327" spans="1:18" x14ac:dyDescent="0.25">
      <c r="A2327" s="353">
        <v>43131</v>
      </c>
      <c r="B2327" s="353" t="s">
        <v>285</v>
      </c>
      <c r="C2327" s="263" t="s">
        <v>768</v>
      </c>
      <c r="D2327" s="157" t="s">
        <v>746</v>
      </c>
      <c r="E2327" s="44">
        <f t="shared" si="175"/>
        <v>43131</v>
      </c>
      <c r="F2327" s="146" t="str">
        <f t="shared" si="176"/>
        <v>2017-18</v>
      </c>
      <c r="G2327" s="1"/>
      <c r="H2327" s="161"/>
      <c r="I2327" s="37"/>
      <c r="J2327" s="135">
        <f t="shared" si="172"/>
        <v>0.76382508261777382</v>
      </c>
      <c r="K2327" s="112"/>
      <c r="L2327" s="37">
        <v>181.47939417200001</v>
      </c>
      <c r="M2327" s="37" t="s">
        <v>288</v>
      </c>
      <c r="N2327" s="37">
        <v>2326.8487804878046</v>
      </c>
      <c r="O2327" s="130">
        <f t="shared" si="173"/>
        <v>422275.10701278382</v>
      </c>
      <c r="P2327" s="132">
        <f t="shared" si="174"/>
        <v>322544.31850146886</v>
      </c>
      <c r="Q2327" s="261">
        <v>1</v>
      </c>
      <c r="R2327" s="92"/>
    </row>
    <row r="2328" spans="1:18" x14ac:dyDescent="0.25">
      <c r="A2328" s="353">
        <v>41873</v>
      </c>
      <c r="B2328" s="353" t="s">
        <v>285</v>
      </c>
      <c r="C2328" s="263" t="s">
        <v>763</v>
      </c>
      <c r="D2328" s="157" t="s">
        <v>773</v>
      </c>
      <c r="E2328" s="44">
        <f t="shared" si="175"/>
        <v>41873</v>
      </c>
      <c r="F2328" s="146" t="str">
        <f t="shared" si="176"/>
        <v>2014-15</v>
      </c>
      <c r="G2328" s="1"/>
      <c r="H2328" s="161"/>
      <c r="I2328" s="37"/>
      <c r="J2328" s="135">
        <f t="shared" si="172"/>
        <v>0.76382508261777382</v>
      </c>
      <c r="K2328" s="112"/>
      <c r="L2328" s="37">
        <v>154.16297695899999</v>
      </c>
      <c r="M2328" s="37" t="s">
        <v>288</v>
      </c>
      <c r="N2328" s="37">
        <v>2641.5239024390239</v>
      </c>
      <c r="O2328" s="130">
        <f t="shared" si="173"/>
        <v>407225.188508355</v>
      </c>
      <c r="P2328" s="132">
        <f t="shared" si="174"/>
        <v>311048.81325643277</v>
      </c>
      <c r="Q2328" s="261">
        <v>1</v>
      </c>
      <c r="R2328" s="92"/>
    </row>
    <row r="2329" spans="1:18" x14ac:dyDescent="0.25">
      <c r="A2329" s="353">
        <v>43777</v>
      </c>
      <c r="B2329" s="353" t="s">
        <v>285</v>
      </c>
      <c r="C2329" s="263" t="s">
        <v>769</v>
      </c>
      <c r="D2329" s="157" t="s">
        <v>767</v>
      </c>
      <c r="E2329" s="44">
        <f t="shared" si="175"/>
        <v>43777</v>
      </c>
      <c r="F2329" s="146" t="str">
        <f t="shared" si="176"/>
        <v>2019-20</v>
      </c>
      <c r="G2329" s="1"/>
      <c r="H2329" s="161"/>
      <c r="I2329" s="37"/>
      <c r="J2329" s="135">
        <f t="shared" si="172"/>
        <v>0.76382508261777382</v>
      </c>
      <c r="K2329" s="112"/>
      <c r="L2329" s="37">
        <v>119.56665850500001</v>
      </c>
      <c r="M2329" s="37" t="s">
        <v>288</v>
      </c>
      <c r="N2329" s="37">
        <v>950.87219512195099</v>
      </c>
      <c r="O2329" s="130">
        <f t="shared" si="173"/>
        <v>113692.61103604604</v>
      </c>
      <c r="P2329" s="132">
        <f t="shared" si="174"/>
        <v>86841.2680176383</v>
      </c>
      <c r="Q2329" s="261">
        <v>1</v>
      </c>
      <c r="R2329" s="92"/>
    </row>
    <row r="2330" spans="1:18" x14ac:dyDescent="0.25">
      <c r="A2330" s="353">
        <v>41873</v>
      </c>
      <c r="B2330" s="353" t="s">
        <v>285</v>
      </c>
      <c r="C2330" s="263" t="s">
        <v>763</v>
      </c>
      <c r="D2330" s="157" t="s">
        <v>773</v>
      </c>
      <c r="E2330" s="44">
        <f t="shared" si="175"/>
        <v>41873</v>
      </c>
      <c r="F2330" s="146" t="str">
        <f t="shared" si="176"/>
        <v>2014-15</v>
      </c>
      <c r="G2330" s="1"/>
      <c r="H2330" s="161"/>
      <c r="I2330" s="37"/>
      <c r="J2330" s="135">
        <f t="shared" ref="J2330:J2393" si="177">J2329</f>
        <v>0.76382508261777382</v>
      </c>
      <c r="K2330" s="112"/>
      <c r="L2330" s="37">
        <v>35.052272428800002</v>
      </c>
      <c r="M2330" s="37" t="s">
        <v>288</v>
      </c>
      <c r="N2330" s="37">
        <v>5215.3236967507846</v>
      </c>
      <c r="O2330" s="130">
        <f t="shared" ref="O2330:O2393" si="178">IF(N2330="","-",L2330*N2330)</f>
        <v>182808.94702288482</v>
      </c>
      <c r="P2330" s="132">
        <f t="shared" ref="P2330:P2393" si="179">IF(O2330="-","-",IF(OR(E2330&lt;$E$15,E2330&gt;$E$16),0,O2330*J2330))*Q2330</f>
        <v>139634.05906302325</v>
      </c>
      <c r="Q2330" s="261">
        <v>1</v>
      </c>
      <c r="R2330" s="92"/>
    </row>
    <row r="2331" spans="1:18" x14ac:dyDescent="0.25">
      <c r="A2331" s="353">
        <v>41873</v>
      </c>
      <c r="B2331" s="353" t="s">
        <v>285</v>
      </c>
      <c r="C2331" s="263" t="s">
        <v>763</v>
      </c>
      <c r="D2331" s="157" t="s">
        <v>766</v>
      </c>
      <c r="E2331" s="44">
        <f t="shared" ref="E2331:E2394" si="180">IF(VALUE(A2331)&lt;2022,DATEVALUE("30 Jun "&amp;A2331),A2331)</f>
        <v>41873</v>
      </c>
      <c r="F2331" s="146" t="str">
        <f t="shared" si="176"/>
        <v>2014-15</v>
      </c>
      <c r="G2331" s="1"/>
      <c r="H2331" s="161"/>
      <c r="I2331" s="37"/>
      <c r="J2331" s="135">
        <f t="shared" si="177"/>
        <v>0.76382508261777382</v>
      </c>
      <c r="K2331" s="112"/>
      <c r="L2331" s="37">
        <v>97.284261342700006</v>
      </c>
      <c r="M2331" s="37" t="s">
        <v>288</v>
      </c>
      <c r="N2331" s="37">
        <v>2326.8487804878046</v>
      </c>
      <c r="O2331" s="130">
        <f t="shared" si="178"/>
        <v>226365.76486591838</v>
      </c>
      <c r="P2331" s="132">
        <f t="shared" si="179"/>
        <v>172903.84905054566</v>
      </c>
      <c r="Q2331" s="261">
        <v>1</v>
      </c>
      <c r="R2331" s="92"/>
    </row>
    <row r="2332" spans="1:18" x14ac:dyDescent="0.25">
      <c r="A2332" s="353">
        <v>41873</v>
      </c>
      <c r="B2332" s="353" t="s">
        <v>285</v>
      </c>
      <c r="C2332" s="263" t="s">
        <v>763</v>
      </c>
      <c r="D2332" s="157" t="s">
        <v>764</v>
      </c>
      <c r="E2332" s="44">
        <f t="shared" si="180"/>
        <v>41873</v>
      </c>
      <c r="F2332" s="146" t="str">
        <f t="shared" si="176"/>
        <v>2014-15</v>
      </c>
      <c r="G2332" s="1"/>
      <c r="H2332" s="161"/>
      <c r="I2332" s="37"/>
      <c r="J2332" s="135">
        <f t="shared" si="177"/>
        <v>0.76382508261777382</v>
      </c>
      <c r="K2332" s="112"/>
      <c r="L2332" s="37">
        <v>89.8830553831</v>
      </c>
      <c r="M2332" s="37" t="s">
        <v>288</v>
      </c>
      <c r="N2332" s="37">
        <v>3906.7707317073164</v>
      </c>
      <c r="O2332" s="130">
        <f t="shared" si="178"/>
        <v>351152.49004712282</v>
      </c>
      <c r="P2332" s="132">
        <f t="shared" si="179"/>
        <v>268219.07972168061</v>
      </c>
      <c r="Q2332" s="261">
        <v>1</v>
      </c>
      <c r="R2332" s="92"/>
    </row>
    <row r="2333" spans="1:18" x14ac:dyDescent="0.25">
      <c r="A2333" s="353">
        <v>41873</v>
      </c>
      <c r="B2333" s="353" t="s">
        <v>285</v>
      </c>
      <c r="C2333" s="263" t="s">
        <v>763</v>
      </c>
      <c r="D2333" s="157" t="s">
        <v>764</v>
      </c>
      <c r="E2333" s="44">
        <f t="shared" si="180"/>
        <v>41873</v>
      </c>
      <c r="F2333" s="146" t="str">
        <f t="shared" si="176"/>
        <v>2014-15</v>
      </c>
      <c r="G2333" s="1"/>
      <c r="H2333" s="161"/>
      <c r="I2333" s="37"/>
      <c r="J2333" s="135">
        <f t="shared" si="177"/>
        <v>0.76382508261777382</v>
      </c>
      <c r="K2333" s="112"/>
      <c r="L2333" s="37">
        <v>60.682868637299997</v>
      </c>
      <c r="M2333" s="37" t="s">
        <v>288</v>
      </c>
      <c r="N2333" s="37">
        <v>5215.3236967507846</v>
      </c>
      <c r="O2333" s="130">
        <f t="shared" si="178"/>
        <v>316480.80279092566</v>
      </c>
      <c r="P2333" s="132">
        <f t="shared" si="179"/>
        <v>241735.97533871818</v>
      </c>
      <c r="Q2333" s="261">
        <v>1</v>
      </c>
      <c r="R2333" s="92"/>
    </row>
    <row r="2334" spans="1:18" x14ac:dyDescent="0.25">
      <c r="A2334" s="353">
        <v>41873</v>
      </c>
      <c r="B2334" s="353" t="s">
        <v>285</v>
      </c>
      <c r="C2334" s="263" t="s">
        <v>763</v>
      </c>
      <c r="D2334" s="157" t="s">
        <v>764</v>
      </c>
      <c r="E2334" s="44">
        <f t="shared" si="180"/>
        <v>41873</v>
      </c>
      <c r="F2334" s="146" t="str">
        <f t="shared" si="176"/>
        <v>2014-15</v>
      </c>
      <c r="G2334" s="1"/>
      <c r="H2334" s="161"/>
      <c r="I2334" s="37"/>
      <c r="J2334" s="135">
        <f t="shared" si="177"/>
        <v>0.76382508261777382</v>
      </c>
      <c r="K2334" s="112"/>
      <c r="L2334" s="37">
        <v>39.218585198900001</v>
      </c>
      <c r="M2334" s="37" t="s">
        <v>288</v>
      </c>
      <c r="N2334" s="37">
        <v>2641.5239024390239</v>
      </c>
      <c r="O2334" s="130">
        <f t="shared" si="178"/>
        <v>103596.83022273568</v>
      </c>
      <c r="P2334" s="132">
        <f t="shared" si="179"/>
        <v>79129.85740382057</v>
      </c>
      <c r="Q2334" s="261">
        <v>1</v>
      </c>
      <c r="R2334" s="92"/>
    </row>
    <row r="2335" spans="1:18" x14ac:dyDescent="0.25">
      <c r="A2335" s="353">
        <v>41873</v>
      </c>
      <c r="B2335" s="353" t="s">
        <v>285</v>
      </c>
      <c r="C2335" s="263" t="s">
        <v>763</v>
      </c>
      <c r="D2335" s="157" t="s">
        <v>773</v>
      </c>
      <c r="E2335" s="44">
        <f t="shared" si="180"/>
        <v>41873</v>
      </c>
      <c r="F2335" s="146" t="str">
        <f t="shared" si="176"/>
        <v>2014-15</v>
      </c>
      <c r="G2335" s="1"/>
      <c r="H2335" s="161"/>
      <c r="I2335" s="37"/>
      <c r="J2335" s="135">
        <f t="shared" si="177"/>
        <v>0.76382508261777382</v>
      </c>
      <c r="K2335" s="112"/>
      <c r="L2335" s="37">
        <v>95.475120120400007</v>
      </c>
      <c r="M2335" s="37" t="s">
        <v>288</v>
      </c>
      <c r="N2335" s="37">
        <v>2641.5239024390239</v>
      </c>
      <c r="O2335" s="130">
        <f t="shared" si="178"/>
        <v>252199.81188627359</v>
      </c>
      <c r="P2335" s="132">
        <f t="shared" si="179"/>
        <v>192636.54215021993</v>
      </c>
      <c r="Q2335" s="261">
        <v>1</v>
      </c>
      <c r="R2335" s="92"/>
    </row>
    <row r="2336" spans="1:18" x14ac:dyDescent="0.25">
      <c r="A2336" s="353">
        <v>41873</v>
      </c>
      <c r="B2336" s="353" t="s">
        <v>285</v>
      </c>
      <c r="C2336" s="263" t="s">
        <v>763</v>
      </c>
      <c r="D2336" s="157" t="s">
        <v>746</v>
      </c>
      <c r="E2336" s="44">
        <f t="shared" si="180"/>
        <v>41873</v>
      </c>
      <c r="F2336" s="146" t="str">
        <f t="shared" si="176"/>
        <v>2014-15</v>
      </c>
      <c r="G2336" s="1"/>
      <c r="H2336" s="161"/>
      <c r="I2336" s="37"/>
      <c r="J2336" s="135">
        <f t="shared" si="177"/>
        <v>0.76382508261777382</v>
      </c>
      <c r="K2336" s="112"/>
      <c r="L2336" s="37">
        <v>105.455013904</v>
      </c>
      <c r="M2336" s="37" t="s">
        <v>288</v>
      </c>
      <c r="N2336" s="37">
        <v>5056.6624390243896</v>
      </c>
      <c r="O2336" s="130">
        <f t="shared" si="178"/>
        <v>533250.4078151515</v>
      </c>
      <c r="P2336" s="132">
        <f t="shared" si="179"/>
        <v>407310.03680536966</v>
      </c>
      <c r="Q2336" s="261">
        <v>1</v>
      </c>
      <c r="R2336" s="92"/>
    </row>
    <row r="2337" spans="1:18" x14ac:dyDescent="0.25">
      <c r="A2337" s="353">
        <v>41873</v>
      </c>
      <c r="B2337" s="353" t="s">
        <v>285</v>
      </c>
      <c r="C2337" s="263" t="s">
        <v>763</v>
      </c>
      <c r="D2337" s="157" t="s">
        <v>766</v>
      </c>
      <c r="E2337" s="44">
        <f t="shared" si="180"/>
        <v>41873</v>
      </c>
      <c r="F2337" s="146" t="str">
        <f t="shared" si="176"/>
        <v>2014-15</v>
      </c>
      <c r="G2337" s="1"/>
      <c r="H2337" s="161"/>
      <c r="I2337" s="37"/>
      <c r="J2337" s="135">
        <f t="shared" si="177"/>
        <v>0.76382508261777382</v>
      </c>
      <c r="K2337" s="112"/>
      <c r="L2337" s="37">
        <v>17.491242380100001</v>
      </c>
      <c r="M2337" s="37" t="s">
        <v>288</v>
      </c>
      <c r="N2337" s="37">
        <v>2326.8487804878046</v>
      </c>
      <c r="O2337" s="130">
        <f t="shared" si="178"/>
        <v>40699.47600135229</v>
      </c>
      <c r="P2337" s="132">
        <f t="shared" si="179"/>
        <v>31087.280619233017</v>
      </c>
      <c r="Q2337" s="261">
        <v>1</v>
      </c>
      <c r="R2337" s="92"/>
    </row>
    <row r="2338" spans="1:18" x14ac:dyDescent="0.25">
      <c r="A2338" s="353">
        <v>42307</v>
      </c>
      <c r="B2338" s="353" t="s">
        <v>285</v>
      </c>
      <c r="C2338" s="263" t="s">
        <v>774</v>
      </c>
      <c r="D2338" s="157" t="s">
        <v>767</v>
      </c>
      <c r="E2338" s="44">
        <f t="shared" si="180"/>
        <v>42307</v>
      </c>
      <c r="F2338" s="146" t="str">
        <f t="shared" si="176"/>
        <v>2015-16</v>
      </c>
      <c r="G2338" s="1"/>
      <c r="H2338" s="161"/>
      <c r="I2338" s="37"/>
      <c r="J2338" s="135">
        <f t="shared" si="177"/>
        <v>0.76382508261777382</v>
      </c>
      <c r="K2338" s="112"/>
      <c r="L2338" s="37">
        <v>6.1844787977599998</v>
      </c>
      <c r="M2338" s="37" t="s">
        <v>288</v>
      </c>
      <c r="N2338" s="37">
        <v>1162.6195121951216</v>
      </c>
      <c r="O2338" s="130">
        <f t="shared" si="178"/>
        <v>7190.1957230328035</v>
      </c>
      <c r="P2338" s="132">
        <f t="shared" si="179"/>
        <v>5492.051842183495</v>
      </c>
      <c r="Q2338" s="261">
        <v>1</v>
      </c>
      <c r="R2338" s="92"/>
    </row>
    <row r="2339" spans="1:18" x14ac:dyDescent="0.25">
      <c r="A2339" s="353">
        <v>41873</v>
      </c>
      <c r="B2339" s="353" t="s">
        <v>285</v>
      </c>
      <c r="C2339" s="263" t="s">
        <v>763</v>
      </c>
      <c r="D2339" s="157" t="s">
        <v>746</v>
      </c>
      <c r="E2339" s="44">
        <f t="shared" si="180"/>
        <v>41873</v>
      </c>
      <c r="F2339" s="146" t="str">
        <f t="shared" si="176"/>
        <v>2014-15</v>
      </c>
      <c r="G2339" s="1"/>
      <c r="H2339" s="161"/>
      <c r="I2339" s="37"/>
      <c r="J2339" s="135">
        <f t="shared" si="177"/>
        <v>0.76382508261777382</v>
      </c>
      <c r="K2339" s="112"/>
      <c r="L2339" s="37">
        <v>54.507740780600002</v>
      </c>
      <c r="M2339" s="37" t="s">
        <v>288</v>
      </c>
      <c r="N2339" s="37">
        <v>2326.8487804878046</v>
      </c>
      <c r="O2339" s="130">
        <f t="shared" si="178"/>
        <v>126831.27016248449</v>
      </c>
      <c r="P2339" s="132">
        <f t="shared" si="179"/>
        <v>96876.905410376916</v>
      </c>
      <c r="Q2339" s="261">
        <v>1</v>
      </c>
      <c r="R2339" s="92"/>
    </row>
    <row r="2340" spans="1:18" x14ac:dyDescent="0.25">
      <c r="A2340" s="353">
        <v>41873</v>
      </c>
      <c r="B2340" s="353" t="s">
        <v>285</v>
      </c>
      <c r="C2340" s="263" t="s">
        <v>763</v>
      </c>
      <c r="D2340" s="157" t="s">
        <v>764</v>
      </c>
      <c r="E2340" s="44">
        <f t="shared" si="180"/>
        <v>41873</v>
      </c>
      <c r="F2340" s="146" t="str">
        <f t="shared" si="176"/>
        <v>2014-15</v>
      </c>
      <c r="G2340" s="1"/>
      <c r="H2340" s="161"/>
      <c r="I2340" s="37"/>
      <c r="J2340" s="135">
        <f t="shared" si="177"/>
        <v>0.76382508261777382</v>
      </c>
      <c r="K2340" s="112"/>
      <c r="L2340" s="37">
        <v>137.568119454</v>
      </c>
      <c r="M2340" s="37" t="s">
        <v>288</v>
      </c>
      <c r="N2340" s="37">
        <v>3906.7707317073164</v>
      </c>
      <c r="O2340" s="130">
        <f t="shared" si="178"/>
        <v>537447.10269890307</v>
      </c>
      <c r="P2340" s="132">
        <f t="shared" si="179"/>
        <v>410515.57762167283</v>
      </c>
      <c r="Q2340" s="261">
        <v>1</v>
      </c>
      <c r="R2340" s="92"/>
    </row>
    <row r="2341" spans="1:18" x14ac:dyDescent="0.25">
      <c r="A2341" s="353">
        <v>41873</v>
      </c>
      <c r="B2341" s="353" t="s">
        <v>285</v>
      </c>
      <c r="C2341" s="263" t="s">
        <v>763</v>
      </c>
      <c r="D2341" s="157" t="s">
        <v>767</v>
      </c>
      <c r="E2341" s="44">
        <f t="shared" si="180"/>
        <v>41873</v>
      </c>
      <c r="F2341" s="146" t="str">
        <f t="shared" si="176"/>
        <v>2014-15</v>
      </c>
      <c r="G2341" s="1"/>
      <c r="H2341" s="161"/>
      <c r="I2341" s="37"/>
      <c r="J2341" s="135">
        <f t="shared" si="177"/>
        <v>0.76382508261777382</v>
      </c>
      <c r="K2341" s="112"/>
      <c r="L2341" s="37">
        <v>135.32801659099999</v>
      </c>
      <c r="M2341" s="37" t="s">
        <v>288</v>
      </c>
      <c r="N2341" s="37">
        <v>3875.3912195121943</v>
      </c>
      <c r="O2341" s="130">
        <f t="shared" si="178"/>
        <v>524449.00725076196</v>
      </c>
      <c r="P2341" s="132">
        <f t="shared" si="179"/>
        <v>400587.3062921227</v>
      </c>
      <c r="Q2341" s="261">
        <v>1</v>
      </c>
      <c r="R2341" s="92"/>
    </row>
    <row r="2342" spans="1:18" x14ac:dyDescent="0.25">
      <c r="A2342" s="353">
        <v>41901</v>
      </c>
      <c r="B2342" s="353" t="s">
        <v>285</v>
      </c>
      <c r="C2342" s="263" t="s">
        <v>763</v>
      </c>
      <c r="D2342" s="157" t="s">
        <v>767</v>
      </c>
      <c r="E2342" s="44">
        <f t="shared" si="180"/>
        <v>41901</v>
      </c>
      <c r="F2342" s="146" t="str">
        <f t="shared" si="176"/>
        <v>2014-15</v>
      </c>
      <c r="G2342" s="1"/>
      <c r="H2342" s="161"/>
      <c r="I2342" s="37"/>
      <c r="J2342" s="135">
        <f t="shared" si="177"/>
        <v>0.76382508261777382</v>
      </c>
      <c r="K2342" s="112"/>
      <c r="L2342" s="37">
        <v>13.716808520900001</v>
      </c>
      <c r="M2342" s="37" t="s">
        <v>288</v>
      </c>
      <c r="N2342" s="37">
        <v>1162.6195121951216</v>
      </c>
      <c r="O2342" s="130">
        <f t="shared" si="178"/>
        <v>15947.429231442646</v>
      </c>
      <c r="P2342" s="132">
        <f t="shared" si="179"/>
        <v>12181.046450247781</v>
      </c>
      <c r="Q2342" s="261">
        <v>1</v>
      </c>
      <c r="R2342" s="92"/>
    </row>
    <row r="2343" spans="1:18" x14ac:dyDescent="0.25">
      <c r="A2343" s="353">
        <v>43131</v>
      </c>
      <c r="B2343" s="353" t="s">
        <v>285</v>
      </c>
      <c r="C2343" s="263" t="s">
        <v>768</v>
      </c>
      <c r="D2343" s="157" t="s">
        <v>746</v>
      </c>
      <c r="E2343" s="44">
        <f t="shared" si="180"/>
        <v>43131</v>
      </c>
      <c r="F2343" s="146" t="str">
        <f t="shared" si="176"/>
        <v>2017-18</v>
      </c>
      <c r="G2343" s="1"/>
      <c r="H2343" s="161"/>
      <c r="I2343" s="37"/>
      <c r="J2343" s="135">
        <f t="shared" si="177"/>
        <v>0.76382508261777382</v>
      </c>
      <c r="K2343" s="112"/>
      <c r="L2343" s="37">
        <v>179.086755907</v>
      </c>
      <c r="M2343" s="37" t="s">
        <v>288</v>
      </c>
      <c r="N2343" s="37">
        <v>5056.6624390243896</v>
      </c>
      <c r="O2343" s="130">
        <f t="shared" si="178"/>
        <v>905581.27192165609</v>
      </c>
      <c r="P2343" s="132">
        <f t="shared" si="179"/>
        <v>691705.68984266766</v>
      </c>
      <c r="Q2343" s="261">
        <v>1</v>
      </c>
      <c r="R2343" s="92"/>
    </row>
    <row r="2344" spans="1:18" x14ac:dyDescent="0.25">
      <c r="A2344" s="353">
        <v>41859</v>
      </c>
      <c r="B2344" s="353" t="s">
        <v>285</v>
      </c>
      <c r="C2344" s="263" t="s">
        <v>763</v>
      </c>
      <c r="D2344" s="157" t="s">
        <v>746</v>
      </c>
      <c r="E2344" s="44">
        <f t="shared" si="180"/>
        <v>41859</v>
      </c>
      <c r="F2344" s="146" t="str">
        <f t="shared" si="176"/>
        <v>2014-15</v>
      </c>
      <c r="G2344" s="1"/>
      <c r="H2344" s="161"/>
      <c r="I2344" s="37"/>
      <c r="J2344" s="135">
        <f t="shared" si="177"/>
        <v>0.76382508261777382</v>
      </c>
      <c r="K2344" s="112"/>
      <c r="L2344" s="37">
        <v>149.40759903700001</v>
      </c>
      <c r="M2344" s="37" t="s">
        <v>288</v>
      </c>
      <c r="N2344" s="37">
        <v>2005.9707317073169</v>
      </c>
      <c r="O2344" s="130">
        <f t="shared" si="178"/>
        <v>299707.27076288435</v>
      </c>
      <c r="P2344" s="132">
        <f t="shared" si="179"/>
        <v>228923.93085160764</v>
      </c>
      <c r="Q2344" s="261">
        <v>1</v>
      </c>
      <c r="R2344" s="92"/>
    </row>
    <row r="2345" spans="1:18" x14ac:dyDescent="0.25">
      <c r="A2345" s="353">
        <v>43131</v>
      </c>
      <c r="B2345" s="353" t="s">
        <v>285</v>
      </c>
      <c r="C2345" s="263" t="s">
        <v>768</v>
      </c>
      <c r="D2345" s="157" t="s">
        <v>746</v>
      </c>
      <c r="E2345" s="44">
        <f t="shared" si="180"/>
        <v>43131</v>
      </c>
      <c r="F2345" s="146" t="str">
        <f t="shared" si="176"/>
        <v>2017-18</v>
      </c>
      <c r="G2345" s="1"/>
      <c r="H2345" s="161"/>
      <c r="I2345" s="37"/>
      <c r="J2345" s="135">
        <f t="shared" si="177"/>
        <v>0.76382508261777382</v>
      </c>
      <c r="K2345" s="112"/>
      <c r="L2345" s="37">
        <v>180.18043080800001</v>
      </c>
      <c r="M2345" s="37" t="s">
        <v>288</v>
      </c>
      <c r="N2345" s="37">
        <v>5056.6624390243896</v>
      </c>
      <c r="O2345" s="130">
        <f t="shared" si="178"/>
        <v>911111.61671404657</v>
      </c>
      <c r="P2345" s="132">
        <f t="shared" si="179"/>
        <v>695929.90591062012</v>
      </c>
      <c r="Q2345" s="261">
        <v>1</v>
      </c>
      <c r="R2345" s="92"/>
    </row>
    <row r="2346" spans="1:18" x14ac:dyDescent="0.25">
      <c r="A2346" s="353">
        <v>41859</v>
      </c>
      <c r="B2346" s="353" t="s">
        <v>285</v>
      </c>
      <c r="C2346" s="263" t="s">
        <v>763</v>
      </c>
      <c r="D2346" s="157" t="s">
        <v>746</v>
      </c>
      <c r="E2346" s="44">
        <f t="shared" si="180"/>
        <v>41859</v>
      </c>
      <c r="F2346" s="146" t="str">
        <f t="shared" si="176"/>
        <v>2014-15</v>
      </c>
      <c r="G2346" s="1"/>
      <c r="H2346" s="161"/>
      <c r="I2346" s="37"/>
      <c r="J2346" s="135">
        <f t="shared" si="177"/>
        <v>0.76382508261777382</v>
      </c>
      <c r="K2346" s="112"/>
      <c r="L2346" s="37">
        <v>101.162056943</v>
      </c>
      <c r="M2346" s="37" t="s">
        <v>288</v>
      </c>
      <c r="N2346" s="37">
        <v>2005.9707317073169</v>
      </c>
      <c r="O2346" s="130">
        <f t="shared" si="178"/>
        <v>202928.12538696695</v>
      </c>
      <c r="P2346" s="132">
        <f t="shared" si="179"/>
        <v>155001.59213916998</v>
      </c>
      <c r="Q2346" s="261">
        <v>1</v>
      </c>
      <c r="R2346" s="92"/>
    </row>
    <row r="2347" spans="1:18" x14ac:dyDescent="0.25">
      <c r="A2347" s="353">
        <v>41873</v>
      </c>
      <c r="B2347" s="353" t="s">
        <v>285</v>
      </c>
      <c r="C2347" s="263" t="s">
        <v>763</v>
      </c>
      <c r="D2347" s="157" t="s">
        <v>773</v>
      </c>
      <c r="E2347" s="44">
        <f t="shared" si="180"/>
        <v>41873</v>
      </c>
      <c r="F2347" s="146" t="str">
        <f t="shared" si="176"/>
        <v>2014-15</v>
      </c>
      <c r="G2347" s="1"/>
      <c r="H2347" s="161"/>
      <c r="I2347" s="37"/>
      <c r="J2347" s="135">
        <f t="shared" si="177"/>
        <v>0.76382508261777382</v>
      </c>
      <c r="K2347" s="112"/>
      <c r="L2347" s="37">
        <v>179.021951852</v>
      </c>
      <c r="M2347" s="37" t="s">
        <v>288</v>
      </c>
      <c r="N2347" s="37">
        <v>2641.5239024390239</v>
      </c>
      <c r="O2347" s="130">
        <f t="shared" si="178"/>
        <v>472890.76487834606</v>
      </c>
      <c r="P2347" s="132">
        <f t="shared" si="179"/>
        <v>361205.82755238493</v>
      </c>
      <c r="Q2347" s="261">
        <v>1</v>
      </c>
      <c r="R2347" s="92"/>
    </row>
    <row r="2348" spans="1:18" x14ac:dyDescent="0.25">
      <c r="A2348" s="353">
        <v>41873</v>
      </c>
      <c r="B2348" s="353" t="s">
        <v>285</v>
      </c>
      <c r="C2348" s="263" t="s">
        <v>763</v>
      </c>
      <c r="D2348" s="157" t="s">
        <v>746</v>
      </c>
      <c r="E2348" s="44">
        <f t="shared" si="180"/>
        <v>41873</v>
      </c>
      <c r="F2348" s="146" t="str">
        <f t="shared" si="176"/>
        <v>2014-15</v>
      </c>
      <c r="G2348" s="1"/>
      <c r="H2348" s="161"/>
      <c r="I2348" s="37"/>
      <c r="J2348" s="135">
        <f t="shared" si="177"/>
        <v>0.76382508261777382</v>
      </c>
      <c r="K2348" s="112"/>
      <c r="L2348" s="37">
        <v>69.402012369999994</v>
      </c>
      <c r="M2348" s="37" t="s">
        <v>288</v>
      </c>
      <c r="N2348" s="37">
        <v>2005.9707317073169</v>
      </c>
      <c r="O2348" s="130">
        <f t="shared" si="178"/>
        <v>139218.40553580914</v>
      </c>
      <c r="P2348" s="132">
        <f t="shared" si="179"/>
        <v>106338.51011030415</v>
      </c>
      <c r="Q2348" s="261">
        <v>1</v>
      </c>
      <c r="R2348" s="92"/>
    </row>
    <row r="2349" spans="1:18" x14ac:dyDescent="0.25">
      <c r="A2349" s="353">
        <v>41873</v>
      </c>
      <c r="B2349" s="353" t="s">
        <v>285</v>
      </c>
      <c r="C2349" s="263" t="s">
        <v>763</v>
      </c>
      <c r="D2349" s="157" t="s">
        <v>746</v>
      </c>
      <c r="E2349" s="44">
        <f t="shared" si="180"/>
        <v>41873</v>
      </c>
      <c r="F2349" s="146" t="str">
        <f t="shared" si="176"/>
        <v>2014-15</v>
      </c>
      <c r="G2349" s="1"/>
      <c r="H2349" s="161"/>
      <c r="I2349" s="37"/>
      <c r="J2349" s="135">
        <f t="shared" si="177"/>
        <v>0.76382508261777382</v>
      </c>
      <c r="K2349" s="112"/>
      <c r="L2349" s="37">
        <v>179.50514492900001</v>
      </c>
      <c r="M2349" s="37" t="s">
        <v>288</v>
      </c>
      <c r="N2349" s="37">
        <v>2326.8487804878046</v>
      </c>
      <c r="O2349" s="130">
        <f t="shared" si="178"/>
        <v>417681.32756933029</v>
      </c>
      <c r="P2349" s="132">
        <f t="shared" si="179"/>
        <v>319035.47453854518</v>
      </c>
      <c r="Q2349" s="261">
        <v>1</v>
      </c>
      <c r="R2349" s="92"/>
    </row>
    <row r="2350" spans="1:18" x14ac:dyDescent="0.25">
      <c r="A2350" s="353">
        <v>41873</v>
      </c>
      <c r="B2350" s="353" t="s">
        <v>285</v>
      </c>
      <c r="C2350" s="263" t="s">
        <v>763</v>
      </c>
      <c r="D2350" s="157" t="s">
        <v>746</v>
      </c>
      <c r="E2350" s="44">
        <f t="shared" si="180"/>
        <v>41873</v>
      </c>
      <c r="F2350" s="146" t="str">
        <f t="shared" si="176"/>
        <v>2014-15</v>
      </c>
      <c r="G2350" s="1"/>
      <c r="H2350" s="161"/>
      <c r="I2350" s="37"/>
      <c r="J2350" s="135">
        <f t="shared" si="177"/>
        <v>0.76382508261777382</v>
      </c>
      <c r="K2350" s="112"/>
      <c r="L2350" s="37">
        <v>111.80908245800001</v>
      </c>
      <c r="M2350" s="37" t="s">
        <v>288</v>
      </c>
      <c r="N2350" s="37">
        <v>2326.8487804878046</v>
      </c>
      <c r="O2350" s="130">
        <f t="shared" si="178"/>
        <v>260162.82716485771</v>
      </c>
      <c r="P2350" s="132">
        <f t="shared" si="179"/>
        <v>198718.89295327105</v>
      </c>
      <c r="Q2350" s="261">
        <v>1</v>
      </c>
      <c r="R2350" s="92"/>
    </row>
    <row r="2351" spans="1:18" x14ac:dyDescent="0.25">
      <c r="A2351" s="353">
        <v>41873</v>
      </c>
      <c r="B2351" s="353" t="s">
        <v>285</v>
      </c>
      <c r="C2351" s="263" t="s">
        <v>763</v>
      </c>
      <c r="D2351" s="157" t="s">
        <v>772</v>
      </c>
      <c r="E2351" s="44">
        <f t="shared" si="180"/>
        <v>41873</v>
      </c>
      <c r="F2351" s="146" t="str">
        <f t="shared" si="176"/>
        <v>2014-15</v>
      </c>
      <c r="G2351" s="1"/>
      <c r="H2351" s="161"/>
      <c r="I2351" s="37"/>
      <c r="J2351" s="135">
        <f t="shared" si="177"/>
        <v>0.76382508261777382</v>
      </c>
      <c r="K2351" s="112"/>
      <c r="L2351" s="37">
        <v>148.63676608399999</v>
      </c>
      <c r="M2351" s="37" t="s">
        <v>288</v>
      </c>
      <c r="N2351" s="37">
        <v>5056.6624390243896</v>
      </c>
      <c r="O2351" s="130">
        <f t="shared" si="178"/>
        <v>751605.95211501711</v>
      </c>
      <c r="P2351" s="132">
        <f t="shared" si="179"/>
        <v>574095.47847026354</v>
      </c>
      <c r="Q2351" s="261">
        <v>1</v>
      </c>
      <c r="R2351" s="92"/>
    </row>
    <row r="2352" spans="1:18" x14ac:dyDescent="0.25">
      <c r="A2352" s="353">
        <v>41873</v>
      </c>
      <c r="B2352" s="353" t="s">
        <v>285</v>
      </c>
      <c r="C2352" s="263" t="s">
        <v>763</v>
      </c>
      <c r="D2352" s="157" t="s">
        <v>746</v>
      </c>
      <c r="E2352" s="44">
        <f t="shared" si="180"/>
        <v>41873</v>
      </c>
      <c r="F2352" s="146" t="str">
        <f t="shared" si="176"/>
        <v>2014-15</v>
      </c>
      <c r="G2352" s="1"/>
      <c r="H2352" s="161"/>
      <c r="I2352" s="37"/>
      <c r="J2352" s="135">
        <f t="shared" si="177"/>
        <v>0.76382508261777382</v>
      </c>
      <c r="K2352" s="112"/>
      <c r="L2352" s="37">
        <v>182.58845501600001</v>
      </c>
      <c r="M2352" s="37" t="s">
        <v>288</v>
      </c>
      <c r="N2352" s="37">
        <v>2326.8487804878046</v>
      </c>
      <c r="O2352" s="130">
        <f t="shared" si="178"/>
        <v>424855.723885132</v>
      </c>
      <c r="P2352" s="132">
        <f t="shared" si="179"/>
        <v>324515.45839719503</v>
      </c>
      <c r="Q2352" s="261">
        <v>1</v>
      </c>
      <c r="R2352" s="92"/>
    </row>
    <row r="2353" spans="1:18" x14ac:dyDescent="0.25">
      <c r="A2353" s="353">
        <v>41873</v>
      </c>
      <c r="B2353" s="353" t="s">
        <v>285</v>
      </c>
      <c r="C2353" s="263" t="s">
        <v>763</v>
      </c>
      <c r="D2353" s="157" t="s">
        <v>746</v>
      </c>
      <c r="E2353" s="44">
        <f t="shared" si="180"/>
        <v>41873</v>
      </c>
      <c r="F2353" s="146" t="str">
        <f t="shared" si="176"/>
        <v>2014-15</v>
      </c>
      <c r="G2353" s="1"/>
      <c r="H2353" s="161"/>
      <c r="I2353" s="37"/>
      <c r="J2353" s="135">
        <f t="shared" si="177"/>
        <v>0.76382508261777382</v>
      </c>
      <c r="K2353" s="112"/>
      <c r="L2353" s="37">
        <v>94.548486730099995</v>
      </c>
      <c r="M2353" s="37" t="s">
        <v>288</v>
      </c>
      <c r="N2353" s="37">
        <v>5056.6624390243896</v>
      </c>
      <c r="O2353" s="130">
        <f t="shared" si="178"/>
        <v>478099.78151469259</v>
      </c>
      <c r="P2353" s="132">
        <f t="shared" si="179"/>
        <v>365184.60511499969</v>
      </c>
      <c r="Q2353" s="261">
        <v>1</v>
      </c>
      <c r="R2353" s="92"/>
    </row>
    <row r="2354" spans="1:18" x14ac:dyDescent="0.25">
      <c r="A2354" s="353">
        <v>41901</v>
      </c>
      <c r="B2354" s="353" t="s">
        <v>285</v>
      </c>
      <c r="C2354" s="263" t="s">
        <v>763</v>
      </c>
      <c r="D2354" s="157" t="s">
        <v>724</v>
      </c>
      <c r="E2354" s="44">
        <f t="shared" si="180"/>
        <v>41901</v>
      </c>
      <c r="F2354" s="146" t="str">
        <f t="shared" si="176"/>
        <v>2014-15</v>
      </c>
      <c r="G2354" s="1"/>
      <c r="H2354" s="161"/>
      <c r="I2354" s="37"/>
      <c r="J2354" s="135">
        <f t="shared" si="177"/>
        <v>0.76382508261777382</v>
      </c>
      <c r="K2354" s="112"/>
      <c r="L2354" s="37">
        <v>35.9765385356</v>
      </c>
      <c r="M2354" s="37" t="s">
        <v>288</v>
      </c>
      <c r="N2354" s="37">
        <v>812.22926829268283</v>
      </c>
      <c r="O2354" s="130">
        <f t="shared" si="178"/>
        <v>29221.197570473894</v>
      </c>
      <c r="P2354" s="132">
        <f t="shared" si="179"/>
        <v>22319.883648457515</v>
      </c>
      <c r="Q2354" s="261">
        <v>1</v>
      </c>
      <c r="R2354" s="92"/>
    </row>
    <row r="2355" spans="1:18" x14ac:dyDescent="0.25">
      <c r="A2355" s="353">
        <v>41901</v>
      </c>
      <c r="B2355" s="353" t="s">
        <v>285</v>
      </c>
      <c r="C2355" s="263" t="s">
        <v>763</v>
      </c>
      <c r="D2355" s="157" t="s">
        <v>724</v>
      </c>
      <c r="E2355" s="44">
        <f t="shared" si="180"/>
        <v>41901</v>
      </c>
      <c r="F2355" s="146" t="str">
        <f t="shared" si="176"/>
        <v>2014-15</v>
      </c>
      <c r="G2355" s="1"/>
      <c r="H2355" s="161"/>
      <c r="I2355" s="37"/>
      <c r="J2355" s="135">
        <f t="shared" si="177"/>
        <v>0.76382508261777382</v>
      </c>
      <c r="K2355" s="112"/>
      <c r="L2355" s="37">
        <v>147.687002302</v>
      </c>
      <c r="M2355" s="37" t="s">
        <v>288</v>
      </c>
      <c r="N2355" s="37">
        <v>812.22926829268283</v>
      </c>
      <c r="O2355" s="130">
        <f t="shared" si="178"/>
        <v>119955.70581609322</v>
      </c>
      <c r="P2355" s="132">
        <f t="shared" si="179"/>
        <v>91625.176905450775</v>
      </c>
      <c r="Q2355" s="261">
        <v>1</v>
      </c>
      <c r="R2355" s="92"/>
    </row>
    <row r="2356" spans="1:18" x14ac:dyDescent="0.25">
      <c r="A2356" s="353">
        <v>41901</v>
      </c>
      <c r="B2356" s="353" t="s">
        <v>285</v>
      </c>
      <c r="C2356" s="263" t="s">
        <v>763</v>
      </c>
      <c r="D2356" s="157" t="s">
        <v>724</v>
      </c>
      <c r="E2356" s="44">
        <f t="shared" si="180"/>
        <v>41901</v>
      </c>
      <c r="F2356" s="146" t="str">
        <f t="shared" si="176"/>
        <v>2014-15</v>
      </c>
      <c r="G2356" s="1"/>
      <c r="H2356" s="161"/>
      <c r="I2356" s="37"/>
      <c r="J2356" s="135">
        <f t="shared" si="177"/>
        <v>0.76382508261777382</v>
      </c>
      <c r="K2356" s="112"/>
      <c r="L2356" s="37">
        <v>12.9376245888</v>
      </c>
      <c r="M2356" s="37" t="s">
        <v>288</v>
      </c>
      <c r="N2356" s="37">
        <v>812.22926829268283</v>
      </c>
      <c r="O2356" s="130">
        <f t="shared" si="178"/>
        <v>10508.317353206447</v>
      </c>
      <c r="P2356" s="132">
        <f t="shared" si="179"/>
        <v>8026.5163704867</v>
      </c>
      <c r="Q2356" s="261">
        <v>1</v>
      </c>
      <c r="R2356" s="92"/>
    </row>
    <row r="2357" spans="1:18" x14ac:dyDescent="0.25">
      <c r="A2357" s="353">
        <v>41873</v>
      </c>
      <c r="B2357" s="353" t="s">
        <v>285</v>
      </c>
      <c r="C2357" s="263" t="s">
        <v>763</v>
      </c>
      <c r="D2357" s="157" t="s">
        <v>772</v>
      </c>
      <c r="E2357" s="44">
        <f t="shared" si="180"/>
        <v>41873</v>
      </c>
      <c r="F2357" s="146" t="str">
        <f t="shared" si="176"/>
        <v>2014-15</v>
      </c>
      <c r="G2357" s="1"/>
      <c r="H2357" s="161"/>
      <c r="I2357" s="37"/>
      <c r="J2357" s="135">
        <f t="shared" si="177"/>
        <v>0.76382508261777382</v>
      </c>
      <c r="K2357" s="112"/>
      <c r="L2357" s="37">
        <v>108.309961019</v>
      </c>
      <c r="M2357" s="37" t="s">
        <v>288</v>
      </c>
      <c r="N2357" s="37">
        <v>2326.8487804878046</v>
      </c>
      <c r="O2357" s="130">
        <f t="shared" si="178"/>
        <v>252020.90071174179</v>
      </c>
      <c r="P2357" s="132">
        <f t="shared" si="179"/>
        <v>192499.88530755194</v>
      </c>
      <c r="Q2357" s="261">
        <v>1</v>
      </c>
      <c r="R2357" s="92"/>
    </row>
    <row r="2358" spans="1:18" x14ac:dyDescent="0.25">
      <c r="A2358" s="353">
        <v>41873</v>
      </c>
      <c r="B2358" s="353" t="s">
        <v>285</v>
      </c>
      <c r="C2358" s="263" t="s">
        <v>763</v>
      </c>
      <c r="D2358" s="157" t="s">
        <v>772</v>
      </c>
      <c r="E2358" s="44">
        <f t="shared" si="180"/>
        <v>41873</v>
      </c>
      <c r="F2358" s="146" t="str">
        <f t="shared" si="176"/>
        <v>2014-15</v>
      </c>
      <c r="G2358" s="1"/>
      <c r="H2358" s="161"/>
      <c r="I2358" s="37"/>
      <c r="J2358" s="135">
        <f t="shared" si="177"/>
        <v>0.76382508261777382</v>
      </c>
      <c r="K2358" s="112"/>
      <c r="L2358" s="37">
        <v>160.08594375800001</v>
      </c>
      <c r="M2358" s="37" t="s">
        <v>288</v>
      </c>
      <c r="N2358" s="37">
        <v>2326.8487804878046</v>
      </c>
      <c r="O2358" s="130">
        <f t="shared" si="178"/>
        <v>372495.78300654161</v>
      </c>
      <c r="P2358" s="132">
        <f t="shared" si="179"/>
        <v>284521.62222974398</v>
      </c>
      <c r="Q2358" s="261">
        <v>1</v>
      </c>
      <c r="R2358" s="92"/>
    </row>
    <row r="2359" spans="1:18" x14ac:dyDescent="0.25">
      <c r="A2359" s="353">
        <v>41894</v>
      </c>
      <c r="B2359" s="353" t="s">
        <v>285</v>
      </c>
      <c r="C2359" s="263" t="s">
        <v>763</v>
      </c>
      <c r="D2359" s="157" t="s">
        <v>772</v>
      </c>
      <c r="E2359" s="44">
        <f t="shared" si="180"/>
        <v>41894</v>
      </c>
      <c r="F2359" s="146" t="str">
        <f t="shared" si="176"/>
        <v>2014-15</v>
      </c>
      <c r="G2359" s="1"/>
      <c r="H2359" s="161"/>
      <c r="I2359" s="37"/>
      <c r="J2359" s="135">
        <f t="shared" si="177"/>
        <v>0.76382508261777382</v>
      </c>
      <c r="K2359" s="112"/>
      <c r="L2359" s="37">
        <v>170.03413688699999</v>
      </c>
      <c r="M2359" s="37" t="s">
        <v>288</v>
      </c>
      <c r="N2359" s="37">
        <v>4641.6565853658531</v>
      </c>
      <c r="O2359" s="130">
        <f t="shared" si="178"/>
        <v>789240.07121854241</v>
      </c>
      <c r="P2359" s="132">
        <f t="shared" si="179"/>
        <v>602841.36260376079</v>
      </c>
      <c r="Q2359" s="261">
        <v>1</v>
      </c>
      <c r="R2359" s="92"/>
    </row>
    <row r="2360" spans="1:18" x14ac:dyDescent="0.25">
      <c r="A2360" s="353">
        <v>41894</v>
      </c>
      <c r="B2360" s="353" t="s">
        <v>285</v>
      </c>
      <c r="C2360" s="263" t="s">
        <v>763</v>
      </c>
      <c r="D2360" s="157" t="s">
        <v>772</v>
      </c>
      <c r="E2360" s="44">
        <f t="shared" si="180"/>
        <v>41894</v>
      </c>
      <c r="F2360" s="146" t="str">
        <f t="shared" si="176"/>
        <v>2014-15</v>
      </c>
      <c r="G2360" s="1"/>
      <c r="H2360" s="161"/>
      <c r="I2360" s="37"/>
      <c r="J2360" s="135">
        <f t="shared" si="177"/>
        <v>0.76382508261777382</v>
      </c>
      <c r="K2360" s="112"/>
      <c r="L2360" s="37">
        <v>117.346642636</v>
      </c>
      <c r="M2360" s="37" t="s">
        <v>288</v>
      </c>
      <c r="N2360" s="37">
        <v>2326.8487804878046</v>
      </c>
      <c r="O2360" s="130">
        <f t="shared" si="178"/>
        <v>273047.89231191482</v>
      </c>
      <c r="P2360" s="132">
        <f t="shared" si="179"/>
        <v>208560.82890375736</v>
      </c>
      <c r="Q2360" s="261">
        <v>1</v>
      </c>
      <c r="R2360" s="92"/>
    </row>
    <row r="2361" spans="1:18" x14ac:dyDescent="0.25">
      <c r="A2361" s="353">
        <v>41873</v>
      </c>
      <c r="B2361" s="353" t="s">
        <v>285</v>
      </c>
      <c r="C2361" s="263" t="s">
        <v>763</v>
      </c>
      <c r="D2361" s="157" t="s">
        <v>724</v>
      </c>
      <c r="E2361" s="44">
        <f t="shared" si="180"/>
        <v>41873</v>
      </c>
      <c r="F2361" s="146" t="str">
        <f t="shared" si="176"/>
        <v>2014-15</v>
      </c>
      <c r="G2361" s="1"/>
      <c r="H2361" s="161"/>
      <c r="I2361" s="37"/>
      <c r="J2361" s="135">
        <f t="shared" si="177"/>
        <v>0.76382508261777382</v>
      </c>
      <c r="K2361" s="112"/>
      <c r="L2361" s="37">
        <v>34.413779289700003</v>
      </c>
      <c r="M2361" s="37" t="s">
        <v>288</v>
      </c>
      <c r="N2361" s="37">
        <v>3592.3639024390236</v>
      </c>
      <c r="O2361" s="130">
        <f t="shared" si="178"/>
        <v>123626.81846682195</v>
      </c>
      <c r="P2361" s="132">
        <f t="shared" si="179"/>
        <v>94429.264829192805</v>
      </c>
      <c r="Q2361" s="261">
        <v>1</v>
      </c>
      <c r="R2361" s="92"/>
    </row>
    <row r="2362" spans="1:18" x14ac:dyDescent="0.25">
      <c r="A2362" s="353">
        <v>41894</v>
      </c>
      <c r="B2362" s="353" t="s">
        <v>285</v>
      </c>
      <c r="C2362" s="263" t="s">
        <v>763</v>
      </c>
      <c r="D2362" s="157" t="s">
        <v>772</v>
      </c>
      <c r="E2362" s="44">
        <f t="shared" si="180"/>
        <v>41894</v>
      </c>
      <c r="F2362" s="146" t="str">
        <f t="shared" si="176"/>
        <v>2014-15</v>
      </c>
      <c r="G2362" s="1"/>
      <c r="H2362" s="161"/>
      <c r="I2362" s="37"/>
      <c r="J2362" s="135">
        <f t="shared" si="177"/>
        <v>0.76382508261777382</v>
      </c>
      <c r="K2362" s="112"/>
      <c r="L2362" s="37">
        <v>175.154947314</v>
      </c>
      <c r="M2362" s="37" t="s">
        <v>288</v>
      </c>
      <c r="N2362" s="37">
        <v>5056.6624390243896</v>
      </c>
      <c r="O2362" s="130">
        <f t="shared" si="178"/>
        <v>885699.44309199974</v>
      </c>
      <c r="P2362" s="132">
        <f t="shared" si="179"/>
        <v>676519.45029426296</v>
      </c>
      <c r="Q2362" s="261">
        <v>1</v>
      </c>
      <c r="R2362" s="92"/>
    </row>
    <row r="2363" spans="1:18" x14ac:dyDescent="0.25">
      <c r="A2363" s="353">
        <v>41894</v>
      </c>
      <c r="B2363" s="353" t="s">
        <v>285</v>
      </c>
      <c r="C2363" s="263" t="s">
        <v>763</v>
      </c>
      <c r="D2363" s="157" t="s">
        <v>772</v>
      </c>
      <c r="E2363" s="44">
        <f t="shared" si="180"/>
        <v>41894</v>
      </c>
      <c r="F2363" s="146" t="str">
        <f t="shared" ref="F2363:F2426" si="181">IF(E2363="","-",IF(OR(E2363&lt;$E$15,E2363&gt;$E$16),"ERROR - date outside of range",IF(MONTH(E2363)&gt;=7,YEAR(E2363)&amp;"-"&amp;IF(YEAR(E2363)=1999,"00",IF(AND(YEAR(E2363)&gt;=2000,YEAR(E2363)&lt;2009),"0","")&amp;RIGHT(YEAR(E2363),2)+1),RIGHT(YEAR(E2363),4)-1&amp;"-"&amp;RIGHT(YEAR(E2363),2))))</f>
        <v>2014-15</v>
      </c>
      <c r="G2363" s="1"/>
      <c r="H2363" s="161"/>
      <c r="I2363" s="37"/>
      <c r="J2363" s="135">
        <f t="shared" si="177"/>
        <v>0.76382508261777382</v>
      </c>
      <c r="K2363" s="112"/>
      <c r="L2363" s="37">
        <v>179.93700138099999</v>
      </c>
      <c r="M2363" s="37" t="s">
        <v>288</v>
      </c>
      <c r="N2363" s="37">
        <v>2326.8487804878046</v>
      </c>
      <c r="O2363" s="130">
        <f t="shared" si="178"/>
        <v>418686.19222801225</v>
      </c>
      <c r="P2363" s="132">
        <f t="shared" si="179"/>
        <v>319803.01536948257</v>
      </c>
      <c r="Q2363" s="261">
        <v>1</v>
      </c>
      <c r="R2363" s="92"/>
    </row>
    <row r="2364" spans="1:18" x14ac:dyDescent="0.25">
      <c r="A2364" s="353">
        <v>41894</v>
      </c>
      <c r="B2364" s="353" t="s">
        <v>285</v>
      </c>
      <c r="C2364" s="263" t="s">
        <v>763</v>
      </c>
      <c r="D2364" s="157" t="s">
        <v>772</v>
      </c>
      <c r="E2364" s="44">
        <f t="shared" si="180"/>
        <v>41894</v>
      </c>
      <c r="F2364" s="146" t="str">
        <f t="shared" si="181"/>
        <v>2014-15</v>
      </c>
      <c r="G2364" s="1"/>
      <c r="H2364" s="161"/>
      <c r="I2364" s="37"/>
      <c r="J2364" s="135">
        <f t="shared" si="177"/>
        <v>0.76382508261777382</v>
      </c>
      <c r="K2364" s="112"/>
      <c r="L2364" s="37">
        <v>84.9288341731</v>
      </c>
      <c r="M2364" s="37" t="s">
        <v>288</v>
      </c>
      <c r="N2364" s="37">
        <v>2326.8487804878046</v>
      </c>
      <c r="O2364" s="130">
        <f t="shared" si="178"/>
        <v>197616.55422392872</v>
      </c>
      <c r="P2364" s="132">
        <f t="shared" si="179"/>
        <v>150944.48085673215</v>
      </c>
      <c r="Q2364" s="261">
        <v>1</v>
      </c>
      <c r="R2364" s="92"/>
    </row>
    <row r="2365" spans="1:18" x14ac:dyDescent="0.25">
      <c r="A2365" s="353">
        <v>42551</v>
      </c>
      <c r="B2365" s="353" t="s">
        <v>285</v>
      </c>
      <c r="C2365" s="263" t="s">
        <v>765</v>
      </c>
      <c r="D2365" s="157" t="s">
        <v>724</v>
      </c>
      <c r="E2365" s="44">
        <f t="shared" si="180"/>
        <v>42551</v>
      </c>
      <c r="F2365" s="146" t="str">
        <f t="shared" si="181"/>
        <v>2015-16</v>
      </c>
      <c r="G2365" s="1"/>
      <c r="H2365" s="161"/>
      <c r="I2365" s="37"/>
      <c r="J2365" s="135">
        <f t="shared" si="177"/>
        <v>0.76382508261777382</v>
      </c>
      <c r="K2365" s="112"/>
      <c r="L2365" s="37">
        <v>59.6853615303</v>
      </c>
      <c r="M2365" s="37" t="s">
        <v>288</v>
      </c>
      <c r="N2365" s="37">
        <v>1162.6195121951216</v>
      </c>
      <c r="O2365" s="130">
        <f t="shared" si="178"/>
        <v>69391.36590754686</v>
      </c>
      <c r="P2365" s="132">
        <f t="shared" si="179"/>
        <v>53002.865797292157</v>
      </c>
      <c r="Q2365" s="261">
        <v>1</v>
      </c>
      <c r="R2365" s="92"/>
    </row>
    <row r="2366" spans="1:18" x14ac:dyDescent="0.25">
      <c r="A2366" s="353">
        <v>42551</v>
      </c>
      <c r="B2366" s="353" t="s">
        <v>285</v>
      </c>
      <c r="C2366" s="263" t="s">
        <v>765</v>
      </c>
      <c r="D2366" s="157" t="s">
        <v>724</v>
      </c>
      <c r="E2366" s="44">
        <f t="shared" si="180"/>
        <v>42551</v>
      </c>
      <c r="F2366" s="146" t="str">
        <f t="shared" si="181"/>
        <v>2015-16</v>
      </c>
      <c r="G2366" s="1"/>
      <c r="H2366" s="161"/>
      <c r="I2366" s="37"/>
      <c r="J2366" s="135">
        <f t="shared" si="177"/>
        <v>0.76382508261777382</v>
      </c>
      <c r="K2366" s="112"/>
      <c r="L2366" s="37">
        <v>152.748020717</v>
      </c>
      <c r="M2366" s="37" t="s">
        <v>288</v>
      </c>
      <c r="N2366" s="37">
        <v>1162.6195121951216</v>
      </c>
      <c r="O2366" s="130">
        <f t="shared" si="178"/>
        <v>177587.82933476887</v>
      </c>
      <c r="P2366" s="132">
        <f t="shared" si="179"/>
        <v>135646.03841354095</v>
      </c>
      <c r="Q2366" s="261">
        <v>1</v>
      </c>
      <c r="R2366" s="92"/>
    </row>
    <row r="2367" spans="1:18" x14ac:dyDescent="0.25">
      <c r="A2367" s="353">
        <v>42551</v>
      </c>
      <c r="B2367" s="353" t="s">
        <v>285</v>
      </c>
      <c r="C2367" s="263" t="s">
        <v>765</v>
      </c>
      <c r="D2367" s="157" t="s">
        <v>724</v>
      </c>
      <c r="E2367" s="44">
        <f t="shared" si="180"/>
        <v>42551</v>
      </c>
      <c r="F2367" s="146" t="str">
        <f t="shared" si="181"/>
        <v>2015-16</v>
      </c>
      <c r="G2367" s="1"/>
      <c r="H2367" s="161"/>
      <c r="I2367" s="37"/>
      <c r="J2367" s="135">
        <f t="shared" si="177"/>
        <v>0.76382508261777382</v>
      </c>
      <c r="K2367" s="112"/>
      <c r="L2367" s="37">
        <v>100.29089091199999</v>
      </c>
      <c r="M2367" s="37" t="s">
        <v>288</v>
      </c>
      <c r="N2367" s="37">
        <v>1162.6195121951216</v>
      </c>
      <c r="O2367" s="130">
        <f t="shared" si="178"/>
        <v>116600.14666972359</v>
      </c>
      <c r="P2367" s="132">
        <f t="shared" si="179"/>
        <v>89062.116663246168</v>
      </c>
      <c r="Q2367" s="261">
        <v>1</v>
      </c>
      <c r="R2367" s="92"/>
    </row>
    <row r="2368" spans="1:18" x14ac:dyDescent="0.25">
      <c r="A2368" s="353">
        <v>42551</v>
      </c>
      <c r="B2368" s="353" t="s">
        <v>285</v>
      </c>
      <c r="C2368" s="263" t="s">
        <v>765</v>
      </c>
      <c r="D2368" s="157" t="s">
        <v>724</v>
      </c>
      <c r="E2368" s="44">
        <f t="shared" si="180"/>
        <v>42551</v>
      </c>
      <c r="F2368" s="146" t="str">
        <f t="shared" si="181"/>
        <v>2015-16</v>
      </c>
      <c r="G2368" s="1"/>
      <c r="H2368" s="161"/>
      <c r="I2368" s="37"/>
      <c r="J2368" s="135">
        <f t="shared" si="177"/>
        <v>0.76382508261777382</v>
      </c>
      <c r="K2368" s="112"/>
      <c r="L2368" s="37">
        <v>29.407513818799998</v>
      </c>
      <c r="M2368" s="37" t="s">
        <v>288</v>
      </c>
      <c r="N2368" s="37">
        <v>1162.6195121951216</v>
      </c>
      <c r="O2368" s="130">
        <f t="shared" si="178"/>
        <v>34189.74937088455</v>
      </c>
      <c r="P2368" s="132">
        <f t="shared" si="179"/>
        <v>26114.988137896871</v>
      </c>
      <c r="Q2368" s="261">
        <v>1</v>
      </c>
      <c r="R2368" s="92"/>
    </row>
    <row r="2369" spans="1:18" x14ac:dyDescent="0.25">
      <c r="A2369" s="353">
        <v>42551</v>
      </c>
      <c r="B2369" s="353" t="s">
        <v>285</v>
      </c>
      <c r="C2369" s="263" t="s">
        <v>765</v>
      </c>
      <c r="D2369" s="157" t="s">
        <v>724</v>
      </c>
      <c r="E2369" s="44">
        <f t="shared" si="180"/>
        <v>42551</v>
      </c>
      <c r="F2369" s="146" t="str">
        <f t="shared" si="181"/>
        <v>2015-16</v>
      </c>
      <c r="G2369" s="1"/>
      <c r="H2369" s="161"/>
      <c r="I2369" s="37"/>
      <c r="J2369" s="135">
        <f t="shared" si="177"/>
        <v>0.76382508261777382</v>
      </c>
      <c r="K2369" s="112"/>
      <c r="L2369" s="37">
        <v>169.98954540400001</v>
      </c>
      <c r="M2369" s="37" t="s">
        <v>288</v>
      </c>
      <c r="N2369" s="37">
        <v>3875.3912195121943</v>
      </c>
      <c r="O2369" s="130">
        <f t="shared" si="178"/>
        <v>658775.99166753108</v>
      </c>
      <c r="P2369" s="132">
        <f t="shared" si="179"/>
        <v>503189.62626205781</v>
      </c>
      <c r="Q2369" s="261">
        <v>1</v>
      </c>
      <c r="R2369" s="92"/>
    </row>
    <row r="2370" spans="1:18" x14ac:dyDescent="0.25">
      <c r="A2370" s="353">
        <v>42551</v>
      </c>
      <c r="B2370" s="353" t="s">
        <v>285</v>
      </c>
      <c r="C2370" s="263" t="s">
        <v>765</v>
      </c>
      <c r="D2370" s="157" t="s">
        <v>724</v>
      </c>
      <c r="E2370" s="44">
        <f t="shared" si="180"/>
        <v>42551</v>
      </c>
      <c r="F2370" s="146" t="str">
        <f t="shared" si="181"/>
        <v>2015-16</v>
      </c>
      <c r="G2370" s="1"/>
      <c r="H2370" s="161"/>
      <c r="I2370" s="37"/>
      <c r="J2370" s="135">
        <f t="shared" si="177"/>
        <v>0.76382508261777382</v>
      </c>
      <c r="K2370" s="112"/>
      <c r="L2370" s="37">
        <v>71.638465714999995</v>
      </c>
      <c r="M2370" s="37" t="s">
        <v>288</v>
      </c>
      <c r="N2370" s="37">
        <v>3875.3912195121943</v>
      </c>
      <c r="O2370" s="130">
        <f t="shared" si="178"/>
        <v>277627.08101123635</v>
      </c>
      <c r="P2370" s="132">
        <f t="shared" si="179"/>
        <v>212058.52809033898</v>
      </c>
      <c r="Q2370" s="261">
        <v>1</v>
      </c>
      <c r="R2370" s="92"/>
    </row>
    <row r="2371" spans="1:18" x14ac:dyDescent="0.25">
      <c r="A2371" s="353">
        <v>42551</v>
      </c>
      <c r="B2371" s="353" t="s">
        <v>285</v>
      </c>
      <c r="C2371" s="263" t="s">
        <v>765</v>
      </c>
      <c r="D2371" s="157" t="s">
        <v>724</v>
      </c>
      <c r="E2371" s="44">
        <f t="shared" si="180"/>
        <v>42551</v>
      </c>
      <c r="F2371" s="146" t="str">
        <f t="shared" si="181"/>
        <v>2015-16</v>
      </c>
      <c r="G2371" s="1"/>
      <c r="H2371" s="161"/>
      <c r="I2371" s="37"/>
      <c r="J2371" s="135">
        <f t="shared" si="177"/>
        <v>0.76382508261777382</v>
      </c>
      <c r="K2371" s="112"/>
      <c r="L2371" s="37">
        <v>31.405578476799999</v>
      </c>
      <c r="M2371" s="37" t="s">
        <v>288</v>
      </c>
      <c r="N2371" s="37">
        <v>1162.6195121951216</v>
      </c>
      <c r="O2371" s="130">
        <f t="shared" si="178"/>
        <v>36512.738328902822</v>
      </c>
      <c r="P2371" s="132">
        <f t="shared" si="179"/>
        <v>27889.345370675353</v>
      </c>
      <c r="Q2371" s="261">
        <v>1</v>
      </c>
      <c r="R2371" s="92"/>
    </row>
    <row r="2372" spans="1:18" x14ac:dyDescent="0.25">
      <c r="A2372" s="353">
        <v>42551</v>
      </c>
      <c r="B2372" s="353" t="s">
        <v>285</v>
      </c>
      <c r="C2372" s="263" t="s">
        <v>765</v>
      </c>
      <c r="D2372" s="157" t="s">
        <v>724</v>
      </c>
      <c r="E2372" s="44">
        <f t="shared" si="180"/>
        <v>42551</v>
      </c>
      <c r="F2372" s="146" t="str">
        <f t="shared" si="181"/>
        <v>2015-16</v>
      </c>
      <c r="G2372" s="1"/>
      <c r="H2372" s="161"/>
      <c r="I2372" s="37"/>
      <c r="J2372" s="135">
        <f t="shared" si="177"/>
        <v>0.76382508261777382</v>
      </c>
      <c r="K2372" s="112"/>
      <c r="L2372" s="37">
        <v>26.845466079000001</v>
      </c>
      <c r="M2372" s="37" t="s">
        <v>288</v>
      </c>
      <c r="N2372" s="37">
        <v>1162.6195121951216</v>
      </c>
      <c r="O2372" s="130">
        <f t="shared" si="178"/>
        <v>31211.062677417667</v>
      </c>
      <c r="P2372" s="132">
        <f t="shared" si="179"/>
        <v>23839.792528167065</v>
      </c>
      <c r="Q2372" s="261">
        <v>1</v>
      </c>
      <c r="R2372" s="92"/>
    </row>
    <row r="2373" spans="1:18" x14ac:dyDescent="0.25">
      <c r="A2373" s="353">
        <v>42551</v>
      </c>
      <c r="B2373" s="353" t="s">
        <v>285</v>
      </c>
      <c r="C2373" s="263" t="s">
        <v>765</v>
      </c>
      <c r="D2373" s="157" t="s">
        <v>724</v>
      </c>
      <c r="E2373" s="44">
        <f t="shared" si="180"/>
        <v>42551</v>
      </c>
      <c r="F2373" s="146" t="str">
        <f t="shared" si="181"/>
        <v>2015-16</v>
      </c>
      <c r="G2373" s="1"/>
      <c r="H2373" s="161"/>
      <c r="I2373" s="37"/>
      <c r="J2373" s="135">
        <f t="shared" si="177"/>
        <v>0.76382508261777382</v>
      </c>
      <c r="K2373" s="112"/>
      <c r="L2373" s="37">
        <v>9.8747242999499996</v>
      </c>
      <c r="M2373" s="37" t="s">
        <v>288</v>
      </c>
      <c r="N2373" s="37">
        <v>1162.6195121951216</v>
      </c>
      <c r="O2373" s="130">
        <f t="shared" si="178"/>
        <v>11480.547148669182</v>
      </c>
      <c r="P2373" s="132">
        <f t="shared" si="179"/>
        <v>8769.1298743294865</v>
      </c>
      <c r="Q2373" s="261">
        <v>1</v>
      </c>
      <c r="R2373" s="92"/>
    </row>
    <row r="2374" spans="1:18" x14ac:dyDescent="0.25">
      <c r="A2374" s="353">
        <v>42551</v>
      </c>
      <c r="B2374" s="353" t="s">
        <v>285</v>
      </c>
      <c r="C2374" s="263" t="s">
        <v>765</v>
      </c>
      <c r="D2374" s="157" t="s">
        <v>724</v>
      </c>
      <c r="E2374" s="44">
        <f t="shared" si="180"/>
        <v>42551</v>
      </c>
      <c r="F2374" s="146" t="str">
        <f t="shared" si="181"/>
        <v>2015-16</v>
      </c>
      <c r="G2374" s="1"/>
      <c r="H2374" s="161"/>
      <c r="I2374" s="37"/>
      <c r="J2374" s="135">
        <f t="shared" si="177"/>
        <v>0.76382508261777382</v>
      </c>
      <c r="K2374" s="112"/>
      <c r="L2374" s="37">
        <v>147.85183989399999</v>
      </c>
      <c r="M2374" s="37" t="s">
        <v>288</v>
      </c>
      <c r="N2374" s="37">
        <v>1162.6195121951216</v>
      </c>
      <c r="O2374" s="130">
        <f t="shared" si="178"/>
        <v>171895.43397471349</v>
      </c>
      <c r="P2374" s="132">
        <f t="shared" si="179"/>
        <v>131298.04405735363</v>
      </c>
      <c r="Q2374" s="261">
        <v>1</v>
      </c>
      <c r="R2374" s="92"/>
    </row>
    <row r="2375" spans="1:18" x14ac:dyDescent="0.25">
      <c r="A2375" s="353">
        <v>41894</v>
      </c>
      <c r="B2375" s="353" t="s">
        <v>285</v>
      </c>
      <c r="C2375" s="263" t="s">
        <v>763</v>
      </c>
      <c r="D2375" s="157" t="s">
        <v>772</v>
      </c>
      <c r="E2375" s="44">
        <f t="shared" si="180"/>
        <v>41894</v>
      </c>
      <c r="F2375" s="146" t="str">
        <f t="shared" si="181"/>
        <v>2014-15</v>
      </c>
      <c r="G2375" s="1"/>
      <c r="H2375" s="161"/>
      <c r="I2375" s="37"/>
      <c r="J2375" s="135">
        <f t="shared" si="177"/>
        <v>0.76382508261777382</v>
      </c>
      <c r="K2375" s="112"/>
      <c r="L2375" s="37">
        <v>132.672363671</v>
      </c>
      <c r="M2375" s="37" t="s">
        <v>288</v>
      </c>
      <c r="N2375" s="37">
        <v>4641.6565853658531</v>
      </c>
      <c r="O2375" s="130">
        <f t="shared" si="178"/>
        <v>615819.55052955053</v>
      </c>
      <c r="P2375" s="132">
        <f t="shared" si="179"/>
        <v>470378.41906087426</v>
      </c>
      <c r="Q2375" s="261">
        <v>1</v>
      </c>
      <c r="R2375" s="92"/>
    </row>
    <row r="2376" spans="1:18" x14ac:dyDescent="0.25">
      <c r="A2376" s="353">
        <v>41894</v>
      </c>
      <c r="B2376" s="353" t="s">
        <v>285</v>
      </c>
      <c r="C2376" s="263" t="s">
        <v>763</v>
      </c>
      <c r="D2376" s="157" t="s">
        <v>775</v>
      </c>
      <c r="E2376" s="44">
        <f t="shared" si="180"/>
        <v>41894</v>
      </c>
      <c r="F2376" s="146" t="str">
        <f t="shared" si="181"/>
        <v>2014-15</v>
      </c>
      <c r="G2376" s="1"/>
      <c r="H2376" s="161"/>
      <c r="I2376" s="37"/>
      <c r="J2376" s="135">
        <f t="shared" si="177"/>
        <v>0.76382508261777382</v>
      </c>
      <c r="K2376" s="112"/>
      <c r="L2376" s="37">
        <v>148.593845587</v>
      </c>
      <c r="M2376" s="37" t="s">
        <v>288</v>
      </c>
      <c r="N2376" s="37">
        <v>4641.6565853658531</v>
      </c>
      <c r="O2376" s="130">
        <f t="shared" si="178"/>
        <v>689721.60191373527</v>
      </c>
      <c r="P2376" s="132">
        <f t="shared" si="179"/>
        <v>526826.6595650221</v>
      </c>
      <c r="Q2376" s="261">
        <v>1</v>
      </c>
      <c r="R2376" s="92"/>
    </row>
    <row r="2377" spans="1:18" x14ac:dyDescent="0.25">
      <c r="A2377" s="353">
        <v>42332</v>
      </c>
      <c r="B2377" s="353" t="s">
        <v>285</v>
      </c>
      <c r="C2377" s="263" t="s">
        <v>765</v>
      </c>
      <c r="D2377" s="157" t="s">
        <v>714</v>
      </c>
      <c r="E2377" s="44">
        <f t="shared" si="180"/>
        <v>42332</v>
      </c>
      <c r="F2377" s="146" t="str">
        <f t="shared" si="181"/>
        <v>2015-16</v>
      </c>
      <c r="G2377" s="1"/>
      <c r="H2377" s="161"/>
      <c r="I2377" s="37"/>
      <c r="J2377" s="135">
        <f t="shared" si="177"/>
        <v>0.76382508261777382</v>
      </c>
      <c r="K2377" s="112"/>
      <c r="L2377" s="37">
        <v>6.4967945942599998</v>
      </c>
      <c r="M2377" s="37" t="s">
        <v>288</v>
      </c>
      <c r="N2377" s="37">
        <v>1162.6195121951216</v>
      </c>
      <c r="O2377" s="130">
        <f t="shared" si="178"/>
        <v>7553.3001620104642</v>
      </c>
      <c r="P2377" s="132">
        <f t="shared" si="179"/>
        <v>5769.4001202844875</v>
      </c>
      <c r="Q2377" s="261">
        <v>1</v>
      </c>
      <c r="R2377" s="92"/>
    </row>
    <row r="2378" spans="1:18" x14ac:dyDescent="0.25">
      <c r="A2378" s="353">
        <v>41894</v>
      </c>
      <c r="B2378" s="353" t="s">
        <v>285</v>
      </c>
      <c r="C2378" s="263" t="s">
        <v>763</v>
      </c>
      <c r="D2378" s="157" t="s">
        <v>775</v>
      </c>
      <c r="E2378" s="44">
        <f t="shared" si="180"/>
        <v>41894</v>
      </c>
      <c r="F2378" s="146" t="str">
        <f t="shared" si="181"/>
        <v>2014-15</v>
      </c>
      <c r="G2378" s="1"/>
      <c r="H2378" s="161"/>
      <c r="I2378" s="37"/>
      <c r="J2378" s="135">
        <f t="shared" si="177"/>
        <v>0.76382508261777382</v>
      </c>
      <c r="K2378" s="112"/>
      <c r="L2378" s="37">
        <v>168.84094811700001</v>
      </c>
      <c r="M2378" s="37" t="s">
        <v>288</v>
      </c>
      <c r="N2378" s="37">
        <v>2005.9707317073169</v>
      </c>
      <c r="O2378" s="130">
        <f t="shared" si="178"/>
        <v>338690.00023641565</v>
      </c>
      <c r="P2378" s="132">
        <f t="shared" si="179"/>
        <v>258699.91741239402</v>
      </c>
      <c r="Q2378" s="261">
        <v>1</v>
      </c>
      <c r="R2378" s="92"/>
    </row>
    <row r="2379" spans="1:18" x14ac:dyDescent="0.25">
      <c r="A2379" s="353">
        <v>41894</v>
      </c>
      <c r="B2379" s="353" t="s">
        <v>285</v>
      </c>
      <c r="C2379" s="263" t="s">
        <v>763</v>
      </c>
      <c r="D2379" s="157" t="s">
        <v>770</v>
      </c>
      <c r="E2379" s="44">
        <f t="shared" si="180"/>
        <v>41894</v>
      </c>
      <c r="F2379" s="146" t="str">
        <f t="shared" si="181"/>
        <v>2014-15</v>
      </c>
      <c r="G2379" s="1"/>
      <c r="H2379" s="161"/>
      <c r="I2379" s="37"/>
      <c r="J2379" s="135">
        <f t="shared" si="177"/>
        <v>0.76382508261777382</v>
      </c>
      <c r="K2379" s="112"/>
      <c r="L2379" s="37">
        <v>66.698516872599996</v>
      </c>
      <c r="M2379" s="37" t="s">
        <v>288</v>
      </c>
      <c r="N2379" s="37">
        <v>2005.9707317073169</v>
      </c>
      <c r="O2379" s="130">
        <f t="shared" si="178"/>
        <v>133795.27269472223</v>
      </c>
      <c r="P2379" s="132">
        <f t="shared" si="179"/>
        <v>102196.18521991378</v>
      </c>
      <c r="Q2379" s="261">
        <v>1</v>
      </c>
      <c r="R2379" s="92"/>
    </row>
    <row r="2380" spans="1:18" x14ac:dyDescent="0.25">
      <c r="A2380" s="353">
        <v>42324</v>
      </c>
      <c r="B2380" s="353" t="s">
        <v>285</v>
      </c>
      <c r="C2380" s="263" t="s">
        <v>765</v>
      </c>
      <c r="D2380" s="157" t="s">
        <v>716</v>
      </c>
      <c r="E2380" s="44">
        <f t="shared" si="180"/>
        <v>42324</v>
      </c>
      <c r="F2380" s="146" t="str">
        <f t="shared" si="181"/>
        <v>2015-16</v>
      </c>
      <c r="G2380" s="1"/>
      <c r="H2380" s="161"/>
      <c r="I2380" s="37"/>
      <c r="J2380" s="135">
        <f t="shared" si="177"/>
        <v>0.76382508261777382</v>
      </c>
      <c r="K2380" s="112"/>
      <c r="L2380" s="37">
        <v>97.650054710700005</v>
      </c>
      <c r="M2380" s="37" t="s">
        <v>288</v>
      </c>
      <c r="N2380" s="37">
        <v>1162.6195121951216</v>
      </c>
      <c r="O2380" s="130">
        <f t="shared" si="178"/>
        <v>113529.85897358098</v>
      </c>
      <c r="P2380" s="132">
        <f t="shared" si="179"/>
        <v>86716.953910079697</v>
      </c>
      <c r="Q2380" s="261">
        <v>1</v>
      </c>
      <c r="R2380" s="92"/>
    </row>
    <row r="2381" spans="1:18" x14ac:dyDescent="0.25">
      <c r="A2381" s="353">
        <v>42324</v>
      </c>
      <c r="B2381" s="353" t="s">
        <v>285</v>
      </c>
      <c r="C2381" s="263" t="s">
        <v>765</v>
      </c>
      <c r="D2381" s="157" t="s">
        <v>716</v>
      </c>
      <c r="E2381" s="44">
        <f t="shared" si="180"/>
        <v>42324</v>
      </c>
      <c r="F2381" s="146" t="str">
        <f t="shared" si="181"/>
        <v>2015-16</v>
      </c>
      <c r="G2381" s="1"/>
      <c r="H2381" s="161"/>
      <c r="I2381" s="37"/>
      <c r="J2381" s="135">
        <f t="shared" si="177"/>
        <v>0.76382508261777382</v>
      </c>
      <c r="K2381" s="112"/>
      <c r="L2381" s="37">
        <v>100.23632659899999</v>
      </c>
      <c r="M2381" s="37" t="s">
        <v>288</v>
      </c>
      <c r="N2381" s="37">
        <v>1162.6195121951216</v>
      </c>
      <c r="O2381" s="130">
        <f t="shared" si="178"/>
        <v>116536.70913476027</v>
      </c>
      <c r="P2381" s="132">
        <f t="shared" si="179"/>
        <v>89013.661482861746</v>
      </c>
      <c r="Q2381" s="261">
        <v>1</v>
      </c>
      <c r="R2381" s="92"/>
    </row>
    <row r="2382" spans="1:18" x14ac:dyDescent="0.25">
      <c r="A2382" s="353">
        <v>42324</v>
      </c>
      <c r="B2382" s="353" t="s">
        <v>285</v>
      </c>
      <c r="C2382" s="263" t="s">
        <v>765</v>
      </c>
      <c r="D2382" s="157" t="s">
        <v>716</v>
      </c>
      <c r="E2382" s="44">
        <f t="shared" si="180"/>
        <v>42324</v>
      </c>
      <c r="F2382" s="146" t="str">
        <f t="shared" si="181"/>
        <v>2015-16</v>
      </c>
      <c r="G2382" s="1"/>
      <c r="H2382" s="161"/>
      <c r="I2382" s="37"/>
      <c r="J2382" s="135">
        <f t="shared" si="177"/>
        <v>0.76382508261777382</v>
      </c>
      <c r="K2382" s="112"/>
      <c r="L2382" s="37">
        <v>77.962402528400006</v>
      </c>
      <c r="M2382" s="37" t="s">
        <v>288</v>
      </c>
      <c r="N2382" s="37">
        <v>3592.3639024390236</v>
      </c>
      <c r="O2382" s="130">
        <f t="shared" si="178"/>
        <v>280069.32059044507</v>
      </c>
      <c r="P2382" s="132">
        <f t="shared" si="179"/>
        <v>213923.9719387005</v>
      </c>
      <c r="Q2382" s="261">
        <v>1</v>
      </c>
      <c r="R2382" s="92"/>
    </row>
    <row r="2383" spans="1:18" x14ac:dyDescent="0.25">
      <c r="A2383" s="353">
        <v>42324</v>
      </c>
      <c r="B2383" s="353" t="s">
        <v>285</v>
      </c>
      <c r="C2383" s="263" t="s">
        <v>765</v>
      </c>
      <c r="D2383" s="157" t="s">
        <v>716</v>
      </c>
      <c r="E2383" s="44">
        <f t="shared" si="180"/>
        <v>42324</v>
      </c>
      <c r="F2383" s="146" t="str">
        <f t="shared" si="181"/>
        <v>2015-16</v>
      </c>
      <c r="G2383" s="1"/>
      <c r="H2383" s="161"/>
      <c r="I2383" s="37"/>
      <c r="J2383" s="135">
        <f t="shared" si="177"/>
        <v>0.76382508261777382</v>
      </c>
      <c r="K2383" s="112"/>
      <c r="L2383" s="37">
        <v>65.387167245399993</v>
      </c>
      <c r="M2383" s="37" t="s">
        <v>288</v>
      </c>
      <c r="N2383" s="37">
        <v>1162.6195121951216</v>
      </c>
      <c r="O2383" s="130">
        <f t="shared" si="178"/>
        <v>76020.396486667771</v>
      </c>
      <c r="P2383" s="132">
        <f t="shared" si="179"/>
        <v>58066.285627064935</v>
      </c>
      <c r="Q2383" s="261">
        <v>1</v>
      </c>
      <c r="R2383" s="92"/>
    </row>
    <row r="2384" spans="1:18" x14ac:dyDescent="0.25">
      <c r="A2384" s="353">
        <v>42324</v>
      </c>
      <c r="B2384" s="353" t="s">
        <v>285</v>
      </c>
      <c r="C2384" s="263" t="s">
        <v>765</v>
      </c>
      <c r="D2384" s="157" t="s">
        <v>716</v>
      </c>
      <c r="E2384" s="44">
        <f t="shared" si="180"/>
        <v>42324</v>
      </c>
      <c r="F2384" s="146" t="str">
        <f t="shared" si="181"/>
        <v>2015-16</v>
      </c>
      <c r="G2384" s="1"/>
      <c r="H2384" s="161"/>
      <c r="I2384" s="37"/>
      <c r="J2384" s="135">
        <f t="shared" si="177"/>
        <v>0.76382508261777382</v>
      </c>
      <c r="K2384" s="112"/>
      <c r="L2384" s="37">
        <v>84.7950942449</v>
      </c>
      <c r="M2384" s="37" t="s">
        <v>288</v>
      </c>
      <c r="N2384" s="37">
        <v>1162.6195121951216</v>
      </c>
      <c r="O2384" s="130">
        <f t="shared" si="178"/>
        <v>98584.431107544995</v>
      </c>
      <c r="P2384" s="132">
        <f t="shared" si="179"/>
        <v>75301.261235546786</v>
      </c>
      <c r="Q2384" s="261">
        <v>1</v>
      </c>
      <c r="R2384" s="92"/>
    </row>
    <row r="2385" spans="1:18" x14ac:dyDescent="0.25">
      <c r="A2385" s="353">
        <v>41894</v>
      </c>
      <c r="B2385" s="353" t="s">
        <v>285</v>
      </c>
      <c r="C2385" s="263" t="s">
        <v>763</v>
      </c>
      <c r="D2385" s="157" t="s">
        <v>770</v>
      </c>
      <c r="E2385" s="44">
        <f t="shared" si="180"/>
        <v>41894</v>
      </c>
      <c r="F2385" s="146" t="str">
        <f t="shared" si="181"/>
        <v>2014-15</v>
      </c>
      <c r="G2385" s="1"/>
      <c r="H2385" s="161"/>
      <c r="I2385" s="37"/>
      <c r="J2385" s="135">
        <f t="shared" si="177"/>
        <v>0.76382508261777382</v>
      </c>
      <c r="K2385" s="112"/>
      <c r="L2385" s="37">
        <v>51.6307846638</v>
      </c>
      <c r="M2385" s="37" t="s">
        <v>288</v>
      </c>
      <c r="N2385" s="37">
        <v>2005.9707317073169</v>
      </c>
      <c r="O2385" s="130">
        <f t="shared" si="178"/>
        <v>103569.84289066579</v>
      </c>
      <c r="P2385" s="132">
        <f t="shared" si="179"/>
        <v>79109.24380267266</v>
      </c>
      <c r="Q2385" s="261">
        <v>1</v>
      </c>
      <c r="R2385" s="92"/>
    </row>
    <row r="2386" spans="1:18" x14ac:dyDescent="0.25">
      <c r="A2386" s="353">
        <v>41894</v>
      </c>
      <c r="B2386" s="353" t="s">
        <v>285</v>
      </c>
      <c r="C2386" s="263" t="s">
        <v>763</v>
      </c>
      <c r="D2386" s="157" t="s">
        <v>770</v>
      </c>
      <c r="E2386" s="44">
        <f t="shared" si="180"/>
        <v>41894</v>
      </c>
      <c r="F2386" s="146" t="str">
        <f t="shared" si="181"/>
        <v>2014-15</v>
      </c>
      <c r="G2386" s="1"/>
      <c r="H2386" s="161"/>
      <c r="I2386" s="37"/>
      <c r="J2386" s="135">
        <f t="shared" si="177"/>
        <v>0.76382508261777382</v>
      </c>
      <c r="K2386" s="112"/>
      <c r="L2386" s="37">
        <v>179.58158223999999</v>
      </c>
      <c r="M2386" s="37" t="s">
        <v>288</v>
      </c>
      <c r="N2386" s="37">
        <v>2005.9707317073169</v>
      </c>
      <c r="O2386" s="130">
        <f t="shared" si="178"/>
        <v>360235.39792713046</v>
      </c>
      <c r="P2386" s="132">
        <f t="shared" si="179"/>
        <v>275156.83258353703</v>
      </c>
      <c r="Q2386" s="261">
        <v>1</v>
      </c>
      <c r="R2386" s="92"/>
    </row>
    <row r="2387" spans="1:18" x14ac:dyDescent="0.25">
      <c r="A2387" s="353">
        <v>41894</v>
      </c>
      <c r="B2387" s="353" t="s">
        <v>285</v>
      </c>
      <c r="C2387" s="263" t="s">
        <v>763</v>
      </c>
      <c r="D2387" s="157" t="s">
        <v>775</v>
      </c>
      <c r="E2387" s="44">
        <f t="shared" si="180"/>
        <v>41894</v>
      </c>
      <c r="F2387" s="146" t="str">
        <f t="shared" si="181"/>
        <v>2014-15</v>
      </c>
      <c r="G2387" s="1"/>
      <c r="H2387" s="161"/>
      <c r="I2387" s="37"/>
      <c r="J2387" s="135">
        <f t="shared" si="177"/>
        <v>0.76382508261777382</v>
      </c>
      <c r="K2387" s="112"/>
      <c r="L2387" s="37">
        <v>179.88684257599999</v>
      </c>
      <c r="M2387" s="37" t="s">
        <v>288</v>
      </c>
      <c r="N2387" s="37">
        <v>2005.9707317073169</v>
      </c>
      <c r="O2387" s="130">
        <f t="shared" si="178"/>
        <v>360847.74122669763</v>
      </c>
      <c r="P2387" s="132">
        <f t="shared" si="179"/>
        <v>275624.55575491936</v>
      </c>
      <c r="Q2387" s="261">
        <v>1</v>
      </c>
      <c r="R2387" s="92"/>
    </row>
    <row r="2388" spans="1:18" x14ac:dyDescent="0.25">
      <c r="A2388" s="353">
        <v>41894</v>
      </c>
      <c r="B2388" s="353" t="s">
        <v>285</v>
      </c>
      <c r="C2388" s="263" t="s">
        <v>763</v>
      </c>
      <c r="D2388" s="157" t="s">
        <v>775</v>
      </c>
      <c r="E2388" s="44">
        <f t="shared" si="180"/>
        <v>41894</v>
      </c>
      <c r="F2388" s="146" t="str">
        <f t="shared" si="181"/>
        <v>2014-15</v>
      </c>
      <c r="G2388" s="1"/>
      <c r="H2388" s="161"/>
      <c r="I2388" s="37"/>
      <c r="J2388" s="135">
        <f t="shared" si="177"/>
        <v>0.76382508261777382</v>
      </c>
      <c r="K2388" s="112"/>
      <c r="L2388" s="37">
        <v>119.929918152</v>
      </c>
      <c r="M2388" s="37" t="s">
        <v>288</v>
      </c>
      <c r="N2388" s="37">
        <v>2005.9707317073169</v>
      </c>
      <c r="O2388" s="130">
        <f t="shared" si="178"/>
        <v>240575.90566896606</v>
      </c>
      <c r="P2388" s="132">
        <f t="shared" si="179"/>
        <v>183757.91102344377</v>
      </c>
      <c r="Q2388" s="261">
        <v>1</v>
      </c>
      <c r="R2388" s="92"/>
    </row>
    <row r="2389" spans="1:18" x14ac:dyDescent="0.25">
      <c r="A2389" s="353">
        <v>42324</v>
      </c>
      <c r="B2389" s="353" t="s">
        <v>285</v>
      </c>
      <c r="C2389" s="263" t="s">
        <v>765</v>
      </c>
      <c r="D2389" s="157" t="s">
        <v>716</v>
      </c>
      <c r="E2389" s="44">
        <f t="shared" si="180"/>
        <v>42324</v>
      </c>
      <c r="F2389" s="146" t="str">
        <f t="shared" si="181"/>
        <v>2015-16</v>
      </c>
      <c r="G2389" s="1"/>
      <c r="H2389" s="161"/>
      <c r="I2389" s="37"/>
      <c r="J2389" s="135">
        <f t="shared" si="177"/>
        <v>0.76382508261777382</v>
      </c>
      <c r="K2389" s="112"/>
      <c r="L2389" s="37">
        <v>158.587207839</v>
      </c>
      <c r="M2389" s="37" t="s">
        <v>288</v>
      </c>
      <c r="N2389" s="37">
        <v>1162.6195121951216</v>
      </c>
      <c r="O2389" s="130">
        <f t="shared" si="178"/>
        <v>184376.58221816455</v>
      </c>
      <c r="P2389" s="132">
        <f t="shared" si="179"/>
        <v>140831.45814557231</v>
      </c>
      <c r="Q2389" s="261">
        <v>1</v>
      </c>
      <c r="R2389" s="92"/>
    </row>
    <row r="2390" spans="1:18" x14ac:dyDescent="0.25">
      <c r="A2390" s="353">
        <v>41894</v>
      </c>
      <c r="B2390" s="353" t="s">
        <v>285</v>
      </c>
      <c r="C2390" s="263" t="s">
        <v>763</v>
      </c>
      <c r="D2390" s="157" t="s">
        <v>775</v>
      </c>
      <c r="E2390" s="44">
        <f t="shared" si="180"/>
        <v>41894</v>
      </c>
      <c r="F2390" s="146" t="str">
        <f t="shared" si="181"/>
        <v>2014-15</v>
      </c>
      <c r="G2390" s="1"/>
      <c r="H2390" s="161"/>
      <c r="I2390" s="37"/>
      <c r="J2390" s="135">
        <f t="shared" si="177"/>
        <v>0.76382508261777382</v>
      </c>
      <c r="K2390" s="112"/>
      <c r="L2390" s="37">
        <v>167.61316425199999</v>
      </c>
      <c r="M2390" s="37" t="s">
        <v>288</v>
      </c>
      <c r="N2390" s="37">
        <v>2005.9707317073169</v>
      </c>
      <c r="O2390" s="130">
        <f t="shared" si="178"/>
        <v>336227.1017383631</v>
      </c>
      <c r="P2390" s="132">
        <f t="shared" si="179"/>
        <v>256818.69376363984</v>
      </c>
      <c r="Q2390" s="261">
        <v>1</v>
      </c>
      <c r="R2390" s="92"/>
    </row>
    <row r="2391" spans="1:18" x14ac:dyDescent="0.25">
      <c r="A2391" s="353">
        <v>41894</v>
      </c>
      <c r="B2391" s="353" t="s">
        <v>285</v>
      </c>
      <c r="C2391" s="263" t="s">
        <v>763</v>
      </c>
      <c r="D2391" s="157" t="s">
        <v>775</v>
      </c>
      <c r="E2391" s="44">
        <f t="shared" si="180"/>
        <v>41894</v>
      </c>
      <c r="F2391" s="146" t="str">
        <f t="shared" si="181"/>
        <v>2014-15</v>
      </c>
      <c r="G2391" s="1"/>
      <c r="H2391" s="161"/>
      <c r="I2391" s="37"/>
      <c r="J2391" s="135">
        <f t="shared" si="177"/>
        <v>0.76382508261777382</v>
      </c>
      <c r="K2391" s="112"/>
      <c r="L2391" s="37">
        <v>120.592169551</v>
      </c>
      <c r="M2391" s="37" t="s">
        <v>288</v>
      </c>
      <c r="N2391" s="37">
        <v>2005.9707317073169</v>
      </c>
      <c r="O2391" s="130">
        <f t="shared" si="178"/>
        <v>241904.36259239228</v>
      </c>
      <c r="P2391" s="132">
        <f t="shared" si="179"/>
        <v>184772.61974273395</v>
      </c>
      <c r="Q2391" s="261">
        <v>1</v>
      </c>
      <c r="R2391" s="92"/>
    </row>
    <row r="2392" spans="1:18" x14ac:dyDescent="0.25">
      <c r="A2392" s="353">
        <v>42332</v>
      </c>
      <c r="B2392" s="353" t="s">
        <v>285</v>
      </c>
      <c r="C2392" s="263" t="s">
        <v>765</v>
      </c>
      <c r="D2392" s="157" t="s">
        <v>716</v>
      </c>
      <c r="E2392" s="44">
        <f t="shared" si="180"/>
        <v>42332</v>
      </c>
      <c r="F2392" s="146" t="str">
        <f t="shared" si="181"/>
        <v>2015-16</v>
      </c>
      <c r="G2392" s="1"/>
      <c r="H2392" s="161"/>
      <c r="I2392" s="37"/>
      <c r="J2392" s="135">
        <f t="shared" si="177"/>
        <v>0.76382508261777382</v>
      </c>
      <c r="K2392" s="112"/>
      <c r="L2392" s="37">
        <v>42.597550927299999</v>
      </c>
      <c r="M2392" s="37" t="s">
        <v>288</v>
      </c>
      <c r="N2392" s="37">
        <v>1162.6195121951216</v>
      </c>
      <c r="O2392" s="130">
        <f t="shared" si="178"/>
        <v>49524.743879804373</v>
      </c>
      <c r="P2392" s="132">
        <f t="shared" si="179"/>
        <v>37828.241585615666</v>
      </c>
      <c r="Q2392" s="261">
        <v>1</v>
      </c>
      <c r="R2392" s="92"/>
    </row>
    <row r="2393" spans="1:18" x14ac:dyDescent="0.25">
      <c r="A2393" s="353">
        <v>42332</v>
      </c>
      <c r="B2393" s="353" t="s">
        <v>285</v>
      </c>
      <c r="C2393" s="263" t="s">
        <v>765</v>
      </c>
      <c r="D2393" s="157" t="s">
        <v>716</v>
      </c>
      <c r="E2393" s="44">
        <f t="shared" si="180"/>
        <v>42332</v>
      </c>
      <c r="F2393" s="146" t="str">
        <f t="shared" si="181"/>
        <v>2015-16</v>
      </c>
      <c r="G2393" s="1"/>
      <c r="H2393" s="161"/>
      <c r="I2393" s="37"/>
      <c r="J2393" s="135">
        <f t="shared" si="177"/>
        <v>0.76382508261777382</v>
      </c>
      <c r="K2393" s="112"/>
      <c r="L2393" s="37">
        <v>44.347670976099998</v>
      </c>
      <c r="M2393" s="37" t="s">
        <v>288</v>
      </c>
      <c r="N2393" s="37">
        <v>950.87219512195099</v>
      </c>
      <c r="O2393" s="130">
        <f t="shared" si="178"/>
        <v>42168.967249590241</v>
      </c>
      <c r="P2393" s="132">
        <f t="shared" si="179"/>
        <v>32209.714893324464</v>
      </c>
      <c r="Q2393" s="261">
        <v>1</v>
      </c>
      <c r="R2393" s="92"/>
    </row>
    <row r="2394" spans="1:18" x14ac:dyDescent="0.25">
      <c r="A2394" s="353">
        <v>41894</v>
      </c>
      <c r="B2394" s="353" t="s">
        <v>285</v>
      </c>
      <c r="C2394" s="263" t="s">
        <v>763</v>
      </c>
      <c r="D2394" s="157" t="s">
        <v>775</v>
      </c>
      <c r="E2394" s="44">
        <f t="shared" si="180"/>
        <v>41894</v>
      </c>
      <c r="F2394" s="146" t="str">
        <f t="shared" si="181"/>
        <v>2014-15</v>
      </c>
      <c r="G2394" s="1"/>
      <c r="H2394" s="161"/>
      <c r="I2394" s="37"/>
      <c r="J2394" s="135">
        <f t="shared" ref="J2394:J2457" si="182">J2393</f>
        <v>0.76382508261777382</v>
      </c>
      <c r="K2394" s="112"/>
      <c r="L2394" s="37">
        <v>59.010445185599998</v>
      </c>
      <c r="M2394" s="37" t="s">
        <v>288</v>
      </c>
      <c r="N2394" s="37">
        <v>2005.9707317073169</v>
      </c>
      <c r="O2394" s="130">
        <f t="shared" ref="O2394:O2457" si="183">IF(N2394="","-",L2394*N2394)</f>
        <v>118373.22590733254</v>
      </c>
      <c r="P2394" s="132">
        <f t="shared" ref="P2394:P2457" si="184">IF(O2394="-","-",IF(OR(E2394&lt;$E$15,E2394&gt;$E$16),0,O2394*J2394))*Q2394</f>
        <v>90416.439058400676</v>
      </c>
      <c r="Q2394" s="261">
        <v>1</v>
      </c>
      <c r="R2394" s="92"/>
    </row>
    <row r="2395" spans="1:18" x14ac:dyDescent="0.25">
      <c r="A2395" s="353">
        <v>41894</v>
      </c>
      <c r="B2395" s="353" t="s">
        <v>285</v>
      </c>
      <c r="C2395" s="263" t="s">
        <v>763</v>
      </c>
      <c r="D2395" s="157" t="s">
        <v>770</v>
      </c>
      <c r="E2395" s="44">
        <f t="shared" ref="E2395:E2458" si="185">IF(VALUE(A2395)&lt;2022,DATEVALUE("30 Jun "&amp;A2395),A2395)</f>
        <v>41894</v>
      </c>
      <c r="F2395" s="146" t="str">
        <f t="shared" si="181"/>
        <v>2014-15</v>
      </c>
      <c r="G2395" s="1"/>
      <c r="H2395" s="161"/>
      <c r="I2395" s="37"/>
      <c r="J2395" s="135">
        <f t="shared" si="182"/>
        <v>0.76382508261777382</v>
      </c>
      <c r="K2395" s="112"/>
      <c r="L2395" s="37">
        <v>137.64784506699999</v>
      </c>
      <c r="M2395" s="37" t="s">
        <v>288</v>
      </c>
      <c r="N2395" s="37">
        <v>4641.6565853658531</v>
      </c>
      <c r="O2395" s="130">
        <f t="shared" si="183"/>
        <v>638914.02651665919</v>
      </c>
      <c r="P2395" s="132">
        <f t="shared" si="184"/>
        <v>488018.55908974173</v>
      </c>
      <c r="Q2395" s="261">
        <v>1</v>
      </c>
      <c r="R2395" s="92"/>
    </row>
    <row r="2396" spans="1:18" x14ac:dyDescent="0.25">
      <c r="A2396" s="353">
        <v>41894</v>
      </c>
      <c r="B2396" s="353" t="s">
        <v>285</v>
      </c>
      <c r="C2396" s="263" t="s">
        <v>763</v>
      </c>
      <c r="D2396" s="157" t="s">
        <v>775</v>
      </c>
      <c r="E2396" s="44">
        <f t="shared" si="185"/>
        <v>41894</v>
      </c>
      <c r="F2396" s="146" t="str">
        <f t="shared" si="181"/>
        <v>2014-15</v>
      </c>
      <c r="G2396" s="1"/>
      <c r="H2396" s="161"/>
      <c r="I2396" s="37"/>
      <c r="J2396" s="135">
        <f t="shared" si="182"/>
        <v>0.76382508261777382</v>
      </c>
      <c r="K2396" s="112"/>
      <c r="L2396" s="37">
        <v>26.842255829199999</v>
      </c>
      <c r="M2396" s="37" t="s">
        <v>288</v>
      </c>
      <c r="N2396" s="37">
        <v>2005.9707317073169</v>
      </c>
      <c r="O2396" s="130">
        <f t="shared" si="183"/>
        <v>53844.779566375313</v>
      </c>
      <c r="P2396" s="132">
        <f t="shared" si="184"/>
        <v>41127.993200822442</v>
      </c>
      <c r="Q2396" s="261">
        <v>1</v>
      </c>
      <c r="R2396" s="92"/>
    </row>
    <row r="2397" spans="1:18" x14ac:dyDescent="0.25">
      <c r="A2397" s="353">
        <v>41894</v>
      </c>
      <c r="B2397" s="353" t="s">
        <v>285</v>
      </c>
      <c r="C2397" s="263" t="s">
        <v>763</v>
      </c>
      <c r="D2397" s="157" t="s">
        <v>770</v>
      </c>
      <c r="E2397" s="44">
        <f t="shared" si="185"/>
        <v>41894</v>
      </c>
      <c r="F2397" s="146" t="str">
        <f t="shared" si="181"/>
        <v>2014-15</v>
      </c>
      <c r="G2397" s="1"/>
      <c r="H2397" s="161"/>
      <c r="I2397" s="37"/>
      <c r="J2397" s="135">
        <f t="shared" si="182"/>
        <v>0.76382508261777382</v>
      </c>
      <c r="K2397" s="112"/>
      <c r="L2397" s="37">
        <v>189.40190565</v>
      </c>
      <c r="M2397" s="37" t="s">
        <v>288</v>
      </c>
      <c r="N2397" s="37">
        <v>1361.4565853658535</v>
      </c>
      <c r="O2397" s="130">
        <f t="shared" si="183"/>
        <v>257862.47172803455</v>
      </c>
      <c r="P2397" s="132">
        <f t="shared" si="184"/>
        <v>196961.82377168935</v>
      </c>
      <c r="Q2397" s="261">
        <v>1</v>
      </c>
      <c r="R2397" s="92"/>
    </row>
    <row r="2398" spans="1:18" x14ac:dyDescent="0.25">
      <c r="A2398" s="353">
        <v>42332</v>
      </c>
      <c r="B2398" s="353" t="s">
        <v>285</v>
      </c>
      <c r="C2398" s="263" t="s">
        <v>765</v>
      </c>
      <c r="D2398" s="157" t="s">
        <v>716</v>
      </c>
      <c r="E2398" s="44">
        <f t="shared" si="185"/>
        <v>42332</v>
      </c>
      <c r="F2398" s="146" t="str">
        <f t="shared" si="181"/>
        <v>2015-16</v>
      </c>
      <c r="G2398" s="1"/>
      <c r="H2398" s="161"/>
      <c r="I2398" s="37"/>
      <c r="J2398" s="135">
        <f t="shared" si="182"/>
        <v>0.76382508261777382</v>
      </c>
      <c r="K2398" s="112"/>
      <c r="L2398" s="37">
        <v>71.973718328299995</v>
      </c>
      <c r="M2398" s="37" t="s">
        <v>288</v>
      </c>
      <c r="N2398" s="37">
        <v>950.87219512195099</v>
      </c>
      <c r="O2398" s="130">
        <f t="shared" si="183"/>
        <v>68437.807537919609</v>
      </c>
      <c r="P2398" s="132">
        <f t="shared" si="184"/>
        <v>52274.513996830749</v>
      </c>
      <c r="Q2398" s="261">
        <v>1</v>
      </c>
      <c r="R2398" s="92"/>
    </row>
    <row r="2399" spans="1:18" x14ac:dyDescent="0.25">
      <c r="A2399" s="353">
        <v>42332</v>
      </c>
      <c r="B2399" s="353" t="s">
        <v>285</v>
      </c>
      <c r="C2399" s="263" t="s">
        <v>765</v>
      </c>
      <c r="D2399" s="157" t="s">
        <v>716</v>
      </c>
      <c r="E2399" s="44">
        <f t="shared" si="185"/>
        <v>42332</v>
      </c>
      <c r="F2399" s="146" t="str">
        <f t="shared" si="181"/>
        <v>2015-16</v>
      </c>
      <c r="G2399" s="1"/>
      <c r="H2399" s="161"/>
      <c r="I2399" s="37"/>
      <c r="J2399" s="135">
        <f t="shared" si="182"/>
        <v>0.76382508261777382</v>
      </c>
      <c r="K2399" s="112"/>
      <c r="L2399" s="37">
        <v>55.319776752999999</v>
      </c>
      <c r="M2399" s="37" t="s">
        <v>288</v>
      </c>
      <c r="N2399" s="37">
        <v>950.87219512195099</v>
      </c>
      <c r="O2399" s="130">
        <f t="shared" si="183"/>
        <v>52602.037554781382</v>
      </c>
      <c r="P2399" s="132">
        <f t="shared" si="184"/>
        <v>40178.755681144132</v>
      </c>
      <c r="Q2399" s="261">
        <v>1</v>
      </c>
      <c r="R2399" s="92"/>
    </row>
    <row r="2400" spans="1:18" x14ac:dyDescent="0.25">
      <c r="A2400" s="353">
        <v>42332</v>
      </c>
      <c r="B2400" s="353" t="s">
        <v>285</v>
      </c>
      <c r="C2400" s="263" t="s">
        <v>765</v>
      </c>
      <c r="D2400" s="157" t="s">
        <v>716</v>
      </c>
      <c r="E2400" s="44">
        <f t="shared" si="185"/>
        <v>42332</v>
      </c>
      <c r="F2400" s="146" t="str">
        <f t="shared" si="181"/>
        <v>2015-16</v>
      </c>
      <c r="G2400" s="1"/>
      <c r="H2400" s="161"/>
      <c r="I2400" s="37"/>
      <c r="J2400" s="135">
        <f t="shared" si="182"/>
        <v>0.76382508261777382</v>
      </c>
      <c r="K2400" s="112"/>
      <c r="L2400" s="37">
        <v>18.038378225300001</v>
      </c>
      <c r="M2400" s="37" t="s">
        <v>288</v>
      </c>
      <c r="N2400" s="37">
        <v>950.87219512195099</v>
      </c>
      <c r="O2400" s="130">
        <f t="shared" si="183"/>
        <v>17152.192299531016</v>
      </c>
      <c r="P2400" s="132">
        <f t="shared" si="184"/>
        <v>13101.274700265223</v>
      </c>
      <c r="Q2400" s="261">
        <v>1</v>
      </c>
      <c r="R2400" s="92"/>
    </row>
    <row r="2401" spans="1:18" x14ac:dyDescent="0.25">
      <c r="A2401" s="353">
        <v>42332</v>
      </c>
      <c r="B2401" s="353" t="s">
        <v>285</v>
      </c>
      <c r="C2401" s="263" t="s">
        <v>765</v>
      </c>
      <c r="D2401" s="157" t="s">
        <v>716</v>
      </c>
      <c r="E2401" s="44">
        <f t="shared" si="185"/>
        <v>42332</v>
      </c>
      <c r="F2401" s="146" t="str">
        <f t="shared" si="181"/>
        <v>2015-16</v>
      </c>
      <c r="G2401" s="1"/>
      <c r="H2401" s="161"/>
      <c r="I2401" s="37"/>
      <c r="J2401" s="135">
        <f t="shared" si="182"/>
        <v>0.76382508261777382</v>
      </c>
      <c r="K2401" s="112"/>
      <c r="L2401" s="37">
        <v>11.3529982824</v>
      </c>
      <c r="M2401" s="37" t="s">
        <v>288</v>
      </c>
      <c r="N2401" s="37">
        <v>950.87219512195099</v>
      </c>
      <c r="O2401" s="130">
        <f t="shared" si="183"/>
        <v>10795.250398001426</v>
      </c>
      <c r="P2401" s="132">
        <f t="shared" si="184"/>
        <v>8245.6830271329945</v>
      </c>
      <c r="Q2401" s="261">
        <v>1</v>
      </c>
      <c r="R2401" s="92"/>
    </row>
    <row r="2402" spans="1:18" x14ac:dyDescent="0.25">
      <c r="A2402" s="353">
        <v>42332</v>
      </c>
      <c r="B2402" s="353" t="s">
        <v>285</v>
      </c>
      <c r="C2402" s="263" t="s">
        <v>765</v>
      </c>
      <c r="D2402" s="157" t="s">
        <v>716</v>
      </c>
      <c r="E2402" s="44">
        <f t="shared" si="185"/>
        <v>42332</v>
      </c>
      <c r="F2402" s="146" t="str">
        <f t="shared" si="181"/>
        <v>2015-16</v>
      </c>
      <c r="G2402" s="1"/>
      <c r="H2402" s="161"/>
      <c r="I2402" s="37"/>
      <c r="J2402" s="135">
        <f t="shared" si="182"/>
        <v>0.76382508261777382</v>
      </c>
      <c r="K2402" s="112"/>
      <c r="L2402" s="37">
        <v>75.451432858399997</v>
      </c>
      <c r="M2402" s="37" t="s">
        <v>288</v>
      </c>
      <c r="N2402" s="37">
        <v>3592.3639024390236</v>
      </c>
      <c r="O2402" s="130">
        <f t="shared" si="183"/>
        <v>271049.00378781778</v>
      </c>
      <c r="P2402" s="132">
        <f t="shared" si="184"/>
        <v>207034.02771169521</v>
      </c>
      <c r="Q2402" s="261">
        <v>1</v>
      </c>
      <c r="R2402" s="92"/>
    </row>
    <row r="2403" spans="1:18" x14ac:dyDescent="0.25">
      <c r="A2403" s="353">
        <v>41901</v>
      </c>
      <c r="B2403" s="353" t="s">
        <v>285</v>
      </c>
      <c r="C2403" s="263" t="s">
        <v>763</v>
      </c>
      <c r="D2403" s="157" t="s">
        <v>724</v>
      </c>
      <c r="E2403" s="44">
        <f t="shared" si="185"/>
        <v>41901</v>
      </c>
      <c r="F2403" s="146" t="str">
        <f t="shared" si="181"/>
        <v>2014-15</v>
      </c>
      <c r="G2403" s="1"/>
      <c r="H2403" s="161"/>
      <c r="I2403" s="37"/>
      <c r="J2403" s="135">
        <f t="shared" si="182"/>
        <v>0.76382508261777382</v>
      </c>
      <c r="K2403" s="112"/>
      <c r="L2403" s="37">
        <v>56.612405018700002</v>
      </c>
      <c r="M2403" s="37" t="s">
        <v>288</v>
      </c>
      <c r="N2403" s="37">
        <v>950.87219512195099</v>
      </c>
      <c r="O2403" s="130">
        <f t="shared" si="183"/>
        <v>53831.161831264224</v>
      </c>
      <c r="P2403" s="132">
        <f t="shared" si="184"/>
        <v>41117.591633176147</v>
      </c>
      <c r="Q2403" s="261">
        <v>1</v>
      </c>
      <c r="R2403" s="92"/>
    </row>
    <row r="2404" spans="1:18" x14ac:dyDescent="0.25">
      <c r="A2404" s="353">
        <v>41901</v>
      </c>
      <c r="B2404" s="353" t="s">
        <v>285</v>
      </c>
      <c r="C2404" s="263" t="s">
        <v>763</v>
      </c>
      <c r="D2404" s="157" t="s">
        <v>724</v>
      </c>
      <c r="E2404" s="44">
        <f t="shared" si="185"/>
        <v>41901</v>
      </c>
      <c r="F2404" s="146" t="str">
        <f t="shared" si="181"/>
        <v>2014-15</v>
      </c>
      <c r="G2404" s="1"/>
      <c r="H2404" s="161"/>
      <c r="I2404" s="37"/>
      <c r="J2404" s="135">
        <f t="shared" si="182"/>
        <v>0.76382508261777382</v>
      </c>
      <c r="K2404" s="112"/>
      <c r="L2404" s="37">
        <v>85.977962280300005</v>
      </c>
      <c r="M2404" s="37" t="s">
        <v>288</v>
      </c>
      <c r="N2404" s="37">
        <v>3592.3639024390236</v>
      </c>
      <c r="O2404" s="130">
        <f t="shared" si="183"/>
        <v>308864.12810101372</v>
      </c>
      <c r="P2404" s="132">
        <f t="shared" si="184"/>
        <v>235918.16816442349</v>
      </c>
      <c r="Q2404" s="261">
        <v>1</v>
      </c>
      <c r="R2404" s="92"/>
    </row>
    <row r="2405" spans="1:18" x14ac:dyDescent="0.25">
      <c r="A2405" s="353">
        <v>41901</v>
      </c>
      <c r="B2405" s="353" t="s">
        <v>285</v>
      </c>
      <c r="C2405" s="263" t="s">
        <v>763</v>
      </c>
      <c r="D2405" s="157" t="s">
        <v>724</v>
      </c>
      <c r="E2405" s="44">
        <f t="shared" si="185"/>
        <v>41901</v>
      </c>
      <c r="F2405" s="146" t="str">
        <f t="shared" si="181"/>
        <v>2014-15</v>
      </c>
      <c r="G2405" s="1"/>
      <c r="H2405" s="161"/>
      <c r="I2405" s="37"/>
      <c r="J2405" s="135">
        <f t="shared" si="182"/>
        <v>0.76382508261777382</v>
      </c>
      <c r="K2405" s="112"/>
      <c r="L2405" s="37">
        <v>12.7091435195</v>
      </c>
      <c r="M2405" s="37" t="s">
        <v>288</v>
      </c>
      <c r="N2405" s="37">
        <v>950.87219512195099</v>
      </c>
      <c r="O2405" s="130">
        <f t="shared" si="183"/>
        <v>12084.771196506883</v>
      </c>
      <c r="P2405" s="132">
        <f t="shared" si="184"/>
        <v>9230.6513575887639</v>
      </c>
      <c r="Q2405" s="261">
        <v>1</v>
      </c>
      <c r="R2405" s="92"/>
    </row>
    <row r="2406" spans="1:18" x14ac:dyDescent="0.25">
      <c r="A2406" s="353">
        <v>41901</v>
      </c>
      <c r="B2406" s="353" t="s">
        <v>285</v>
      </c>
      <c r="C2406" s="263" t="s">
        <v>763</v>
      </c>
      <c r="D2406" s="157" t="s">
        <v>724</v>
      </c>
      <c r="E2406" s="44">
        <f t="shared" si="185"/>
        <v>41901</v>
      </c>
      <c r="F2406" s="146" t="str">
        <f t="shared" si="181"/>
        <v>2014-15</v>
      </c>
      <c r="G2406" s="1"/>
      <c r="H2406" s="161"/>
      <c r="I2406" s="37"/>
      <c r="J2406" s="135">
        <f t="shared" si="182"/>
        <v>0.76382508261777382</v>
      </c>
      <c r="K2406" s="112"/>
      <c r="L2406" s="37">
        <v>173.099354398</v>
      </c>
      <c r="M2406" s="37" t="s">
        <v>288</v>
      </c>
      <c r="N2406" s="37">
        <v>3875.3912195121943</v>
      </c>
      <c r="O2406" s="130">
        <f t="shared" si="183"/>
        <v>670827.71813723876</v>
      </c>
      <c r="P2406" s="132">
        <f t="shared" si="184"/>
        <v>512395.0372284691</v>
      </c>
      <c r="Q2406" s="261">
        <v>1</v>
      </c>
      <c r="R2406" s="92"/>
    </row>
    <row r="2407" spans="1:18" x14ac:dyDescent="0.25">
      <c r="A2407" s="353">
        <v>41901</v>
      </c>
      <c r="B2407" s="353" t="s">
        <v>285</v>
      </c>
      <c r="C2407" s="263" t="s">
        <v>763</v>
      </c>
      <c r="D2407" s="157" t="s">
        <v>724</v>
      </c>
      <c r="E2407" s="44">
        <f t="shared" si="185"/>
        <v>41901</v>
      </c>
      <c r="F2407" s="146" t="str">
        <f t="shared" si="181"/>
        <v>2014-15</v>
      </c>
      <c r="G2407" s="1"/>
      <c r="H2407" s="161"/>
      <c r="I2407" s="37"/>
      <c r="J2407" s="135">
        <f t="shared" si="182"/>
        <v>0.76382508261777382</v>
      </c>
      <c r="K2407" s="112"/>
      <c r="L2407" s="37">
        <v>171.10604024700001</v>
      </c>
      <c r="M2407" s="37" t="s">
        <v>288</v>
      </c>
      <c r="N2407" s="37">
        <v>3875.3912195121943</v>
      </c>
      <c r="O2407" s="130">
        <f t="shared" si="183"/>
        <v>663102.84597872396</v>
      </c>
      <c r="P2407" s="132">
        <f t="shared" si="184"/>
        <v>506494.58611377975</v>
      </c>
      <c r="Q2407" s="261">
        <v>1</v>
      </c>
      <c r="R2407" s="92"/>
    </row>
    <row r="2408" spans="1:18" x14ac:dyDescent="0.25">
      <c r="A2408" s="353">
        <v>41901</v>
      </c>
      <c r="B2408" s="353" t="s">
        <v>285</v>
      </c>
      <c r="C2408" s="263" t="s">
        <v>763</v>
      </c>
      <c r="D2408" s="157" t="s">
        <v>724</v>
      </c>
      <c r="E2408" s="44">
        <f t="shared" si="185"/>
        <v>41901</v>
      </c>
      <c r="F2408" s="146" t="str">
        <f t="shared" si="181"/>
        <v>2014-15</v>
      </c>
      <c r="G2408" s="1"/>
      <c r="H2408" s="161"/>
      <c r="I2408" s="37"/>
      <c r="J2408" s="135">
        <f t="shared" si="182"/>
        <v>0.76382508261777382</v>
      </c>
      <c r="K2408" s="112"/>
      <c r="L2408" s="37">
        <v>143.46627191100001</v>
      </c>
      <c r="M2408" s="37" t="s">
        <v>288</v>
      </c>
      <c r="N2408" s="37">
        <v>950.87219512195099</v>
      </c>
      <c r="O2408" s="130">
        <f t="shared" si="183"/>
        <v>136418.08889797528</v>
      </c>
      <c r="P2408" s="132">
        <f t="shared" si="184"/>
        <v>104199.55802305478</v>
      </c>
      <c r="Q2408" s="261">
        <v>1</v>
      </c>
      <c r="R2408" s="92"/>
    </row>
    <row r="2409" spans="1:18" x14ac:dyDescent="0.25">
      <c r="A2409" s="353">
        <v>42394</v>
      </c>
      <c r="B2409" s="353" t="s">
        <v>285</v>
      </c>
      <c r="C2409" s="263" t="s">
        <v>776</v>
      </c>
      <c r="D2409" s="157" t="s">
        <v>716</v>
      </c>
      <c r="E2409" s="44">
        <f t="shared" si="185"/>
        <v>42394</v>
      </c>
      <c r="F2409" s="146" t="str">
        <f t="shared" si="181"/>
        <v>2015-16</v>
      </c>
      <c r="G2409" s="1"/>
      <c r="H2409" s="161"/>
      <c r="I2409" s="37"/>
      <c r="J2409" s="135">
        <f t="shared" si="182"/>
        <v>0.76382508261777382</v>
      </c>
      <c r="K2409" s="112"/>
      <c r="L2409" s="37">
        <v>9.04009391544</v>
      </c>
      <c r="M2409" s="37" t="s">
        <v>288</v>
      </c>
      <c r="N2409" s="37">
        <v>1162.6195121951216</v>
      </c>
      <c r="O2409" s="130">
        <f t="shared" si="183"/>
        <v>10510.189578166939</v>
      </c>
      <c r="P2409" s="132">
        <f t="shared" si="184"/>
        <v>8027.946422871828</v>
      </c>
      <c r="Q2409" s="261">
        <v>1</v>
      </c>
      <c r="R2409" s="92"/>
    </row>
    <row r="2410" spans="1:18" x14ac:dyDescent="0.25">
      <c r="A2410" s="353">
        <v>41783</v>
      </c>
      <c r="B2410" s="353" t="s">
        <v>285</v>
      </c>
      <c r="C2410" s="263" t="s">
        <v>763</v>
      </c>
      <c r="D2410" s="157" t="s">
        <v>749</v>
      </c>
      <c r="E2410" s="44">
        <f t="shared" si="185"/>
        <v>41783</v>
      </c>
      <c r="F2410" s="146" t="str">
        <f t="shared" si="181"/>
        <v>2013-14</v>
      </c>
      <c r="G2410" s="1"/>
      <c r="H2410" s="161"/>
      <c r="I2410" s="37"/>
      <c r="J2410" s="135">
        <f t="shared" si="182"/>
        <v>0.76382508261777382</v>
      </c>
      <c r="K2410" s="112"/>
      <c r="L2410" s="37">
        <v>120.59956436500001</v>
      </c>
      <c r="M2410" s="37" t="s">
        <v>288</v>
      </c>
      <c r="N2410" s="37">
        <v>1361.4565853658535</v>
      </c>
      <c r="O2410" s="130">
        <f t="shared" si="183"/>
        <v>164191.07109698237</v>
      </c>
      <c r="P2410" s="132">
        <f t="shared" si="184"/>
        <v>125413.25844575334</v>
      </c>
      <c r="Q2410" s="261">
        <v>1</v>
      </c>
      <c r="R2410" s="92"/>
    </row>
    <row r="2411" spans="1:18" x14ac:dyDescent="0.25">
      <c r="A2411" s="353">
        <v>41783</v>
      </c>
      <c r="B2411" s="353" t="s">
        <v>285</v>
      </c>
      <c r="C2411" s="263" t="s">
        <v>763</v>
      </c>
      <c r="D2411" s="157" t="s">
        <v>749</v>
      </c>
      <c r="E2411" s="44">
        <f t="shared" si="185"/>
        <v>41783</v>
      </c>
      <c r="F2411" s="146" t="str">
        <f t="shared" si="181"/>
        <v>2013-14</v>
      </c>
      <c r="G2411" s="1"/>
      <c r="H2411" s="161"/>
      <c r="I2411" s="37"/>
      <c r="J2411" s="135">
        <f t="shared" si="182"/>
        <v>0.76382508261777382</v>
      </c>
      <c r="K2411" s="112"/>
      <c r="L2411" s="37">
        <v>48.776010548199999</v>
      </c>
      <c r="M2411" s="37" t="s">
        <v>288</v>
      </c>
      <c r="N2411" s="37">
        <v>1361.4565853658535</v>
      </c>
      <c r="O2411" s="130">
        <f t="shared" si="183"/>
        <v>66406.420768721218</v>
      </c>
      <c r="P2411" s="132">
        <f t="shared" si="184"/>
        <v>50722.889830019136</v>
      </c>
      <c r="Q2411" s="261">
        <v>1</v>
      </c>
      <c r="R2411" s="92"/>
    </row>
    <row r="2412" spans="1:18" x14ac:dyDescent="0.25">
      <c r="A2412" s="353">
        <v>41783</v>
      </c>
      <c r="B2412" s="353" t="s">
        <v>285</v>
      </c>
      <c r="C2412" s="263" t="s">
        <v>763</v>
      </c>
      <c r="D2412" s="157" t="s">
        <v>749</v>
      </c>
      <c r="E2412" s="44">
        <f t="shared" si="185"/>
        <v>41783</v>
      </c>
      <c r="F2412" s="146" t="str">
        <f t="shared" si="181"/>
        <v>2013-14</v>
      </c>
      <c r="G2412" s="1"/>
      <c r="H2412" s="161"/>
      <c r="I2412" s="37"/>
      <c r="J2412" s="135">
        <f t="shared" si="182"/>
        <v>0.76382508261777382</v>
      </c>
      <c r="K2412" s="112"/>
      <c r="L2412" s="37">
        <v>54.767629946900001</v>
      </c>
      <c r="M2412" s="37" t="s">
        <v>288</v>
      </c>
      <c r="N2412" s="37">
        <v>4137.5668292682922</v>
      </c>
      <c r="O2412" s="130">
        <f t="shared" si="183"/>
        <v>226604.7289859342</v>
      </c>
      <c r="P2412" s="132">
        <f t="shared" si="184"/>
        <v>173086.37583925945</v>
      </c>
      <c r="Q2412" s="261">
        <v>1</v>
      </c>
      <c r="R2412" s="92"/>
    </row>
    <row r="2413" spans="1:18" x14ac:dyDescent="0.25">
      <c r="A2413" s="353">
        <v>41783</v>
      </c>
      <c r="B2413" s="353" t="s">
        <v>285</v>
      </c>
      <c r="C2413" s="263" t="s">
        <v>763</v>
      </c>
      <c r="D2413" s="157" t="s">
        <v>749</v>
      </c>
      <c r="E2413" s="44">
        <f t="shared" si="185"/>
        <v>41783</v>
      </c>
      <c r="F2413" s="146" t="str">
        <f t="shared" si="181"/>
        <v>2013-14</v>
      </c>
      <c r="G2413" s="1"/>
      <c r="H2413" s="161"/>
      <c r="I2413" s="37"/>
      <c r="J2413" s="135">
        <f t="shared" si="182"/>
        <v>0.76382508261777382</v>
      </c>
      <c r="K2413" s="112"/>
      <c r="L2413" s="37">
        <v>140.60990379099999</v>
      </c>
      <c r="M2413" s="37" t="s">
        <v>288</v>
      </c>
      <c r="N2413" s="37">
        <v>4137.5668292682922</v>
      </c>
      <c r="O2413" s="130">
        <f t="shared" si="183"/>
        <v>581782.8737922475</v>
      </c>
      <c r="P2413" s="132">
        <f t="shared" si="184"/>
        <v>444380.35163996933</v>
      </c>
      <c r="Q2413" s="261">
        <v>1</v>
      </c>
      <c r="R2413" s="92"/>
    </row>
    <row r="2414" spans="1:18" x14ac:dyDescent="0.25">
      <c r="A2414" s="353">
        <v>41783</v>
      </c>
      <c r="B2414" s="353" t="s">
        <v>285</v>
      </c>
      <c r="C2414" s="263" t="s">
        <v>763</v>
      </c>
      <c r="D2414" s="157" t="s">
        <v>749</v>
      </c>
      <c r="E2414" s="44">
        <f t="shared" si="185"/>
        <v>41783</v>
      </c>
      <c r="F2414" s="146" t="str">
        <f t="shared" si="181"/>
        <v>2013-14</v>
      </c>
      <c r="G2414" s="1"/>
      <c r="H2414" s="161"/>
      <c r="I2414" s="37"/>
      <c r="J2414" s="135">
        <f t="shared" si="182"/>
        <v>0.76382508261777382</v>
      </c>
      <c r="K2414" s="112"/>
      <c r="L2414" s="37">
        <v>67.895496941999994</v>
      </c>
      <c r="M2414" s="37" t="s">
        <v>288</v>
      </c>
      <c r="N2414" s="37">
        <v>1361.4565853658535</v>
      </c>
      <c r="O2414" s="130">
        <f t="shared" si="183"/>
        <v>92436.77142837306</v>
      </c>
      <c r="P2414" s="132">
        <f t="shared" si="184"/>
        <v>70605.524573197326</v>
      </c>
      <c r="Q2414" s="261">
        <v>1</v>
      </c>
      <c r="R2414" s="92"/>
    </row>
    <row r="2415" spans="1:18" x14ac:dyDescent="0.25">
      <c r="A2415" s="353">
        <v>41783</v>
      </c>
      <c r="B2415" s="353" t="s">
        <v>285</v>
      </c>
      <c r="C2415" s="263" t="s">
        <v>763</v>
      </c>
      <c r="D2415" s="157" t="s">
        <v>749</v>
      </c>
      <c r="E2415" s="44">
        <f t="shared" si="185"/>
        <v>41783</v>
      </c>
      <c r="F2415" s="146" t="str">
        <f t="shared" si="181"/>
        <v>2013-14</v>
      </c>
      <c r="G2415" s="1"/>
      <c r="H2415" s="161"/>
      <c r="I2415" s="37"/>
      <c r="J2415" s="135">
        <f t="shared" si="182"/>
        <v>0.76382508261777382</v>
      </c>
      <c r="K2415" s="112"/>
      <c r="L2415" s="37">
        <v>179.86835586399999</v>
      </c>
      <c r="M2415" s="37" t="s">
        <v>288</v>
      </c>
      <c r="N2415" s="37">
        <v>4137.5668292682922</v>
      </c>
      <c r="O2415" s="130">
        <f t="shared" si="183"/>
        <v>744217.34285791125</v>
      </c>
      <c r="P2415" s="132">
        <f t="shared" si="184"/>
        <v>568451.87339402421</v>
      </c>
      <c r="Q2415" s="261">
        <v>1</v>
      </c>
      <c r="R2415" s="92"/>
    </row>
    <row r="2416" spans="1:18" x14ac:dyDescent="0.25">
      <c r="A2416" s="353">
        <v>40275</v>
      </c>
      <c r="B2416" s="353" t="s">
        <v>285</v>
      </c>
      <c r="C2416" s="263" t="s">
        <v>777</v>
      </c>
      <c r="D2416" s="157" t="s">
        <v>749</v>
      </c>
      <c r="E2416" s="44">
        <f t="shared" si="185"/>
        <v>40275</v>
      </c>
      <c r="F2416" s="146" t="str">
        <f t="shared" si="181"/>
        <v>2009-10</v>
      </c>
      <c r="G2416" s="1"/>
      <c r="H2416" s="161"/>
      <c r="I2416" s="37"/>
      <c r="J2416" s="135">
        <f t="shared" si="182"/>
        <v>0.76382508261777382</v>
      </c>
      <c r="K2416" s="112"/>
      <c r="L2416" s="37">
        <v>66.397691654200003</v>
      </c>
      <c r="M2416" s="37" t="s">
        <v>288</v>
      </c>
      <c r="N2416" s="37">
        <v>1680.8751219512192</v>
      </c>
      <c r="O2416" s="130">
        <f t="shared" si="183"/>
        <v>111606.22805653288</v>
      </c>
      <c r="P2416" s="132">
        <f t="shared" si="184"/>
        <v>85247.636365939339</v>
      </c>
      <c r="Q2416" s="261">
        <v>1</v>
      </c>
      <c r="R2416" s="92"/>
    </row>
    <row r="2417" spans="1:18" x14ac:dyDescent="0.25">
      <c r="A2417" s="353">
        <v>40275</v>
      </c>
      <c r="B2417" s="353" t="s">
        <v>285</v>
      </c>
      <c r="C2417" s="263" t="s">
        <v>777</v>
      </c>
      <c r="D2417" s="157" t="s">
        <v>749</v>
      </c>
      <c r="E2417" s="44">
        <f t="shared" si="185"/>
        <v>40275</v>
      </c>
      <c r="F2417" s="146" t="str">
        <f t="shared" si="181"/>
        <v>2009-10</v>
      </c>
      <c r="G2417" s="1"/>
      <c r="H2417" s="161"/>
      <c r="I2417" s="37"/>
      <c r="J2417" s="135">
        <f t="shared" si="182"/>
        <v>0.76382508261777382</v>
      </c>
      <c r="K2417" s="112"/>
      <c r="L2417" s="37">
        <v>71.1955825175</v>
      </c>
      <c r="M2417" s="37" t="s">
        <v>288</v>
      </c>
      <c r="N2417" s="37">
        <v>1680.8751219512192</v>
      </c>
      <c r="O2417" s="130">
        <f t="shared" si="183"/>
        <v>119670.8834464909</v>
      </c>
      <c r="P2417" s="132">
        <f t="shared" si="184"/>
        <v>91407.622435457888</v>
      </c>
      <c r="Q2417" s="261">
        <v>1</v>
      </c>
      <c r="R2417" s="92"/>
    </row>
    <row r="2418" spans="1:18" x14ac:dyDescent="0.25">
      <c r="A2418" s="353">
        <v>40275</v>
      </c>
      <c r="B2418" s="353" t="s">
        <v>285</v>
      </c>
      <c r="C2418" s="263" t="s">
        <v>777</v>
      </c>
      <c r="D2418" s="157" t="s">
        <v>749</v>
      </c>
      <c r="E2418" s="44">
        <f t="shared" si="185"/>
        <v>40275</v>
      </c>
      <c r="F2418" s="146" t="str">
        <f t="shared" si="181"/>
        <v>2009-10</v>
      </c>
      <c r="G2418" s="1"/>
      <c r="H2418" s="161"/>
      <c r="I2418" s="37"/>
      <c r="J2418" s="135">
        <f t="shared" si="182"/>
        <v>0.76382508261777382</v>
      </c>
      <c r="K2418" s="112"/>
      <c r="L2418" s="37">
        <v>36.172697577000001</v>
      </c>
      <c r="M2418" s="37" t="s">
        <v>288</v>
      </c>
      <c r="N2418" s="37">
        <v>1680.8751219512192</v>
      </c>
      <c r="O2418" s="130">
        <f t="shared" si="183"/>
        <v>60801.787451044445</v>
      </c>
      <c r="P2418" s="132">
        <f t="shared" si="184"/>
        <v>46441.930323102344</v>
      </c>
      <c r="Q2418" s="261">
        <v>1</v>
      </c>
      <c r="R2418" s="92"/>
    </row>
    <row r="2419" spans="1:18" x14ac:dyDescent="0.25">
      <c r="A2419" s="353">
        <v>40275</v>
      </c>
      <c r="B2419" s="353" t="s">
        <v>285</v>
      </c>
      <c r="C2419" s="263" t="s">
        <v>777</v>
      </c>
      <c r="D2419" s="157" t="s">
        <v>749</v>
      </c>
      <c r="E2419" s="44">
        <f t="shared" si="185"/>
        <v>40275</v>
      </c>
      <c r="F2419" s="146" t="str">
        <f t="shared" si="181"/>
        <v>2009-10</v>
      </c>
      <c r="G2419" s="1"/>
      <c r="H2419" s="161"/>
      <c r="I2419" s="37"/>
      <c r="J2419" s="135">
        <f t="shared" si="182"/>
        <v>0.76382508261777382</v>
      </c>
      <c r="K2419" s="112"/>
      <c r="L2419" s="37">
        <v>1.51976215244</v>
      </c>
      <c r="M2419" s="37" t="s">
        <v>288</v>
      </c>
      <c r="N2419" s="37">
        <v>1680.8751219512192</v>
      </c>
      <c r="O2419" s="130">
        <f t="shared" si="183"/>
        <v>2554.5303933194323</v>
      </c>
      <c r="P2419" s="132">
        <f t="shared" si="184"/>
        <v>1951.2143887268296</v>
      </c>
      <c r="Q2419" s="261">
        <v>1</v>
      </c>
      <c r="R2419" s="92"/>
    </row>
    <row r="2420" spans="1:18" x14ac:dyDescent="0.25">
      <c r="A2420" s="353">
        <v>40275</v>
      </c>
      <c r="B2420" s="353" t="s">
        <v>285</v>
      </c>
      <c r="C2420" s="263" t="s">
        <v>777</v>
      </c>
      <c r="D2420" s="157" t="s">
        <v>749</v>
      </c>
      <c r="E2420" s="44">
        <f t="shared" si="185"/>
        <v>40275</v>
      </c>
      <c r="F2420" s="146" t="str">
        <f t="shared" si="181"/>
        <v>2009-10</v>
      </c>
      <c r="G2420" s="1"/>
      <c r="H2420" s="161"/>
      <c r="I2420" s="37"/>
      <c r="J2420" s="135">
        <f t="shared" si="182"/>
        <v>0.76382508261777382</v>
      </c>
      <c r="K2420" s="112"/>
      <c r="L2420" s="37">
        <v>16.8208720939</v>
      </c>
      <c r="M2420" s="37" t="s">
        <v>288</v>
      </c>
      <c r="N2420" s="37">
        <v>1680.8751219512192</v>
      </c>
      <c r="O2420" s="130">
        <f t="shared" si="183"/>
        <v>28273.785432160021</v>
      </c>
      <c r="P2420" s="132">
        <f t="shared" si="184"/>
        <v>21596.226493636837</v>
      </c>
      <c r="Q2420" s="261">
        <v>1</v>
      </c>
      <c r="R2420" s="92"/>
    </row>
    <row r="2421" spans="1:18" x14ac:dyDescent="0.25">
      <c r="A2421" s="353">
        <v>40275</v>
      </c>
      <c r="B2421" s="353" t="s">
        <v>285</v>
      </c>
      <c r="C2421" s="263" t="s">
        <v>777</v>
      </c>
      <c r="D2421" s="157" t="s">
        <v>749</v>
      </c>
      <c r="E2421" s="44">
        <f t="shared" si="185"/>
        <v>40275</v>
      </c>
      <c r="F2421" s="146" t="str">
        <f t="shared" si="181"/>
        <v>2009-10</v>
      </c>
      <c r="G2421" s="1"/>
      <c r="H2421" s="161"/>
      <c r="I2421" s="37"/>
      <c r="J2421" s="135">
        <f t="shared" si="182"/>
        <v>0.76382508261777382</v>
      </c>
      <c r="K2421" s="112"/>
      <c r="L2421" s="37">
        <v>52.6146510584</v>
      </c>
      <c r="M2421" s="37" t="s">
        <v>288</v>
      </c>
      <c r="N2421" s="37">
        <v>1680.8751219512192</v>
      </c>
      <c r="O2421" s="130">
        <f t="shared" si="183"/>
        <v>88438.658014208937</v>
      </c>
      <c r="P2421" s="132">
        <f t="shared" si="184"/>
        <v>67551.665264308191</v>
      </c>
      <c r="Q2421" s="261">
        <v>1</v>
      </c>
      <c r="R2421" s="92"/>
    </row>
    <row r="2422" spans="1:18" x14ac:dyDescent="0.25">
      <c r="A2422" s="353">
        <v>40275</v>
      </c>
      <c r="B2422" s="353" t="s">
        <v>285</v>
      </c>
      <c r="C2422" s="263" t="s">
        <v>777</v>
      </c>
      <c r="D2422" s="157" t="s">
        <v>749</v>
      </c>
      <c r="E2422" s="44">
        <f t="shared" si="185"/>
        <v>40275</v>
      </c>
      <c r="F2422" s="146" t="str">
        <f t="shared" si="181"/>
        <v>2009-10</v>
      </c>
      <c r="G2422" s="1"/>
      <c r="H2422" s="161"/>
      <c r="I2422" s="37"/>
      <c r="J2422" s="135">
        <f t="shared" si="182"/>
        <v>0.76382508261777382</v>
      </c>
      <c r="K2422" s="112"/>
      <c r="L2422" s="37">
        <v>39.920774541599997</v>
      </c>
      <c r="M2422" s="37" t="s">
        <v>288</v>
      </c>
      <c r="N2422" s="37">
        <v>1680.8751219512192</v>
      </c>
      <c r="O2422" s="130">
        <f t="shared" si="183"/>
        <v>67101.836775999021</v>
      </c>
      <c r="P2422" s="132">
        <f t="shared" si="184"/>
        <v>51254.066019231825</v>
      </c>
      <c r="Q2422" s="261">
        <v>1</v>
      </c>
      <c r="R2422" s="92"/>
    </row>
    <row r="2423" spans="1:18" x14ac:dyDescent="0.25">
      <c r="A2423" s="353">
        <v>40275</v>
      </c>
      <c r="B2423" s="353" t="s">
        <v>285</v>
      </c>
      <c r="C2423" s="263" t="s">
        <v>777</v>
      </c>
      <c r="D2423" s="157" t="s">
        <v>749</v>
      </c>
      <c r="E2423" s="44">
        <f t="shared" si="185"/>
        <v>40275</v>
      </c>
      <c r="F2423" s="146" t="str">
        <f t="shared" si="181"/>
        <v>2009-10</v>
      </c>
      <c r="G2423" s="1"/>
      <c r="H2423" s="161"/>
      <c r="I2423" s="37"/>
      <c r="J2423" s="135">
        <f t="shared" si="182"/>
        <v>0.76382508261777382</v>
      </c>
      <c r="K2423" s="112"/>
      <c r="L2423" s="37">
        <v>43.789115645300001</v>
      </c>
      <c r="M2423" s="37" t="s">
        <v>288</v>
      </c>
      <c r="N2423" s="37">
        <v>1680.8751219512192</v>
      </c>
      <c r="O2423" s="130">
        <f t="shared" si="183"/>
        <v>73604.035100429683</v>
      </c>
      <c r="P2423" s="132">
        <f t="shared" si="184"/>
        <v>56220.608191587227</v>
      </c>
      <c r="Q2423" s="261">
        <v>1</v>
      </c>
      <c r="R2423" s="92"/>
    </row>
    <row r="2424" spans="1:18" x14ac:dyDescent="0.25">
      <c r="A2424" s="353">
        <v>40275</v>
      </c>
      <c r="B2424" s="353" t="s">
        <v>285</v>
      </c>
      <c r="C2424" s="263" t="s">
        <v>777</v>
      </c>
      <c r="D2424" s="157" t="s">
        <v>749</v>
      </c>
      <c r="E2424" s="44">
        <f t="shared" si="185"/>
        <v>40275</v>
      </c>
      <c r="F2424" s="146" t="str">
        <f t="shared" si="181"/>
        <v>2009-10</v>
      </c>
      <c r="G2424" s="1"/>
      <c r="H2424" s="161"/>
      <c r="I2424" s="37"/>
      <c r="J2424" s="135">
        <f t="shared" si="182"/>
        <v>0.76382508261777382</v>
      </c>
      <c r="K2424" s="112"/>
      <c r="L2424" s="37">
        <v>9.9942612033099998</v>
      </c>
      <c r="M2424" s="37" t="s">
        <v>288</v>
      </c>
      <c r="N2424" s="37">
        <v>1680.8751219512192</v>
      </c>
      <c r="O2424" s="130">
        <f t="shared" si="183"/>
        <v>16799.105018926035</v>
      </c>
      <c r="P2424" s="132">
        <f t="shared" si="184"/>
        <v>12831.577778985837</v>
      </c>
      <c r="Q2424" s="261">
        <v>1</v>
      </c>
      <c r="R2424" s="92"/>
    </row>
    <row r="2425" spans="1:18" x14ac:dyDescent="0.25">
      <c r="A2425" s="353">
        <v>40275</v>
      </c>
      <c r="B2425" s="353" t="s">
        <v>285</v>
      </c>
      <c r="C2425" s="263" t="s">
        <v>777</v>
      </c>
      <c r="D2425" s="157" t="s">
        <v>749</v>
      </c>
      <c r="E2425" s="44">
        <f t="shared" si="185"/>
        <v>40275</v>
      </c>
      <c r="F2425" s="146" t="str">
        <f t="shared" si="181"/>
        <v>2009-10</v>
      </c>
      <c r="G2425" s="1"/>
      <c r="H2425" s="161"/>
      <c r="I2425" s="37"/>
      <c r="J2425" s="135">
        <f t="shared" si="182"/>
        <v>0.76382508261777382</v>
      </c>
      <c r="K2425" s="112"/>
      <c r="L2425" s="37">
        <v>79.421642749300005</v>
      </c>
      <c r="M2425" s="37" t="s">
        <v>288</v>
      </c>
      <c r="N2425" s="37">
        <v>1361.4565853658535</v>
      </c>
      <c r="O2425" s="130">
        <f t="shared" si="183"/>
        <v>108129.11854160868</v>
      </c>
      <c r="P2425" s="132">
        <f t="shared" si="184"/>
        <v>82591.732903431315</v>
      </c>
      <c r="Q2425" s="261">
        <v>1</v>
      </c>
      <c r="R2425" s="92"/>
    </row>
    <row r="2426" spans="1:18" x14ac:dyDescent="0.25">
      <c r="A2426" s="353">
        <v>40275</v>
      </c>
      <c r="B2426" s="353" t="s">
        <v>285</v>
      </c>
      <c r="C2426" s="263" t="s">
        <v>777</v>
      </c>
      <c r="D2426" s="157" t="s">
        <v>749</v>
      </c>
      <c r="E2426" s="44">
        <f t="shared" si="185"/>
        <v>40275</v>
      </c>
      <c r="F2426" s="146" t="str">
        <f t="shared" si="181"/>
        <v>2009-10</v>
      </c>
      <c r="G2426" s="1"/>
      <c r="H2426" s="161"/>
      <c r="I2426" s="37"/>
      <c r="J2426" s="135">
        <f t="shared" si="182"/>
        <v>0.76382508261777382</v>
      </c>
      <c r="K2426" s="112"/>
      <c r="L2426" s="37">
        <v>14.801943015399999</v>
      </c>
      <c r="M2426" s="37" t="s">
        <v>288</v>
      </c>
      <c r="N2426" s="37">
        <v>1680.8751219512192</v>
      </c>
      <c r="O2426" s="130">
        <f t="shared" si="183"/>
        <v>24880.21777112547</v>
      </c>
      <c r="P2426" s="132">
        <f t="shared" si="184"/>
        <v>19004.134394578115</v>
      </c>
      <c r="Q2426" s="261">
        <v>1</v>
      </c>
      <c r="R2426" s="92"/>
    </row>
    <row r="2427" spans="1:18" x14ac:dyDescent="0.25">
      <c r="A2427" s="353">
        <v>40275</v>
      </c>
      <c r="B2427" s="353" t="s">
        <v>285</v>
      </c>
      <c r="C2427" s="263" t="s">
        <v>777</v>
      </c>
      <c r="D2427" s="157" t="s">
        <v>749</v>
      </c>
      <c r="E2427" s="44">
        <f t="shared" si="185"/>
        <v>40275</v>
      </c>
      <c r="F2427" s="146" t="str">
        <f t="shared" ref="F2427:F2490" si="186">IF(E2427="","-",IF(OR(E2427&lt;$E$15,E2427&gt;$E$16),"ERROR - date outside of range",IF(MONTH(E2427)&gt;=7,YEAR(E2427)&amp;"-"&amp;IF(YEAR(E2427)=1999,"00",IF(AND(YEAR(E2427)&gt;=2000,YEAR(E2427)&lt;2009),"0","")&amp;RIGHT(YEAR(E2427),2)+1),RIGHT(YEAR(E2427),4)-1&amp;"-"&amp;RIGHT(YEAR(E2427),2))))</f>
        <v>2009-10</v>
      </c>
      <c r="G2427" s="1"/>
      <c r="H2427" s="161"/>
      <c r="I2427" s="37"/>
      <c r="J2427" s="135">
        <f t="shared" si="182"/>
        <v>0.76382508261777382</v>
      </c>
      <c r="K2427" s="112"/>
      <c r="L2427" s="37">
        <v>46.9581785102</v>
      </c>
      <c r="M2427" s="37" t="s">
        <v>288</v>
      </c>
      <c r="N2427" s="37">
        <v>1680.8751219512192</v>
      </c>
      <c r="O2427" s="130">
        <f t="shared" si="183"/>
        <v>78930.83402993955</v>
      </c>
      <c r="P2427" s="132">
        <f t="shared" si="184"/>
        <v>60289.350824008368</v>
      </c>
      <c r="Q2427" s="261">
        <v>1</v>
      </c>
      <c r="R2427" s="92"/>
    </row>
    <row r="2428" spans="1:18" x14ac:dyDescent="0.25">
      <c r="A2428" s="353">
        <v>40275</v>
      </c>
      <c r="B2428" s="353" t="s">
        <v>285</v>
      </c>
      <c r="C2428" s="263" t="s">
        <v>777</v>
      </c>
      <c r="D2428" s="157" t="s">
        <v>749</v>
      </c>
      <c r="E2428" s="44">
        <f t="shared" si="185"/>
        <v>40275</v>
      </c>
      <c r="F2428" s="146" t="str">
        <f t="shared" si="186"/>
        <v>2009-10</v>
      </c>
      <c r="G2428" s="1"/>
      <c r="H2428" s="161"/>
      <c r="I2428" s="37"/>
      <c r="J2428" s="135">
        <f t="shared" si="182"/>
        <v>0.76382508261777382</v>
      </c>
      <c r="K2428" s="112"/>
      <c r="L2428" s="37">
        <v>9.9947687316899998</v>
      </c>
      <c r="M2428" s="37" t="s">
        <v>288</v>
      </c>
      <c r="N2428" s="37">
        <v>1361.4565853658535</v>
      </c>
      <c r="O2428" s="130">
        <f t="shared" si="183"/>
        <v>13607.443708968069</v>
      </c>
      <c r="P2428" s="132">
        <f t="shared" si="184"/>
        <v>10393.706815219242</v>
      </c>
      <c r="Q2428" s="261">
        <v>1</v>
      </c>
      <c r="R2428" s="92"/>
    </row>
    <row r="2429" spans="1:18" x14ac:dyDescent="0.25">
      <c r="A2429" s="353">
        <v>41783</v>
      </c>
      <c r="B2429" s="353" t="s">
        <v>285</v>
      </c>
      <c r="C2429" s="263" t="s">
        <v>763</v>
      </c>
      <c r="D2429" s="157" t="s">
        <v>701</v>
      </c>
      <c r="E2429" s="44">
        <f t="shared" si="185"/>
        <v>41783</v>
      </c>
      <c r="F2429" s="146" t="str">
        <f t="shared" si="186"/>
        <v>2013-14</v>
      </c>
      <c r="G2429" s="1"/>
      <c r="H2429" s="161"/>
      <c r="I2429" s="37"/>
      <c r="J2429" s="135">
        <f t="shared" si="182"/>
        <v>0.76382508261777382</v>
      </c>
      <c r="K2429" s="112"/>
      <c r="L2429" s="37">
        <v>206.67704311099999</v>
      </c>
      <c r="M2429" s="37" t="s">
        <v>288</v>
      </c>
      <c r="N2429" s="37">
        <v>3875.3912195121943</v>
      </c>
      <c r="O2429" s="130">
        <f t="shared" si="183"/>
        <v>800954.39814711257</v>
      </c>
      <c r="P2429" s="132">
        <f t="shared" si="184"/>
        <v>611789.05933778756</v>
      </c>
      <c r="Q2429" s="261">
        <v>1</v>
      </c>
      <c r="R2429" s="92"/>
    </row>
    <row r="2430" spans="1:18" x14ac:dyDescent="0.25">
      <c r="A2430" s="353">
        <v>41783</v>
      </c>
      <c r="B2430" s="353" t="s">
        <v>285</v>
      </c>
      <c r="C2430" s="263" t="s">
        <v>763</v>
      </c>
      <c r="D2430" s="157" t="s">
        <v>701</v>
      </c>
      <c r="E2430" s="44">
        <f t="shared" si="185"/>
        <v>41783</v>
      </c>
      <c r="F2430" s="146" t="str">
        <f t="shared" si="186"/>
        <v>2013-14</v>
      </c>
      <c r="G2430" s="1"/>
      <c r="H2430" s="161"/>
      <c r="I2430" s="37"/>
      <c r="J2430" s="135">
        <f t="shared" si="182"/>
        <v>0.76382508261777382</v>
      </c>
      <c r="K2430" s="112"/>
      <c r="L2430" s="37">
        <v>179.825081971</v>
      </c>
      <c r="M2430" s="37" t="s">
        <v>288</v>
      </c>
      <c r="N2430" s="37">
        <v>3875.3912195121943</v>
      </c>
      <c r="O2430" s="130">
        <f t="shared" si="183"/>
        <v>696892.54371847399</v>
      </c>
      <c r="P2430" s="132">
        <f t="shared" si="184"/>
        <v>532304.00478147389</v>
      </c>
      <c r="Q2430" s="261">
        <v>1</v>
      </c>
      <c r="R2430" s="92"/>
    </row>
    <row r="2431" spans="1:18" x14ac:dyDescent="0.25">
      <c r="A2431" s="353">
        <v>41783</v>
      </c>
      <c r="B2431" s="353" t="s">
        <v>285</v>
      </c>
      <c r="C2431" s="263" t="s">
        <v>763</v>
      </c>
      <c r="D2431" s="157" t="s">
        <v>749</v>
      </c>
      <c r="E2431" s="44">
        <f t="shared" si="185"/>
        <v>41783</v>
      </c>
      <c r="F2431" s="146" t="str">
        <f t="shared" si="186"/>
        <v>2013-14</v>
      </c>
      <c r="G2431" s="1"/>
      <c r="H2431" s="161"/>
      <c r="I2431" s="37"/>
      <c r="J2431" s="135">
        <f t="shared" si="182"/>
        <v>0.76382508261777382</v>
      </c>
      <c r="K2431" s="112"/>
      <c r="L2431" s="37">
        <v>155.45371195999999</v>
      </c>
      <c r="M2431" s="37" t="s">
        <v>288</v>
      </c>
      <c r="N2431" s="37">
        <v>4137.5668292682922</v>
      </c>
      <c r="O2431" s="130">
        <f t="shared" si="183"/>
        <v>643200.12209232361</v>
      </c>
      <c r="P2431" s="132">
        <f t="shared" si="184"/>
        <v>491292.38639693131</v>
      </c>
      <c r="Q2431" s="261">
        <v>1</v>
      </c>
      <c r="R2431" s="92"/>
    </row>
    <row r="2432" spans="1:18" x14ac:dyDescent="0.25">
      <c r="A2432" s="353">
        <v>41783</v>
      </c>
      <c r="B2432" s="353" t="s">
        <v>285</v>
      </c>
      <c r="C2432" s="263" t="s">
        <v>763</v>
      </c>
      <c r="D2432" s="157" t="s">
        <v>749</v>
      </c>
      <c r="E2432" s="44">
        <f t="shared" si="185"/>
        <v>41783</v>
      </c>
      <c r="F2432" s="146" t="str">
        <f t="shared" si="186"/>
        <v>2013-14</v>
      </c>
      <c r="G2432" s="1"/>
      <c r="H2432" s="161"/>
      <c r="I2432" s="37"/>
      <c r="J2432" s="135">
        <f t="shared" si="182"/>
        <v>0.76382508261777382</v>
      </c>
      <c r="K2432" s="112"/>
      <c r="L2432" s="37">
        <v>129.01353802599999</v>
      </c>
      <c r="M2432" s="37" t="s">
        <v>288</v>
      </c>
      <c r="N2432" s="37">
        <v>1361.4565853658535</v>
      </c>
      <c r="O2432" s="130">
        <f t="shared" si="183"/>
        <v>175646.33094684564</v>
      </c>
      <c r="P2432" s="132">
        <f t="shared" si="184"/>
        <v>134163.07324698323</v>
      </c>
      <c r="Q2432" s="261">
        <v>1</v>
      </c>
      <c r="R2432" s="92"/>
    </row>
    <row r="2433" spans="1:18" x14ac:dyDescent="0.25">
      <c r="A2433" s="353">
        <v>42332</v>
      </c>
      <c r="B2433" s="353" t="s">
        <v>285</v>
      </c>
      <c r="C2433" s="263" t="s">
        <v>765</v>
      </c>
      <c r="D2433" s="157" t="s">
        <v>716</v>
      </c>
      <c r="E2433" s="44">
        <f t="shared" si="185"/>
        <v>42332</v>
      </c>
      <c r="F2433" s="146" t="str">
        <f t="shared" si="186"/>
        <v>2015-16</v>
      </c>
      <c r="G2433" s="1"/>
      <c r="H2433" s="161"/>
      <c r="I2433" s="37"/>
      <c r="J2433" s="135">
        <f t="shared" si="182"/>
        <v>0.76382508261777382</v>
      </c>
      <c r="K2433" s="112"/>
      <c r="L2433" s="37">
        <v>108.44335024199999</v>
      </c>
      <c r="M2433" s="37" t="s">
        <v>288</v>
      </c>
      <c r="N2433" s="37">
        <v>3875.3912195121943</v>
      </c>
      <c r="O2433" s="130">
        <f t="shared" si="183"/>
        <v>420260.40734233236</v>
      </c>
      <c r="P2433" s="132">
        <f t="shared" si="184"/>
        <v>321005.44035923627</v>
      </c>
      <c r="Q2433" s="261">
        <v>1</v>
      </c>
      <c r="R2433" s="92"/>
    </row>
    <row r="2434" spans="1:18" x14ac:dyDescent="0.25">
      <c r="A2434" s="353">
        <v>42332</v>
      </c>
      <c r="B2434" s="353" t="s">
        <v>285</v>
      </c>
      <c r="C2434" s="263" t="s">
        <v>765</v>
      </c>
      <c r="D2434" s="157" t="s">
        <v>771</v>
      </c>
      <c r="E2434" s="44">
        <f t="shared" si="185"/>
        <v>42332</v>
      </c>
      <c r="F2434" s="146" t="str">
        <f t="shared" si="186"/>
        <v>2015-16</v>
      </c>
      <c r="G2434" s="1"/>
      <c r="H2434" s="161"/>
      <c r="I2434" s="37"/>
      <c r="J2434" s="135">
        <f t="shared" si="182"/>
        <v>0.76382508261777382</v>
      </c>
      <c r="K2434" s="112"/>
      <c r="L2434" s="37">
        <v>175.86702034499999</v>
      </c>
      <c r="M2434" s="37" t="s">
        <v>288</v>
      </c>
      <c r="N2434" s="37">
        <v>1361.4565853658535</v>
      </c>
      <c r="O2434" s="130">
        <f t="shared" si="183"/>
        <v>239435.31299737075</v>
      </c>
      <c r="P2434" s="132">
        <f t="shared" si="184"/>
        <v>182886.69773182925</v>
      </c>
      <c r="Q2434" s="261">
        <v>1</v>
      </c>
      <c r="R2434" s="92"/>
    </row>
    <row r="2435" spans="1:18" x14ac:dyDescent="0.25">
      <c r="A2435" s="353">
        <v>42332</v>
      </c>
      <c r="B2435" s="353" t="s">
        <v>285</v>
      </c>
      <c r="C2435" s="263" t="s">
        <v>765</v>
      </c>
      <c r="D2435" s="157" t="s">
        <v>771</v>
      </c>
      <c r="E2435" s="44">
        <f t="shared" si="185"/>
        <v>42332</v>
      </c>
      <c r="F2435" s="146" t="str">
        <f t="shared" si="186"/>
        <v>2015-16</v>
      </c>
      <c r="G2435" s="1"/>
      <c r="H2435" s="161"/>
      <c r="I2435" s="37"/>
      <c r="J2435" s="135">
        <f t="shared" si="182"/>
        <v>0.76382508261777382</v>
      </c>
      <c r="K2435" s="112"/>
      <c r="L2435" s="37">
        <v>8.6203006908099997</v>
      </c>
      <c r="M2435" s="37" t="s">
        <v>288</v>
      </c>
      <c r="N2435" s="37">
        <v>1361.4565853658535</v>
      </c>
      <c r="O2435" s="130">
        <f t="shared" si="183"/>
        <v>11736.16514333709</v>
      </c>
      <c r="P2435" s="132">
        <f t="shared" si="184"/>
        <v>8964.3773102252908</v>
      </c>
      <c r="Q2435" s="261">
        <v>1</v>
      </c>
      <c r="R2435" s="92"/>
    </row>
    <row r="2436" spans="1:18" x14ac:dyDescent="0.25">
      <c r="A2436" s="353">
        <v>42332</v>
      </c>
      <c r="B2436" s="353" t="s">
        <v>285</v>
      </c>
      <c r="C2436" s="263" t="s">
        <v>765</v>
      </c>
      <c r="D2436" s="157" t="s">
        <v>771</v>
      </c>
      <c r="E2436" s="44">
        <f t="shared" si="185"/>
        <v>42332</v>
      </c>
      <c r="F2436" s="146" t="str">
        <f t="shared" si="186"/>
        <v>2015-16</v>
      </c>
      <c r="G2436" s="1"/>
      <c r="H2436" s="161"/>
      <c r="I2436" s="37"/>
      <c r="J2436" s="135">
        <f t="shared" si="182"/>
        <v>0.76382508261777382</v>
      </c>
      <c r="K2436" s="112"/>
      <c r="L2436" s="37">
        <v>115.62233938599999</v>
      </c>
      <c r="M2436" s="37" t="s">
        <v>288</v>
      </c>
      <c r="N2436" s="37">
        <v>1361.4565853658535</v>
      </c>
      <c r="O2436" s="130">
        <f t="shared" si="183"/>
        <v>157414.79537247538</v>
      </c>
      <c r="P2436" s="132">
        <f t="shared" si="184"/>
        <v>120237.36908064096</v>
      </c>
      <c r="Q2436" s="261">
        <v>1</v>
      </c>
      <c r="R2436" s="92"/>
    </row>
    <row r="2437" spans="1:18" x14ac:dyDescent="0.25">
      <c r="A2437" s="353">
        <v>42332</v>
      </c>
      <c r="B2437" s="353" t="s">
        <v>285</v>
      </c>
      <c r="C2437" s="263" t="s">
        <v>765</v>
      </c>
      <c r="D2437" s="157" t="s">
        <v>771</v>
      </c>
      <c r="E2437" s="44">
        <f t="shared" si="185"/>
        <v>42332</v>
      </c>
      <c r="F2437" s="146" t="str">
        <f t="shared" si="186"/>
        <v>2015-16</v>
      </c>
      <c r="G2437" s="1"/>
      <c r="H2437" s="161"/>
      <c r="I2437" s="37"/>
      <c r="J2437" s="135">
        <f t="shared" si="182"/>
        <v>0.76382508261777382</v>
      </c>
      <c r="K2437" s="112"/>
      <c r="L2437" s="37">
        <v>130.265902254</v>
      </c>
      <c r="M2437" s="37" t="s">
        <v>288</v>
      </c>
      <c r="N2437" s="37">
        <v>4416.6341463414628</v>
      </c>
      <c r="O2437" s="130">
        <f t="shared" si="183"/>
        <v>575336.83199899574</v>
      </c>
      <c r="P2437" s="132">
        <f t="shared" si="184"/>
        <v>439456.70323468116</v>
      </c>
      <c r="Q2437" s="261">
        <v>1</v>
      </c>
      <c r="R2437" s="92"/>
    </row>
    <row r="2438" spans="1:18" x14ac:dyDescent="0.25">
      <c r="A2438" s="353">
        <v>41894</v>
      </c>
      <c r="B2438" s="353" t="s">
        <v>285</v>
      </c>
      <c r="C2438" s="263" t="s">
        <v>763</v>
      </c>
      <c r="D2438" s="157" t="s">
        <v>771</v>
      </c>
      <c r="E2438" s="44">
        <f t="shared" si="185"/>
        <v>41894</v>
      </c>
      <c r="F2438" s="146" t="str">
        <f t="shared" si="186"/>
        <v>2014-15</v>
      </c>
      <c r="G2438" s="1"/>
      <c r="H2438" s="161"/>
      <c r="I2438" s="37"/>
      <c r="J2438" s="135">
        <f t="shared" si="182"/>
        <v>0.76382508261777382</v>
      </c>
      <c r="K2438" s="112"/>
      <c r="L2438" s="37">
        <v>159.96013897500001</v>
      </c>
      <c r="M2438" s="37" t="s">
        <v>288</v>
      </c>
      <c r="N2438" s="37">
        <v>4137.5668292682922</v>
      </c>
      <c r="O2438" s="130">
        <f t="shared" si="183"/>
        <v>661845.76502810617</v>
      </c>
      <c r="P2438" s="132">
        <f t="shared" si="184"/>
        <v>505534.39615281689</v>
      </c>
      <c r="Q2438" s="261">
        <v>1</v>
      </c>
      <c r="R2438" s="92"/>
    </row>
    <row r="2439" spans="1:18" x14ac:dyDescent="0.25">
      <c r="A2439" s="353">
        <v>41894</v>
      </c>
      <c r="B2439" s="353" t="s">
        <v>285</v>
      </c>
      <c r="C2439" s="263" t="s">
        <v>763</v>
      </c>
      <c r="D2439" s="157" t="s">
        <v>771</v>
      </c>
      <c r="E2439" s="44">
        <f t="shared" si="185"/>
        <v>41894</v>
      </c>
      <c r="F2439" s="146" t="str">
        <f t="shared" si="186"/>
        <v>2014-15</v>
      </c>
      <c r="G2439" s="1"/>
      <c r="H2439" s="161"/>
      <c r="I2439" s="37"/>
      <c r="J2439" s="135">
        <f t="shared" si="182"/>
        <v>0.76382508261777382</v>
      </c>
      <c r="K2439" s="112"/>
      <c r="L2439" s="37">
        <v>161.616939363</v>
      </c>
      <c r="M2439" s="37" t="s">
        <v>288</v>
      </c>
      <c r="N2439" s="37">
        <v>4137.5668292682922</v>
      </c>
      <c r="O2439" s="130">
        <f t="shared" si="183"/>
        <v>668700.88735621376</v>
      </c>
      <c r="P2439" s="132">
        <f t="shared" si="184"/>
        <v>510770.51053143863</v>
      </c>
      <c r="Q2439" s="261">
        <v>1</v>
      </c>
      <c r="R2439" s="92"/>
    </row>
    <row r="2440" spans="1:18" x14ac:dyDescent="0.25">
      <c r="A2440" s="353">
        <v>41894</v>
      </c>
      <c r="B2440" s="353" t="s">
        <v>285</v>
      </c>
      <c r="C2440" s="263" t="s">
        <v>763</v>
      </c>
      <c r="D2440" s="157" t="s">
        <v>771</v>
      </c>
      <c r="E2440" s="44">
        <f t="shared" si="185"/>
        <v>41894</v>
      </c>
      <c r="F2440" s="146" t="str">
        <f t="shared" si="186"/>
        <v>2014-15</v>
      </c>
      <c r="G2440" s="1"/>
      <c r="H2440" s="161"/>
      <c r="I2440" s="37"/>
      <c r="J2440" s="135">
        <f t="shared" si="182"/>
        <v>0.76382508261777382</v>
      </c>
      <c r="K2440" s="112"/>
      <c r="L2440" s="37">
        <v>160.74813040000001</v>
      </c>
      <c r="M2440" s="37" t="s">
        <v>288</v>
      </c>
      <c r="N2440" s="37">
        <v>1361.4565853658535</v>
      </c>
      <c r="O2440" s="130">
        <f t="shared" si="183"/>
        <v>218851.60071832896</v>
      </c>
      <c r="P2440" s="132">
        <f t="shared" si="184"/>
        <v>167164.34199970966</v>
      </c>
      <c r="Q2440" s="261">
        <v>1</v>
      </c>
      <c r="R2440" s="92"/>
    </row>
    <row r="2441" spans="1:18" x14ac:dyDescent="0.25">
      <c r="A2441" s="353">
        <v>41894</v>
      </c>
      <c r="B2441" s="353" t="s">
        <v>285</v>
      </c>
      <c r="C2441" s="263" t="s">
        <v>763</v>
      </c>
      <c r="D2441" s="157" t="s">
        <v>771</v>
      </c>
      <c r="E2441" s="44">
        <f t="shared" si="185"/>
        <v>41894</v>
      </c>
      <c r="F2441" s="146" t="str">
        <f t="shared" si="186"/>
        <v>2014-15</v>
      </c>
      <c r="G2441" s="1"/>
      <c r="H2441" s="161"/>
      <c r="I2441" s="37"/>
      <c r="J2441" s="135">
        <f t="shared" si="182"/>
        <v>0.76382508261777382</v>
      </c>
      <c r="K2441" s="112"/>
      <c r="L2441" s="37">
        <v>78.003729359600001</v>
      </c>
      <c r="M2441" s="37" t="s">
        <v>288</v>
      </c>
      <c r="N2441" s="37">
        <v>1361.4565853658535</v>
      </c>
      <c r="O2441" s="130">
        <f t="shared" si="183"/>
        <v>106198.69101972319</v>
      </c>
      <c r="P2441" s="132">
        <f t="shared" si="184"/>
        <v>81117.223942039505</v>
      </c>
      <c r="Q2441" s="261">
        <v>1</v>
      </c>
      <c r="R2441" s="92"/>
    </row>
    <row r="2442" spans="1:18" x14ac:dyDescent="0.25">
      <c r="A2442" s="353">
        <v>42332</v>
      </c>
      <c r="B2442" s="353" t="s">
        <v>285</v>
      </c>
      <c r="C2442" s="263" t="s">
        <v>765</v>
      </c>
      <c r="D2442" s="157" t="s">
        <v>771</v>
      </c>
      <c r="E2442" s="44">
        <f t="shared" si="185"/>
        <v>42332</v>
      </c>
      <c r="F2442" s="146" t="str">
        <f t="shared" si="186"/>
        <v>2015-16</v>
      </c>
      <c r="G2442" s="1"/>
      <c r="H2442" s="161"/>
      <c r="I2442" s="37"/>
      <c r="J2442" s="135">
        <f t="shared" si="182"/>
        <v>0.76382508261777382</v>
      </c>
      <c r="K2442" s="112"/>
      <c r="L2442" s="37">
        <v>196.555722188</v>
      </c>
      <c r="M2442" s="37" t="s">
        <v>288</v>
      </c>
      <c r="N2442" s="37">
        <v>4416.637212438618</v>
      </c>
      <c r="O2442" s="130">
        <f t="shared" si="183"/>
        <v>868115.31693326775</v>
      </c>
      <c r="P2442" s="132">
        <f t="shared" si="184"/>
        <v>663088.2536783081</v>
      </c>
      <c r="Q2442" s="261">
        <v>1</v>
      </c>
      <c r="R2442" s="92"/>
    </row>
    <row r="2443" spans="1:18" x14ac:dyDescent="0.25">
      <c r="A2443" s="353">
        <v>41894</v>
      </c>
      <c r="B2443" s="353" t="s">
        <v>285</v>
      </c>
      <c r="C2443" s="263" t="s">
        <v>763</v>
      </c>
      <c r="D2443" s="157" t="s">
        <v>771</v>
      </c>
      <c r="E2443" s="44">
        <f t="shared" si="185"/>
        <v>41894</v>
      </c>
      <c r="F2443" s="146" t="str">
        <f t="shared" si="186"/>
        <v>2014-15</v>
      </c>
      <c r="G2443" s="1"/>
      <c r="H2443" s="161"/>
      <c r="I2443" s="37"/>
      <c r="J2443" s="135">
        <f t="shared" si="182"/>
        <v>0.76382508261777382</v>
      </c>
      <c r="K2443" s="112"/>
      <c r="L2443" s="37">
        <v>159.68454563</v>
      </c>
      <c r="M2443" s="37" t="s">
        <v>288</v>
      </c>
      <c r="N2443" s="37">
        <v>4137.5668292682922</v>
      </c>
      <c r="O2443" s="130">
        <f t="shared" si="183"/>
        <v>660705.47914546705</v>
      </c>
      <c r="P2443" s="132">
        <f t="shared" si="184"/>
        <v>504663.41719430219</v>
      </c>
      <c r="Q2443" s="261">
        <v>1</v>
      </c>
      <c r="R2443" s="92"/>
    </row>
    <row r="2444" spans="1:18" x14ac:dyDescent="0.25">
      <c r="A2444" s="353">
        <v>41894</v>
      </c>
      <c r="B2444" s="353" t="s">
        <v>285</v>
      </c>
      <c r="C2444" s="263" t="s">
        <v>763</v>
      </c>
      <c r="D2444" s="157" t="s">
        <v>771</v>
      </c>
      <c r="E2444" s="44">
        <f t="shared" si="185"/>
        <v>41894</v>
      </c>
      <c r="F2444" s="146" t="str">
        <f t="shared" si="186"/>
        <v>2014-15</v>
      </c>
      <c r="G2444" s="1"/>
      <c r="H2444" s="161"/>
      <c r="I2444" s="37"/>
      <c r="J2444" s="135">
        <f t="shared" si="182"/>
        <v>0.76382508261777382</v>
      </c>
      <c r="K2444" s="112"/>
      <c r="L2444" s="37">
        <v>175.98710317499999</v>
      </c>
      <c r="M2444" s="37" t="s">
        <v>288</v>
      </c>
      <c r="N2444" s="37">
        <v>1361.4565853658535</v>
      </c>
      <c r="O2444" s="130">
        <f t="shared" si="183"/>
        <v>239598.80055706363</v>
      </c>
      <c r="P2444" s="132">
        <f t="shared" si="184"/>
        <v>183011.57363061863</v>
      </c>
      <c r="Q2444" s="261">
        <v>1</v>
      </c>
      <c r="R2444" s="92"/>
    </row>
    <row r="2445" spans="1:18" x14ac:dyDescent="0.25">
      <c r="A2445" s="353">
        <v>41894</v>
      </c>
      <c r="B2445" s="353" t="s">
        <v>285</v>
      </c>
      <c r="C2445" s="263" t="s">
        <v>763</v>
      </c>
      <c r="D2445" s="157" t="s">
        <v>771</v>
      </c>
      <c r="E2445" s="44">
        <f t="shared" si="185"/>
        <v>41894</v>
      </c>
      <c r="F2445" s="146" t="str">
        <f t="shared" si="186"/>
        <v>2014-15</v>
      </c>
      <c r="G2445" s="1"/>
      <c r="H2445" s="161"/>
      <c r="I2445" s="37"/>
      <c r="J2445" s="135">
        <f t="shared" si="182"/>
        <v>0.76382508261777382</v>
      </c>
      <c r="K2445" s="112"/>
      <c r="L2445" s="37">
        <v>100.91607607500001</v>
      </c>
      <c r="M2445" s="37" t="s">
        <v>288</v>
      </c>
      <c r="N2445" s="37">
        <v>4137.5668292682922</v>
      </c>
      <c r="O2445" s="130">
        <f t="shared" si="183"/>
        <v>417547.00890783552</v>
      </c>
      <c r="P2445" s="132">
        <f t="shared" si="184"/>
        <v>318932.87857583183</v>
      </c>
      <c r="Q2445" s="261">
        <v>1</v>
      </c>
      <c r="R2445" s="92"/>
    </row>
    <row r="2446" spans="1:18" x14ac:dyDescent="0.25">
      <c r="A2446" s="353">
        <v>40275</v>
      </c>
      <c r="B2446" s="353" t="s">
        <v>285</v>
      </c>
      <c r="C2446" s="263" t="s">
        <v>777</v>
      </c>
      <c r="D2446" s="157" t="s">
        <v>701</v>
      </c>
      <c r="E2446" s="44">
        <f t="shared" si="185"/>
        <v>40275</v>
      </c>
      <c r="F2446" s="146" t="str">
        <f t="shared" si="186"/>
        <v>2009-10</v>
      </c>
      <c r="G2446" s="1"/>
      <c r="H2446" s="161"/>
      <c r="I2446" s="37"/>
      <c r="J2446" s="135">
        <f t="shared" si="182"/>
        <v>0.76382508261777382</v>
      </c>
      <c r="K2446" s="112"/>
      <c r="L2446" s="37">
        <v>121.06142956399999</v>
      </c>
      <c r="M2446" s="37" t="s">
        <v>288</v>
      </c>
      <c r="N2446" s="37">
        <v>1162.6195121951216</v>
      </c>
      <c r="O2446" s="130">
        <f t="shared" si="183"/>
        <v>140748.38018534175</v>
      </c>
      <c r="P2446" s="132">
        <f t="shared" si="184"/>
        <v>107507.1431233865</v>
      </c>
      <c r="Q2446" s="261">
        <v>1</v>
      </c>
      <c r="R2446" s="92"/>
    </row>
    <row r="2447" spans="1:18" x14ac:dyDescent="0.25">
      <c r="A2447" s="353">
        <v>40275</v>
      </c>
      <c r="B2447" s="353" t="s">
        <v>285</v>
      </c>
      <c r="C2447" s="263" t="s">
        <v>777</v>
      </c>
      <c r="D2447" s="157" t="s">
        <v>701</v>
      </c>
      <c r="E2447" s="44">
        <f t="shared" si="185"/>
        <v>40275</v>
      </c>
      <c r="F2447" s="146" t="str">
        <f t="shared" si="186"/>
        <v>2009-10</v>
      </c>
      <c r="G2447" s="1"/>
      <c r="H2447" s="161"/>
      <c r="I2447" s="37"/>
      <c r="J2447" s="135">
        <f t="shared" si="182"/>
        <v>0.76382508261777382</v>
      </c>
      <c r="K2447" s="112"/>
      <c r="L2447" s="37">
        <v>44.263742603799997</v>
      </c>
      <c r="M2447" s="37" t="s">
        <v>288</v>
      </c>
      <c r="N2447" s="37">
        <v>3875.3912195121943</v>
      </c>
      <c r="O2447" s="130">
        <f t="shared" si="183"/>
        <v>171539.31942951435</v>
      </c>
      <c r="P2447" s="132">
        <f t="shared" si="184"/>
        <v>131026.03483544549</v>
      </c>
      <c r="Q2447" s="261">
        <v>1</v>
      </c>
      <c r="R2447" s="92"/>
    </row>
    <row r="2448" spans="1:18" x14ac:dyDescent="0.25">
      <c r="A2448" s="353">
        <v>40275</v>
      </c>
      <c r="B2448" s="353" t="s">
        <v>285</v>
      </c>
      <c r="C2448" s="263" t="s">
        <v>777</v>
      </c>
      <c r="D2448" s="157" t="s">
        <v>701</v>
      </c>
      <c r="E2448" s="44">
        <f t="shared" si="185"/>
        <v>40275</v>
      </c>
      <c r="F2448" s="146" t="str">
        <f t="shared" si="186"/>
        <v>2009-10</v>
      </c>
      <c r="G2448" s="1"/>
      <c r="H2448" s="161"/>
      <c r="I2448" s="37"/>
      <c r="J2448" s="135">
        <f t="shared" si="182"/>
        <v>0.76382508261777382</v>
      </c>
      <c r="K2448" s="112"/>
      <c r="L2448" s="37">
        <v>49.132362053900003</v>
      </c>
      <c r="M2448" s="37" t="s">
        <v>288</v>
      </c>
      <c r="N2448" s="37">
        <v>1162.6195121951216</v>
      </c>
      <c r="O2448" s="130">
        <f t="shared" si="183"/>
        <v>57122.242804099325</v>
      </c>
      <c r="P2448" s="132">
        <f t="shared" si="184"/>
        <v>43631.401829153707</v>
      </c>
      <c r="Q2448" s="261">
        <v>1</v>
      </c>
      <c r="R2448" s="92"/>
    </row>
    <row r="2449" spans="1:18" x14ac:dyDescent="0.25">
      <c r="A2449" s="353">
        <v>40275</v>
      </c>
      <c r="B2449" s="353" t="s">
        <v>285</v>
      </c>
      <c r="C2449" s="263" t="s">
        <v>777</v>
      </c>
      <c r="D2449" s="157" t="s">
        <v>701</v>
      </c>
      <c r="E2449" s="44">
        <f t="shared" si="185"/>
        <v>40275</v>
      </c>
      <c r="F2449" s="146" t="str">
        <f t="shared" si="186"/>
        <v>2009-10</v>
      </c>
      <c r="G2449" s="1"/>
      <c r="H2449" s="161"/>
      <c r="I2449" s="37"/>
      <c r="J2449" s="135">
        <f t="shared" si="182"/>
        <v>0.76382508261777382</v>
      </c>
      <c r="K2449" s="112"/>
      <c r="L2449" s="37">
        <v>94.794132149600003</v>
      </c>
      <c r="M2449" s="37" t="s">
        <v>288</v>
      </c>
      <c r="N2449" s="37">
        <v>1162.6195121951216</v>
      </c>
      <c r="O2449" s="130">
        <f t="shared" si="183"/>
        <v>110209.50767872785</v>
      </c>
      <c r="P2449" s="132">
        <f t="shared" si="184"/>
        <v>84180.786307968476</v>
      </c>
      <c r="Q2449" s="261">
        <v>1</v>
      </c>
      <c r="R2449" s="92"/>
    </row>
    <row r="2450" spans="1:18" x14ac:dyDescent="0.25">
      <c r="A2450" s="353">
        <v>40275</v>
      </c>
      <c r="B2450" s="353" t="s">
        <v>285</v>
      </c>
      <c r="C2450" s="263" t="s">
        <v>777</v>
      </c>
      <c r="D2450" s="157" t="s">
        <v>749</v>
      </c>
      <c r="E2450" s="44">
        <f t="shared" si="185"/>
        <v>40275</v>
      </c>
      <c r="F2450" s="146" t="str">
        <f t="shared" si="186"/>
        <v>2009-10</v>
      </c>
      <c r="G2450" s="1"/>
      <c r="H2450" s="161"/>
      <c r="I2450" s="37"/>
      <c r="J2450" s="135">
        <f t="shared" si="182"/>
        <v>0.76382508261777382</v>
      </c>
      <c r="K2450" s="112"/>
      <c r="L2450" s="37">
        <v>144.36062867699999</v>
      </c>
      <c r="M2450" s="37" t="s">
        <v>288</v>
      </c>
      <c r="N2450" s="37">
        <v>1361.4565853658535</v>
      </c>
      <c r="O2450" s="130">
        <f t="shared" si="183"/>
        <v>196540.72857985631</v>
      </c>
      <c r="P2450" s="132">
        <f t="shared" si="184"/>
        <v>150122.7382452662</v>
      </c>
      <c r="Q2450" s="261">
        <v>1</v>
      </c>
      <c r="R2450" s="92"/>
    </row>
    <row r="2451" spans="1:18" x14ac:dyDescent="0.25">
      <c r="A2451" s="353">
        <v>42917</v>
      </c>
      <c r="B2451" s="353" t="s">
        <v>285</v>
      </c>
      <c r="C2451" s="263" t="s">
        <v>768</v>
      </c>
      <c r="D2451" s="157" t="s">
        <v>701</v>
      </c>
      <c r="E2451" s="44">
        <f t="shared" si="185"/>
        <v>42917</v>
      </c>
      <c r="F2451" s="146" t="str">
        <f t="shared" si="186"/>
        <v>2017-18</v>
      </c>
      <c r="G2451" s="1"/>
      <c r="H2451" s="161"/>
      <c r="I2451" s="37"/>
      <c r="J2451" s="135">
        <f t="shared" si="182"/>
        <v>0.76382508261777382</v>
      </c>
      <c r="K2451" s="112"/>
      <c r="L2451" s="37">
        <v>119.797310227</v>
      </c>
      <c r="M2451" s="37" t="s">
        <v>288</v>
      </c>
      <c r="N2451" s="37">
        <v>3592.3639024390236</v>
      </c>
      <c r="O2451" s="130">
        <f t="shared" si="183"/>
        <v>430355.53286876407</v>
      </c>
      <c r="P2451" s="132">
        <f t="shared" si="184"/>
        <v>328716.35044849978</v>
      </c>
      <c r="Q2451" s="261">
        <v>1</v>
      </c>
      <c r="R2451" s="92"/>
    </row>
    <row r="2452" spans="1:18" x14ac:dyDescent="0.25">
      <c r="A2452" s="353">
        <v>42917</v>
      </c>
      <c r="B2452" s="353" t="s">
        <v>285</v>
      </c>
      <c r="C2452" s="263" t="s">
        <v>768</v>
      </c>
      <c r="D2452" s="157" t="s">
        <v>701</v>
      </c>
      <c r="E2452" s="44">
        <f t="shared" si="185"/>
        <v>42917</v>
      </c>
      <c r="F2452" s="146" t="str">
        <f t="shared" si="186"/>
        <v>2017-18</v>
      </c>
      <c r="G2452" s="1"/>
      <c r="H2452" s="161"/>
      <c r="I2452" s="37"/>
      <c r="J2452" s="135">
        <f t="shared" si="182"/>
        <v>0.76382508261777382</v>
      </c>
      <c r="K2452" s="112"/>
      <c r="L2452" s="37">
        <v>64.339241351799998</v>
      </c>
      <c r="M2452" s="37" t="s">
        <v>288</v>
      </c>
      <c r="N2452" s="37">
        <v>3592.3639024390236</v>
      </c>
      <c r="O2452" s="130">
        <f t="shared" si="183"/>
        <v>231129.96814251845</v>
      </c>
      <c r="P2452" s="132">
        <f t="shared" si="184"/>
        <v>176542.86701190259</v>
      </c>
      <c r="Q2452" s="261">
        <v>1</v>
      </c>
      <c r="R2452" s="92"/>
    </row>
    <row r="2453" spans="1:18" x14ac:dyDescent="0.25">
      <c r="A2453" s="353">
        <v>42917</v>
      </c>
      <c r="B2453" s="353" t="s">
        <v>285</v>
      </c>
      <c r="C2453" s="263" t="s">
        <v>768</v>
      </c>
      <c r="D2453" s="157" t="s">
        <v>778</v>
      </c>
      <c r="E2453" s="44">
        <f t="shared" si="185"/>
        <v>42917</v>
      </c>
      <c r="F2453" s="146" t="str">
        <f t="shared" si="186"/>
        <v>2017-18</v>
      </c>
      <c r="G2453" s="1"/>
      <c r="H2453" s="161"/>
      <c r="I2453" s="37"/>
      <c r="J2453" s="135">
        <f t="shared" si="182"/>
        <v>0.76382508261777382</v>
      </c>
      <c r="K2453" s="112"/>
      <c r="L2453" s="37">
        <v>88.002383246099996</v>
      </c>
      <c r="M2453" s="37" t="s">
        <v>288</v>
      </c>
      <c r="N2453" s="37">
        <v>950.87219512195099</v>
      </c>
      <c r="O2453" s="130">
        <f t="shared" si="183"/>
        <v>83679.01933318231</v>
      </c>
      <c r="P2453" s="132">
        <f t="shared" si="184"/>
        <v>63916.13385554227</v>
      </c>
      <c r="Q2453" s="261">
        <v>1</v>
      </c>
      <c r="R2453" s="92"/>
    </row>
    <row r="2454" spans="1:18" x14ac:dyDescent="0.25">
      <c r="A2454" s="353">
        <v>42917</v>
      </c>
      <c r="B2454" s="353" t="s">
        <v>285</v>
      </c>
      <c r="C2454" s="263" t="s">
        <v>768</v>
      </c>
      <c r="D2454" s="157" t="s">
        <v>701</v>
      </c>
      <c r="E2454" s="44">
        <f t="shared" si="185"/>
        <v>42917</v>
      </c>
      <c r="F2454" s="146" t="str">
        <f t="shared" si="186"/>
        <v>2017-18</v>
      </c>
      <c r="G2454" s="1"/>
      <c r="H2454" s="161"/>
      <c r="I2454" s="37"/>
      <c r="J2454" s="135">
        <f t="shared" si="182"/>
        <v>0.76382508261777382</v>
      </c>
      <c r="K2454" s="112"/>
      <c r="L2454" s="37">
        <v>103.65768721000001</v>
      </c>
      <c r="M2454" s="37" t="s">
        <v>288</v>
      </c>
      <c r="N2454" s="37">
        <v>3592.3639024390236</v>
      </c>
      <c r="O2454" s="130">
        <f t="shared" si="183"/>
        <v>372376.13374351931</v>
      </c>
      <c r="P2454" s="132">
        <f t="shared" si="184"/>
        <v>284430.23112153081</v>
      </c>
      <c r="Q2454" s="261">
        <v>1</v>
      </c>
      <c r="R2454" s="92"/>
    </row>
    <row r="2455" spans="1:18" x14ac:dyDescent="0.25">
      <c r="A2455" s="353">
        <v>42917</v>
      </c>
      <c r="B2455" s="353" t="s">
        <v>285</v>
      </c>
      <c r="C2455" s="263" t="s">
        <v>768</v>
      </c>
      <c r="D2455" s="157" t="s">
        <v>701</v>
      </c>
      <c r="E2455" s="44">
        <f t="shared" si="185"/>
        <v>42917</v>
      </c>
      <c r="F2455" s="146" t="str">
        <f t="shared" si="186"/>
        <v>2017-18</v>
      </c>
      <c r="G2455" s="1"/>
      <c r="H2455" s="161"/>
      <c r="I2455" s="37"/>
      <c r="J2455" s="135">
        <f t="shared" si="182"/>
        <v>0.76382508261777382</v>
      </c>
      <c r="K2455" s="112"/>
      <c r="L2455" s="37">
        <v>9.3997060592300006</v>
      </c>
      <c r="M2455" s="37" t="s">
        <v>288</v>
      </c>
      <c r="N2455" s="37">
        <v>950.87219512195099</v>
      </c>
      <c r="O2455" s="130">
        <f t="shared" si="183"/>
        <v>8937.9191340411344</v>
      </c>
      <c r="P2455" s="132">
        <f t="shared" si="184"/>
        <v>6827.0068209899509</v>
      </c>
      <c r="Q2455" s="261">
        <v>1</v>
      </c>
      <c r="R2455" s="92"/>
    </row>
    <row r="2456" spans="1:18" x14ac:dyDescent="0.25">
      <c r="A2456" s="353">
        <v>42917</v>
      </c>
      <c r="B2456" s="353" t="s">
        <v>285</v>
      </c>
      <c r="C2456" s="263" t="s">
        <v>768</v>
      </c>
      <c r="D2456" s="157" t="s">
        <v>701</v>
      </c>
      <c r="E2456" s="44">
        <f t="shared" si="185"/>
        <v>42917</v>
      </c>
      <c r="F2456" s="146" t="str">
        <f t="shared" si="186"/>
        <v>2017-18</v>
      </c>
      <c r="G2456" s="1"/>
      <c r="H2456" s="161"/>
      <c r="I2456" s="37"/>
      <c r="J2456" s="135">
        <f t="shared" si="182"/>
        <v>0.76382508261777382</v>
      </c>
      <c r="K2456" s="112"/>
      <c r="L2456" s="37">
        <v>46.686766626100002</v>
      </c>
      <c r="M2456" s="37" t="s">
        <v>288</v>
      </c>
      <c r="N2456" s="37">
        <v>950.87219512195099</v>
      </c>
      <c r="O2456" s="130">
        <f t="shared" si="183"/>
        <v>44393.148264905954</v>
      </c>
      <c r="P2456" s="132">
        <f t="shared" si="184"/>
        <v>33908.600141104871</v>
      </c>
      <c r="Q2456" s="261">
        <v>1</v>
      </c>
      <c r="R2456" s="92"/>
    </row>
    <row r="2457" spans="1:18" x14ac:dyDescent="0.25">
      <c r="A2457" s="353">
        <v>42917</v>
      </c>
      <c r="B2457" s="353" t="s">
        <v>285</v>
      </c>
      <c r="C2457" s="263" t="s">
        <v>768</v>
      </c>
      <c r="D2457" s="157" t="s">
        <v>778</v>
      </c>
      <c r="E2457" s="44">
        <f t="shared" si="185"/>
        <v>42917</v>
      </c>
      <c r="F2457" s="146" t="str">
        <f t="shared" si="186"/>
        <v>2017-18</v>
      </c>
      <c r="G2457" s="1"/>
      <c r="H2457" s="161"/>
      <c r="I2457" s="37"/>
      <c r="J2457" s="135">
        <f t="shared" si="182"/>
        <v>0.76382508261777382</v>
      </c>
      <c r="K2457" s="112"/>
      <c r="L2457" s="37">
        <v>101.582933985</v>
      </c>
      <c r="M2457" s="37" t="s">
        <v>288</v>
      </c>
      <c r="N2457" s="37">
        <v>1162.6195121951216</v>
      </c>
      <c r="O2457" s="130">
        <f t="shared" si="183"/>
        <v>118102.30115698994</v>
      </c>
      <c r="P2457" s="132">
        <f t="shared" si="184"/>
        <v>90209.499938587047</v>
      </c>
      <c r="Q2457" s="261">
        <v>1</v>
      </c>
      <c r="R2457" s="92"/>
    </row>
    <row r="2458" spans="1:18" x14ac:dyDescent="0.25">
      <c r="A2458" s="353">
        <v>42917</v>
      </c>
      <c r="B2458" s="353" t="s">
        <v>285</v>
      </c>
      <c r="C2458" s="263" t="s">
        <v>768</v>
      </c>
      <c r="D2458" s="157" t="s">
        <v>779</v>
      </c>
      <c r="E2458" s="44">
        <f t="shared" si="185"/>
        <v>42917</v>
      </c>
      <c r="F2458" s="146" t="str">
        <f t="shared" si="186"/>
        <v>2017-18</v>
      </c>
      <c r="G2458" s="1"/>
      <c r="H2458" s="161"/>
      <c r="I2458" s="37"/>
      <c r="J2458" s="135">
        <f t="shared" ref="J2458:J2521" si="187">J2457</f>
        <v>0.76382508261777382</v>
      </c>
      <c r="K2458" s="112"/>
      <c r="L2458" s="37">
        <v>108.29572511000001</v>
      </c>
      <c r="M2458" s="37" t="s">
        <v>288</v>
      </c>
      <c r="N2458" s="37">
        <v>4137.5668292682922</v>
      </c>
      <c r="O2458" s="130">
        <f t="shared" ref="O2458:O2521" si="188">IF(N2458="","-",L2458*N2458)</f>
        <v>448080.79996669327</v>
      </c>
      <c r="P2458" s="132">
        <f t="shared" ref="P2458:P2521" si="189">IF(O2458="-","-",IF(OR(E2458&lt;$E$15,E2458&gt;$E$16),0,O2458*J2458))*Q2458</f>
        <v>342255.35405399767</v>
      </c>
      <c r="Q2458" s="261">
        <v>1</v>
      </c>
      <c r="R2458" s="92"/>
    </row>
    <row r="2459" spans="1:18" x14ac:dyDescent="0.25">
      <c r="A2459" s="353">
        <v>42917</v>
      </c>
      <c r="B2459" s="353" t="s">
        <v>285</v>
      </c>
      <c r="C2459" s="263" t="s">
        <v>768</v>
      </c>
      <c r="D2459" s="157" t="s">
        <v>701</v>
      </c>
      <c r="E2459" s="44">
        <f t="shared" ref="E2459:E2509" si="190">IF(VALUE(A2459)&lt;2022,DATEVALUE("30 Jun "&amp;A2459),A2459)</f>
        <v>42917</v>
      </c>
      <c r="F2459" s="146" t="str">
        <f t="shared" si="186"/>
        <v>2017-18</v>
      </c>
      <c r="G2459" s="1"/>
      <c r="H2459" s="161"/>
      <c r="I2459" s="37"/>
      <c r="J2459" s="135">
        <f t="shared" si="187"/>
        <v>0.76382508261777382</v>
      </c>
      <c r="K2459" s="112"/>
      <c r="L2459" s="37">
        <v>59.290774041100001</v>
      </c>
      <c r="M2459" s="37" t="s">
        <v>288</v>
      </c>
      <c r="N2459" s="37">
        <v>3592.3639024390236</v>
      </c>
      <c r="O2459" s="130">
        <f t="shared" si="188"/>
        <v>212994.03641291635</v>
      </c>
      <c r="P2459" s="132">
        <f t="shared" si="189"/>
        <v>162690.18746018896</v>
      </c>
      <c r="Q2459" s="261">
        <v>1</v>
      </c>
      <c r="R2459" s="92"/>
    </row>
    <row r="2460" spans="1:18" x14ac:dyDescent="0.25">
      <c r="A2460" s="353">
        <v>42917</v>
      </c>
      <c r="B2460" s="353" t="s">
        <v>285</v>
      </c>
      <c r="C2460" s="263" t="s">
        <v>768</v>
      </c>
      <c r="D2460" s="157" t="s">
        <v>780</v>
      </c>
      <c r="E2460" s="44">
        <f t="shared" si="190"/>
        <v>42917</v>
      </c>
      <c r="F2460" s="146" t="str">
        <f t="shared" si="186"/>
        <v>2017-18</v>
      </c>
      <c r="G2460" s="1"/>
      <c r="H2460" s="161"/>
      <c r="I2460" s="37"/>
      <c r="J2460" s="135">
        <f t="shared" si="187"/>
        <v>0.76382508261777382</v>
      </c>
      <c r="K2460" s="112"/>
      <c r="L2460" s="37">
        <v>64.271966339399995</v>
      </c>
      <c r="M2460" s="37" t="s">
        <v>288</v>
      </c>
      <c r="N2460" s="37">
        <v>3875.3912195121943</v>
      </c>
      <c r="O2460" s="130">
        <f t="shared" si="188"/>
        <v>249079.01401249404</v>
      </c>
      <c r="P2460" s="132">
        <f t="shared" si="189"/>
        <v>190252.79845644691</v>
      </c>
      <c r="Q2460" s="261">
        <v>1</v>
      </c>
      <c r="R2460" s="92"/>
    </row>
    <row r="2461" spans="1:18" x14ac:dyDescent="0.25">
      <c r="A2461" s="353">
        <v>42917</v>
      </c>
      <c r="B2461" s="353" t="s">
        <v>285</v>
      </c>
      <c r="C2461" s="263" t="s">
        <v>768</v>
      </c>
      <c r="D2461" s="157" t="s">
        <v>780</v>
      </c>
      <c r="E2461" s="44">
        <f t="shared" si="190"/>
        <v>42917</v>
      </c>
      <c r="F2461" s="146" t="str">
        <f t="shared" si="186"/>
        <v>2017-18</v>
      </c>
      <c r="G2461" s="1"/>
      <c r="H2461" s="161"/>
      <c r="I2461" s="37"/>
      <c r="J2461" s="135">
        <f t="shared" si="187"/>
        <v>0.76382508261777382</v>
      </c>
      <c r="K2461" s="112"/>
      <c r="L2461" s="37">
        <v>117.34257063</v>
      </c>
      <c r="M2461" s="37" t="s">
        <v>288</v>
      </c>
      <c r="N2461" s="37">
        <v>1162.6195121951216</v>
      </c>
      <c r="O2461" s="130">
        <f t="shared" si="188"/>
        <v>136424.76222557219</v>
      </c>
      <c r="P2461" s="132">
        <f t="shared" si="189"/>
        <v>104204.65527805783</v>
      </c>
      <c r="Q2461" s="261">
        <v>1</v>
      </c>
      <c r="R2461" s="92"/>
    </row>
    <row r="2462" spans="1:18" x14ac:dyDescent="0.25">
      <c r="A2462" s="353">
        <v>42917</v>
      </c>
      <c r="B2462" s="353" t="s">
        <v>285</v>
      </c>
      <c r="C2462" s="263" t="s">
        <v>768</v>
      </c>
      <c r="D2462" s="157" t="s">
        <v>778</v>
      </c>
      <c r="E2462" s="44">
        <f t="shared" si="190"/>
        <v>42917</v>
      </c>
      <c r="F2462" s="146" t="str">
        <f t="shared" si="186"/>
        <v>2017-18</v>
      </c>
      <c r="G2462" s="1"/>
      <c r="H2462" s="161"/>
      <c r="I2462" s="37"/>
      <c r="J2462" s="135">
        <f t="shared" si="187"/>
        <v>0.76382508261777382</v>
      </c>
      <c r="K2462" s="112"/>
      <c r="L2462" s="37">
        <v>60.917662102199998</v>
      </c>
      <c r="M2462" s="37" t="s">
        <v>288</v>
      </c>
      <c r="N2462" s="37">
        <v>950.87219512195099</v>
      </c>
      <c r="O2462" s="130">
        <f t="shared" si="188"/>
        <v>57924.911084816194</v>
      </c>
      <c r="P2462" s="132">
        <f t="shared" si="189"/>
        <v>44244.499994986931</v>
      </c>
      <c r="Q2462" s="261">
        <v>1</v>
      </c>
      <c r="R2462" s="92"/>
    </row>
    <row r="2463" spans="1:18" x14ac:dyDescent="0.25">
      <c r="A2463" s="353">
        <v>42917</v>
      </c>
      <c r="B2463" s="353" t="s">
        <v>285</v>
      </c>
      <c r="C2463" s="263" t="s">
        <v>768</v>
      </c>
      <c r="D2463" s="157" t="s">
        <v>778</v>
      </c>
      <c r="E2463" s="44">
        <f t="shared" si="190"/>
        <v>42917</v>
      </c>
      <c r="F2463" s="146" t="str">
        <f t="shared" si="186"/>
        <v>2017-18</v>
      </c>
      <c r="G2463" s="1"/>
      <c r="H2463" s="161"/>
      <c r="I2463" s="37"/>
      <c r="J2463" s="135">
        <f t="shared" si="187"/>
        <v>0.76382508261777382</v>
      </c>
      <c r="K2463" s="112"/>
      <c r="L2463" s="37">
        <v>36.989462999600001</v>
      </c>
      <c r="M2463" s="37" t="s">
        <v>288</v>
      </c>
      <c r="N2463" s="37">
        <v>950.87219512195099</v>
      </c>
      <c r="O2463" s="130">
        <f t="shared" si="188"/>
        <v>35172.25187881184</v>
      </c>
      <c r="P2463" s="132">
        <f t="shared" si="189"/>
        <v>26865.448197186604</v>
      </c>
      <c r="Q2463" s="261">
        <v>1</v>
      </c>
      <c r="R2463" s="92"/>
    </row>
    <row r="2464" spans="1:18" x14ac:dyDescent="0.25">
      <c r="A2464" s="353">
        <v>42917</v>
      </c>
      <c r="B2464" s="353" t="s">
        <v>285</v>
      </c>
      <c r="C2464" s="263" t="s">
        <v>768</v>
      </c>
      <c r="D2464" s="157" t="s">
        <v>778</v>
      </c>
      <c r="E2464" s="44">
        <f t="shared" si="190"/>
        <v>42917</v>
      </c>
      <c r="F2464" s="146" t="str">
        <f t="shared" si="186"/>
        <v>2017-18</v>
      </c>
      <c r="G2464" s="1"/>
      <c r="H2464" s="161"/>
      <c r="I2464" s="37"/>
      <c r="J2464" s="135">
        <f t="shared" si="187"/>
        <v>0.76382508261777382</v>
      </c>
      <c r="K2464" s="112"/>
      <c r="L2464" s="37">
        <v>4.9619678556000002</v>
      </c>
      <c r="M2464" s="37" t="s">
        <v>288</v>
      </c>
      <c r="N2464" s="37">
        <v>950.87219512195099</v>
      </c>
      <c r="O2464" s="130">
        <f t="shared" si="188"/>
        <v>4718.197266978932</v>
      </c>
      <c r="P2464" s="132">
        <f t="shared" si="189"/>
        <v>3603.8774172571375</v>
      </c>
      <c r="Q2464" s="261">
        <v>1</v>
      </c>
      <c r="R2464" s="92"/>
    </row>
    <row r="2465" spans="1:18" x14ac:dyDescent="0.25">
      <c r="A2465" s="353">
        <v>42917</v>
      </c>
      <c r="B2465" s="353" t="s">
        <v>285</v>
      </c>
      <c r="C2465" s="263" t="s">
        <v>768</v>
      </c>
      <c r="D2465" s="157" t="s">
        <v>778</v>
      </c>
      <c r="E2465" s="44">
        <f t="shared" si="190"/>
        <v>42917</v>
      </c>
      <c r="F2465" s="146" t="str">
        <f t="shared" si="186"/>
        <v>2017-18</v>
      </c>
      <c r="G2465" s="1"/>
      <c r="H2465" s="161"/>
      <c r="I2465" s="37"/>
      <c r="J2465" s="135">
        <f t="shared" si="187"/>
        <v>0.76382508261777382</v>
      </c>
      <c r="K2465" s="112"/>
      <c r="L2465" s="37">
        <v>77.3161286311</v>
      </c>
      <c r="M2465" s="37" t="s">
        <v>288</v>
      </c>
      <c r="N2465" s="37">
        <v>3592.3639024390236</v>
      </c>
      <c r="O2465" s="130">
        <f t="shared" si="188"/>
        <v>277747.6695706959</v>
      </c>
      <c r="P2465" s="132">
        <f t="shared" si="189"/>
        <v>212150.63665673093</v>
      </c>
      <c r="Q2465" s="261">
        <v>1</v>
      </c>
      <c r="R2465" s="92"/>
    </row>
    <row r="2466" spans="1:18" x14ac:dyDescent="0.25">
      <c r="A2466" s="353">
        <v>42917</v>
      </c>
      <c r="B2466" s="353" t="s">
        <v>285</v>
      </c>
      <c r="C2466" s="263" t="s">
        <v>768</v>
      </c>
      <c r="D2466" s="157" t="s">
        <v>778</v>
      </c>
      <c r="E2466" s="44">
        <f t="shared" si="190"/>
        <v>42917</v>
      </c>
      <c r="F2466" s="146" t="str">
        <f t="shared" si="186"/>
        <v>2017-18</v>
      </c>
      <c r="G2466" s="1"/>
      <c r="H2466" s="161"/>
      <c r="I2466" s="37"/>
      <c r="J2466" s="135">
        <f t="shared" si="187"/>
        <v>0.76382508261777382</v>
      </c>
      <c r="K2466" s="112"/>
      <c r="L2466" s="37">
        <v>54.065479707500003</v>
      </c>
      <c r="M2466" s="37" t="s">
        <v>288</v>
      </c>
      <c r="N2466" s="37">
        <v>950.87219512195099</v>
      </c>
      <c r="O2466" s="130">
        <f t="shared" si="188"/>
        <v>51409.361369791826</v>
      </c>
      <c r="P2466" s="132">
        <f t="shared" si="189"/>
        <v>39267.759695608234</v>
      </c>
      <c r="Q2466" s="261">
        <v>1</v>
      </c>
      <c r="R2466" s="92"/>
    </row>
    <row r="2467" spans="1:18" x14ac:dyDescent="0.25">
      <c r="A2467" s="353">
        <v>42917</v>
      </c>
      <c r="B2467" s="353" t="s">
        <v>285</v>
      </c>
      <c r="C2467" s="263" t="s">
        <v>768</v>
      </c>
      <c r="D2467" s="157" t="s">
        <v>778</v>
      </c>
      <c r="E2467" s="44">
        <f t="shared" si="190"/>
        <v>42917</v>
      </c>
      <c r="F2467" s="146" t="str">
        <f t="shared" si="186"/>
        <v>2017-18</v>
      </c>
      <c r="G2467" s="1"/>
      <c r="H2467" s="161"/>
      <c r="I2467" s="37"/>
      <c r="J2467" s="135">
        <f t="shared" si="187"/>
        <v>0.76382508261777382</v>
      </c>
      <c r="K2467" s="112"/>
      <c r="L2467" s="37">
        <v>51.259192085099997</v>
      </c>
      <c r="M2467" s="37" t="s">
        <v>288</v>
      </c>
      <c r="N2467" s="37">
        <v>3592.3639024390236</v>
      </c>
      <c r="O2467" s="130">
        <f t="shared" si="188"/>
        <v>184141.67131470135</v>
      </c>
      <c r="P2467" s="132">
        <f t="shared" si="189"/>
        <v>140652.02730532672</v>
      </c>
      <c r="Q2467" s="261">
        <v>1</v>
      </c>
      <c r="R2467" s="92"/>
    </row>
    <row r="2468" spans="1:18" x14ac:dyDescent="0.25">
      <c r="A2468" s="353">
        <v>41783</v>
      </c>
      <c r="B2468" s="353" t="s">
        <v>285</v>
      </c>
      <c r="C2468" s="263" t="s">
        <v>763</v>
      </c>
      <c r="D2468" s="157" t="s">
        <v>701</v>
      </c>
      <c r="E2468" s="44">
        <f t="shared" si="190"/>
        <v>41783</v>
      </c>
      <c r="F2468" s="146" t="str">
        <f t="shared" si="186"/>
        <v>2013-14</v>
      </c>
      <c r="G2468" s="1"/>
      <c r="H2468" s="161"/>
      <c r="I2468" s="37"/>
      <c r="J2468" s="135">
        <f t="shared" si="187"/>
        <v>0.76382508261777382</v>
      </c>
      <c r="K2468" s="112"/>
      <c r="L2468" s="37">
        <v>62.245742360999998</v>
      </c>
      <c r="M2468" s="37" t="s">
        <v>288</v>
      </c>
      <c r="N2468" s="37">
        <v>3875.3912195121943</v>
      </c>
      <c r="O2468" s="130">
        <f t="shared" si="188"/>
        <v>241226.60339783764</v>
      </c>
      <c r="P2468" s="132">
        <f t="shared" si="189"/>
        <v>184254.93026995831</v>
      </c>
      <c r="Q2468" s="261">
        <v>1</v>
      </c>
      <c r="R2468" s="92"/>
    </row>
    <row r="2469" spans="1:18" x14ac:dyDescent="0.25">
      <c r="A2469" s="353">
        <v>41783</v>
      </c>
      <c r="B2469" s="353" t="s">
        <v>285</v>
      </c>
      <c r="C2469" s="263" t="s">
        <v>763</v>
      </c>
      <c r="D2469" s="157" t="s">
        <v>701</v>
      </c>
      <c r="E2469" s="44">
        <f t="shared" si="190"/>
        <v>41783</v>
      </c>
      <c r="F2469" s="146" t="str">
        <f t="shared" si="186"/>
        <v>2013-14</v>
      </c>
      <c r="G2469" s="1"/>
      <c r="H2469" s="161"/>
      <c r="I2469" s="37"/>
      <c r="J2469" s="135">
        <f t="shared" si="187"/>
        <v>0.76382508261777382</v>
      </c>
      <c r="K2469" s="112"/>
      <c r="L2469" s="37">
        <v>113.47660747899999</v>
      </c>
      <c r="M2469" s="37" t="s">
        <v>288</v>
      </c>
      <c r="N2469" s="37">
        <v>1162.6195121951216</v>
      </c>
      <c r="O2469" s="130">
        <f t="shared" si="188"/>
        <v>131930.11803279226</v>
      </c>
      <c r="P2469" s="132">
        <f t="shared" si="189"/>
        <v>100771.5333061702</v>
      </c>
      <c r="Q2469" s="261">
        <v>1</v>
      </c>
      <c r="R2469" s="92"/>
    </row>
    <row r="2470" spans="1:18" x14ac:dyDescent="0.25">
      <c r="A2470" s="353">
        <v>41783</v>
      </c>
      <c r="B2470" s="353" t="s">
        <v>285</v>
      </c>
      <c r="C2470" s="263" t="s">
        <v>763</v>
      </c>
      <c r="D2470" s="157" t="s">
        <v>701</v>
      </c>
      <c r="E2470" s="44">
        <f t="shared" si="190"/>
        <v>41783</v>
      </c>
      <c r="F2470" s="146" t="str">
        <f t="shared" si="186"/>
        <v>2013-14</v>
      </c>
      <c r="G2470" s="1"/>
      <c r="H2470" s="161"/>
      <c r="I2470" s="37"/>
      <c r="J2470" s="135">
        <f t="shared" si="187"/>
        <v>0.76382508261777382</v>
      </c>
      <c r="K2470" s="112"/>
      <c r="L2470" s="37">
        <v>163.72379525599999</v>
      </c>
      <c r="M2470" s="37" t="s">
        <v>288</v>
      </c>
      <c r="N2470" s="37">
        <v>1162.6195121951216</v>
      </c>
      <c r="O2470" s="130">
        <f t="shared" si="188"/>
        <v>190348.47897526468</v>
      </c>
      <c r="P2470" s="132">
        <f t="shared" si="189"/>
        <v>145392.94267944913</v>
      </c>
      <c r="Q2470" s="261">
        <v>1</v>
      </c>
      <c r="R2470" s="92"/>
    </row>
    <row r="2471" spans="1:18" x14ac:dyDescent="0.25">
      <c r="A2471" s="353">
        <v>41783</v>
      </c>
      <c r="B2471" s="353" t="s">
        <v>285</v>
      </c>
      <c r="C2471" s="263" t="s">
        <v>763</v>
      </c>
      <c r="D2471" s="157" t="s">
        <v>701</v>
      </c>
      <c r="E2471" s="44">
        <f t="shared" si="190"/>
        <v>41783</v>
      </c>
      <c r="F2471" s="146" t="str">
        <f t="shared" si="186"/>
        <v>2013-14</v>
      </c>
      <c r="G2471" s="1"/>
      <c r="H2471" s="161"/>
      <c r="I2471" s="37"/>
      <c r="J2471" s="135">
        <f t="shared" si="187"/>
        <v>0.76382508261777382</v>
      </c>
      <c r="K2471" s="112"/>
      <c r="L2471" s="37">
        <v>180.390364011</v>
      </c>
      <c r="M2471" s="37" t="s">
        <v>288</v>
      </c>
      <c r="N2471" s="37">
        <v>1162.6195121951216</v>
      </c>
      <c r="O2471" s="130">
        <f t="shared" si="188"/>
        <v>209725.35701116925</v>
      </c>
      <c r="P2471" s="132">
        <f t="shared" si="189"/>
        <v>160193.48814609848</v>
      </c>
      <c r="Q2471" s="261">
        <v>1</v>
      </c>
      <c r="R2471" s="92"/>
    </row>
    <row r="2472" spans="1:18" x14ac:dyDescent="0.25">
      <c r="A2472" s="353">
        <v>41783</v>
      </c>
      <c r="B2472" s="353" t="s">
        <v>285</v>
      </c>
      <c r="C2472" s="263" t="s">
        <v>763</v>
      </c>
      <c r="D2472" s="157" t="s">
        <v>780</v>
      </c>
      <c r="E2472" s="44">
        <f t="shared" si="190"/>
        <v>41783</v>
      </c>
      <c r="F2472" s="146" t="str">
        <f t="shared" si="186"/>
        <v>2013-14</v>
      </c>
      <c r="G2472" s="1"/>
      <c r="H2472" s="161"/>
      <c r="I2472" s="37"/>
      <c r="J2472" s="135">
        <f t="shared" si="187"/>
        <v>0.76382508261777382</v>
      </c>
      <c r="K2472" s="112"/>
      <c r="L2472" s="37">
        <v>116.076509708</v>
      </c>
      <c r="M2472" s="37" t="s">
        <v>288</v>
      </c>
      <c r="N2472" s="37">
        <v>1162.6195121951216</v>
      </c>
      <c r="O2472" s="130">
        <f t="shared" si="188"/>
        <v>134952.81509402726</v>
      </c>
      <c r="P2472" s="132">
        <f t="shared" si="189"/>
        <v>103080.34513869653</v>
      </c>
      <c r="Q2472" s="261">
        <v>1</v>
      </c>
      <c r="R2472" s="92"/>
    </row>
    <row r="2473" spans="1:18" x14ac:dyDescent="0.25">
      <c r="A2473" s="353">
        <v>42917</v>
      </c>
      <c r="B2473" s="353" t="s">
        <v>285</v>
      </c>
      <c r="C2473" s="263" t="s">
        <v>768</v>
      </c>
      <c r="D2473" s="157" t="s">
        <v>780</v>
      </c>
      <c r="E2473" s="44">
        <f t="shared" si="190"/>
        <v>42917</v>
      </c>
      <c r="F2473" s="146" t="str">
        <f t="shared" si="186"/>
        <v>2017-18</v>
      </c>
      <c r="G2473" s="1"/>
      <c r="H2473" s="161"/>
      <c r="I2473" s="37"/>
      <c r="J2473" s="135">
        <f t="shared" si="187"/>
        <v>0.76382508261777382</v>
      </c>
      <c r="K2473" s="112"/>
      <c r="L2473" s="37">
        <v>120.150018082</v>
      </c>
      <c r="M2473" s="37" t="s">
        <v>288</v>
      </c>
      <c r="N2473" s="37">
        <v>1162.6195121951216</v>
      </c>
      <c r="O2473" s="130">
        <f t="shared" si="188"/>
        <v>139688.75541272989</v>
      </c>
      <c r="P2473" s="132">
        <f t="shared" si="189"/>
        <v>106697.77514390241</v>
      </c>
      <c r="Q2473" s="261">
        <v>1</v>
      </c>
      <c r="R2473" s="92"/>
    </row>
    <row r="2474" spans="1:18" x14ac:dyDescent="0.25">
      <c r="A2474" s="353">
        <v>41783</v>
      </c>
      <c r="B2474" s="353" t="s">
        <v>285</v>
      </c>
      <c r="C2474" s="263" t="s">
        <v>763</v>
      </c>
      <c r="D2474" s="157" t="s">
        <v>701</v>
      </c>
      <c r="E2474" s="44">
        <f t="shared" si="190"/>
        <v>41783</v>
      </c>
      <c r="F2474" s="146" t="str">
        <f t="shared" si="186"/>
        <v>2013-14</v>
      </c>
      <c r="G2474" s="1"/>
      <c r="H2474" s="161"/>
      <c r="I2474" s="37"/>
      <c r="J2474" s="135">
        <f t="shared" si="187"/>
        <v>0.76382508261777382</v>
      </c>
      <c r="K2474" s="112"/>
      <c r="L2474" s="37">
        <v>23.5438605585</v>
      </c>
      <c r="M2474" s="37" t="s">
        <v>288</v>
      </c>
      <c r="N2474" s="37">
        <v>1162.6195121951216</v>
      </c>
      <c r="O2474" s="130">
        <f t="shared" si="188"/>
        <v>27372.551677713232</v>
      </c>
      <c r="P2474" s="132">
        <f t="shared" si="189"/>
        <v>20907.841546688593</v>
      </c>
      <c r="Q2474" s="261">
        <v>1</v>
      </c>
      <c r="R2474" s="92"/>
    </row>
    <row r="2475" spans="1:18" x14ac:dyDescent="0.25">
      <c r="A2475" s="353">
        <v>41783</v>
      </c>
      <c r="B2475" s="353" t="s">
        <v>285</v>
      </c>
      <c r="C2475" s="263" t="s">
        <v>763</v>
      </c>
      <c r="D2475" s="157" t="s">
        <v>701</v>
      </c>
      <c r="E2475" s="44">
        <f t="shared" si="190"/>
        <v>41783</v>
      </c>
      <c r="F2475" s="146" t="str">
        <f t="shared" si="186"/>
        <v>2013-14</v>
      </c>
      <c r="G2475" s="1"/>
      <c r="H2475" s="161"/>
      <c r="I2475" s="37"/>
      <c r="J2475" s="135">
        <f t="shared" si="187"/>
        <v>0.76382508261777382</v>
      </c>
      <c r="K2475" s="112"/>
      <c r="L2475" s="37">
        <v>33.914055390100003</v>
      </c>
      <c r="M2475" s="37" t="s">
        <v>288</v>
      </c>
      <c r="N2475" s="37">
        <v>1162.6195121951216</v>
      </c>
      <c r="O2475" s="130">
        <f t="shared" si="188"/>
        <v>39429.142534196399</v>
      </c>
      <c r="P2475" s="132">
        <f t="shared" si="189"/>
        <v>30116.968053730543</v>
      </c>
      <c r="Q2475" s="261">
        <v>1</v>
      </c>
      <c r="R2475" s="92"/>
    </row>
    <row r="2476" spans="1:18" x14ac:dyDescent="0.25">
      <c r="A2476" s="353">
        <v>41783</v>
      </c>
      <c r="B2476" s="353" t="s">
        <v>285</v>
      </c>
      <c r="C2476" s="263" t="s">
        <v>763</v>
      </c>
      <c r="D2476" s="157" t="s">
        <v>701</v>
      </c>
      <c r="E2476" s="44">
        <f t="shared" si="190"/>
        <v>41783</v>
      </c>
      <c r="F2476" s="146" t="str">
        <f t="shared" si="186"/>
        <v>2013-14</v>
      </c>
      <c r="G2476" s="1"/>
      <c r="H2476" s="161"/>
      <c r="I2476" s="37"/>
      <c r="J2476" s="135">
        <f t="shared" si="187"/>
        <v>0.76382508261777382</v>
      </c>
      <c r="K2476" s="112"/>
      <c r="L2476" s="37">
        <v>117.02381954499999</v>
      </c>
      <c r="M2476" s="37" t="s">
        <v>288</v>
      </c>
      <c r="N2476" s="37">
        <v>1162.6195121951216</v>
      </c>
      <c r="O2476" s="130">
        <f t="shared" si="188"/>
        <v>136054.17599461784</v>
      </c>
      <c r="P2476" s="132">
        <f t="shared" si="189"/>
        <v>103921.5922195821</v>
      </c>
      <c r="Q2476" s="261">
        <v>1</v>
      </c>
      <c r="R2476" s="92"/>
    </row>
    <row r="2477" spans="1:18" x14ac:dyDescent="0.25">
      <c r="A2477" s="353">
        <v>42917</v>
      </c>
      <c r="B2477" s="353" t="s">
        <v>285</v>
      </c>
      <c r="C2477" s="263" t="s">
        <v>768</v>
      </c>
      <c r="D2477" s="157" t="s">
        <v>780</v>
      </c>
      <c r="E2477" s="44">
        <f t="shared" si="190"/>
        <v>42917</v>
      </c>
      <c r="F2477" s="146" t="str">
        <f t="shared" si="186"/>
        <v>2017-18</v>
      </c>
      <c r="G2477" s="1"/>
      <c r="H2477" s="161"/>
      <c r="I2477" s="37"/>
      <c r="J2477" s="135">
        <f t="shared" si="187"/>
        <v>0.76382508261777382</v>
      </c>
      <c r="K2477" s="112"/>
      <c r="L2477" s="37">
        <v>39.548201943999999</v>
      </c>
      <c r="M2477" s="37" t="s">
        <v>288</v>
      </c>
      <c r="N2477" s="37">
        <v>3875.3912195121943</v>
      </c>
      <c r="O2477" s="130">
        <f t="shared" si="188"/>
        <v>153264.75456127268</v>
      </c>
      <c r="P2477" s="132">
        <f t="shared" si="189"/>
        <v>117067.46381515694</v>
      </c>
      <c r="Q2477" s="261">
        <v>1</v>
      </c>
      <c r="R2477" s="92"/>
    </row>
    <row r="2478" spans="1:18" x14ac:dyDescent="0.25">
      <c r="A2478" s="353">
        <v>42917</v>
      </c>
      <c r="B2478" s="353" t="s">
        <v>285</v>
      </c>
      <c r="C2478" s="263" t="s">
        <v>768</v>
      </c>
      <c r="D2478" s="157" t="s">
        <v>780</v>
      </c>
      <c r="E2478" s="44">
        <f t="shared" si="190"/>
        <v>42917</v>
      </c>
      <c r="F2478" s="146" t="str">
        <f t="shared" si="186"/>
        <v>2017-18</v>
      </c>
      <c r="G2478" s="1"/>
      <c r="H2478" s="161"/>
      <c r="I2478" s="37"/>
      <c r="J2478" s="135">
        <f t="shared" si="187"/>
        <v>0.76382508261777382</v>
      </c>
      <c r="K2478" s="112"/>
      <c r="L2478" s="37">
        <v>50.857620049600001</v>
      </c>
      <c r="M2478" s="37" t="s">
        <v>288</v>
      </c>
      <c r="N2478" s="37">
        <v>1162.6195121951216</v>
      </c>
      <c r="O2478" s="130">
        <f t="shared" si="188"/>
        <v>59128.061413470787</v>
      </c>
      <c r="P2478" s="132">
        <f t="shared" si="189"/>
        <v>45163.496394173126</v>
      </c>
      <c r="Q2478" s="261">
        <v>1</v>
      </c>
      <c r="R2478" s="92"/>
    </row>
    <row r="2479" spans="1:18" x14ac:dyDescent="0.25">
      <c r="A2479" s="353">
        <v>42923</v>
      </c>
      <c r="B2479" s="353" t="s">
        <v>285</v>
      </c>
      <c r="C2479" s="263" t="s">
        <v>768</v>
      </c>
      <c r="D2479" s="157" t="s">
        <v>780</v>
      </c>
      <c r="E2479" s="44">
        <f t="shared" si="190"/>
        <v>42923</v>
      </c>
      <c r="F2479" s="146" t="str">
        <f t="shared" si="186"/>
        <v>2017-18</v>
      </c>
      <c r="G2479" s="1"/>
      <c r="H2479" s="161"/>
      <c r="I2479" s="37"/>
      <c r="J2479" s="135">
        <f t="shared" si="187"/>
        <v>0.76382508261777382</v>
      </c>
      <c r="K2479" s="112"/>
      <c r="L2479" s="37">
        <v>42.451168558699997</v>
      </c>
      <c r="M2479" s="37" t="s">
        <v>288</v>
      </c>
      <c r="N2479" s="37">
        <v>3875.3912195121943</v>
      </c>
      <c r="O2479" s="130">
        <f t="shared" si="188"/>
        <v>164514.88589041811</v>
      </c>
      <c r="P2479" s="132">
        <f t="shared" si="189"/>
        <v>125660.59630710224</v>
      </c>
      <c r="Q2479" s="261">
        <v>1</v>
      </c>
      <c r="R2479" s="92"/>
    </row>
    <row r="2480" spans="1:18" x14ac:dyDescent="0.25">
      <c r="A2480" s="353">
        <v>42923</v>
      </c>
      <c r="B2480" s="353" t="s">
        <v>285</v>
      </c>
      <c r="C2480" s="263" t="s">
        <v>768</v>
      </c>
      <c r="D2480" s="157" t="s">
        <v>780</v>
      </c>
      <c r="E2480" s="44">
        <f t="shared" si="190"/>
        <v>42923</v>
      </c>
      <c r="F2480" s="146" t="str">
        <f t="shared" si="186"/>
        <v>2017-18</v>
      </c>
      <c r="G2480" s="1"/>
      <c r="H2480" s="161"/>
      <c r="I2480" s="37"/>
      <c r="J2480" s="135">
        <f t="shared" si="187"/>
        <v>0.76382508261777382</v>
      </c>
      <c r="K2480" s="112"/>
      <c r="L2480" s="37">
        <v>83.234656483899997</v>
      </c>
      <c r="M2480" s="37" t="s">
        <v>288</v>
      </c>
      <c r="N2480" s="37">
        <v>3875.3912195121943</v>
      </c>
      <c r="O2480" s="130">
        <f t="shared" si="188"/>
        <v>322566.85689681978</v>
      </c>
      <c r="P2480" s="132">
        <f t="shared" si="189"/>
        <v>246384.656118969</v>
      </c>
      <c r="Q2480" s="261">
        <v>1</v>
      </c>
      <c r="R2480" s="92"/>
    </row>
    <row r="2481" spans="1:18" x14ac:dyDescent="0.25">
      <c r="A2481" s="353">
        <v>42923</v>
      </c>
      <c r="B2481" s="353" t="s">
        <v>285</v>
      </c>
      <c r="C2481" s="263" t="s">
        <v>768</v>
      </c>
      <c r="D2481" s="157" t="s">
        <v>780</v>
      </c>
      <c r="E2481" s="44">
        <f t="shared" si="190"/>
        <v>42923</v>
      </c>
      <c r="F2481" s="146" t="str">
        <f t="shared" si="186"/>
        <v>2017-18</v>
      </c>
      <c r="G2481" s="1"/>
      <c r="H2481" s="161"/>
      <c r="I2481" s="37"/>
      <c r="J2481" s="135">
        <f t="shared" si="187"/>
        <v>0.76382508261777382</v>
      </c>
      <c r="K2481" s="112"/>
      <c r="L2481" s="37">
        <v>60.377455171599998</v>
      </c>
      <c r="M2481" s="37" t="s">
        <v>288</v>
      </c>
      <c r="N2481" s="37">
        <v>3875.3912195121943</v>
      </c>
      <c r="O2481" s="130">
        <f t="shared" si="188"/>
        <v>233986.25962850975</v>
      </c>
      <c r="P2481" s="132">
        <f t="shared" si="189"/>
        <v>178724.57409217034</v>
      </c>
      <c r="Q2481" s="261">
        <v>1</v>
      </c>
      <c r="R2481" s="92"/>
    </row>
    <row r="2482" spans="1:18" x14ac:dyDescent="0.25">
      <c r="A2482" s="353">
        <v>41783</v>
      </c>
      <c r="B2482" s="353" t="s">
        <v>285</v>
      </c>
      <c r="C2482" s="263" t="s">
        <v>763</v>
      </c>
      <c r="D2482" s="157" t="s">
        <v>701</v>
      </c>
      <c r="E2482" s="44">
        <f t="shared" si="190"/>
        <v>41783</v>
      </c>
      <c r="F2482" s="146" t="str">
        <f t="shared" si="186"/>
        <v>2013-14</v>
      </c>
      <c r="G2482" s="1"/>
      <c r="H2482" s="161"/>
      <c r="I2482" s="37"/>
      <c r="J2482" s="135">
        <f t="shared" si="187"/>
        <v>0.76382508261777382</v>
      </c>
      <c r="K2482" s="112"/>
      <c r="L2482" s="37">
        <v>6.4080312889400002</v>
      </c>
      <c r="M2482" s="37" t="s">
        <v>288</v>
      </c>
      <c r="N2482" s="37">
        <v>1162.6195121951216</v>
      </c>
      <c r="O2482" s="130">
        <f t="shared" si="188"/>
        <v>7450.1022112784995</v>
      </c>
      <c r="P2482" s="132">
        <f t="shared" si="189"/>
        <v>5690.5749370406593</v>
      </c>
      <c r="Q2482" s="261">
        <v>1</v>
      </c>
      <c r="R2482" s="92"/>
    </row>
    <row r="2483" spans="1:18" x14ac:dyDescent="0.25">
      <c r="A2483" s="353">
        <v>42917</v>
      </c>
      <c r="B2483" s="353" t="s">
        <v>285</v>
      </c>
      <c r="C2483" s="263" t="s">
        <v>768</v>
      </c>
      <c r="D2483" s="157" t="s">
        <v>780</v>
      </c>
      <c r="E2483" s="44">
        <f t="shared" si="190"/>
        <v>42917</v>
      </c>
      <c r="F2483" s="146" t="str">
        <f t="shared" si="186"/>
        <v>2017-18</v>
      </c>
      <c r="G2483" s="1"/>
      <c r="H2483" s="161"/>
      <c r="I2483" s="37"/>
      <c r="J2483" s="135">
        <f t="shared" si="187"/>
        <v>0.76382508261777382</v>
      </c>
      <c r="K2483" s="112"/>
      <c r="L2483" s="37">
        <v>119.69403598300001</v>
      </c>
      <c r="M2483" s="37" t="s">
        <v>288</v>
      </c>
      <c r="N2483" s="37">
        <v>1162.6195121951216</v>
      </c>
      <c r="O2483" s="130">
        <f t="shared" si="188"/>
        <v>139158.6217272208</v>
      </c>
      <c r="P2483" s="132">
        <f t="shared" si="189"/>
        <v>106292.84573776997</v>
      </c>
      <c r="Q2483" s="261">
        <v>1</v>
      </c>
      <c r="R2483" s="92"/>
    </row>
    <row r="2484" spans="1:18" x14ac:dyDescent="0.25">
      <c r="A2484" s="353">
        <v>43945</v>
      </c>
      <c r="B2484" s="353" t="s">
        <v>285</v>
      </c>
      <c r="C2484" s="263" t="s">
        <v>781</v>
      </c>
      <c r="D2484" s="157" t="s">
        <v>779</v>
      </c>
      <c r="E2484" s="44">
        <f t="shared" si="190"/>
        <v>43945</v>
      </c>
      <c r="F2484" s="146" t="str">
        <f t="shared" si="186"/>
        <v>2019-20</v>
      </c>
      <c r="G2484" s="1"/>
      <c r="H2484" s="161"/>
      <c r="I2484" s="37"/>
      <c r="J2484" s="135">
        <f t="shared" si="187"/>
        <v>0.76382508261777382</v>
      </c>
      <c r="K2484" s="112"/>
      <c r="L2484" s="37">
        <v>13.3832767288</v>
      </c>
      <c r="M2484" s="37" t="s">
        <v>288</v>
      </c>
      <c r="N2484" s="37">
        <v>1680.8751219512192</v>
      </c>
      <c r="O2484" s="130">
        <f t="shared" si="188"/>
        <v>22495.616903628616</v>
      </c>
      <c r="P2484" s="132">
        <f t="shared" si="189"/>
        <v>17182.716439951917</v>
      </c>
      <c r="Q2484" s="261">
        <v>1</v>
      </c>
      <c r="R2484" s="92"/>
    </row>
    <row r="2485" spans="1:18" x14ac:dyDescent="0.25">
      <c r="A2485" s="353">
        <v>43945</v>
      </c>
      <c r="B2485" s="353" t="s">
        <v>285</v>
      </c>
      <c r="C2485" s="263" t="s">
        <v>781</v>
      </c>
      <c r="D2485" s="157" t="s">
        <v>780</v>
      </c>
      <c r="E2485" s="44">
        <f t="shared" si="190"/>
        <v>43945</v>
      </c>
      <c r="F2485" s="146" t="str">
        <f t="shared" si="186"/>
        <v>2019-20</v>
      </c>
      <c r="G2485" s="1"/>
      <c r="H2485" s="161"/>
      <c r="I2485" s="37"/>
      <c r="J2485" s="135">
        <f t="shared" si="187"/>
        <v>0.76382508261777382</v>
      </c>
      <c r="K2485" s="112"/>
      <c r="L2485" s="37">
        <v>54.708392637700001</v>
      </c>
      <c r="M2485" s="37" t="s">
        <v>288</v>
      </c>
      <c r="N2485" s="37">
        <v>1162.6195121951216</v>
      </c>
      <c r="O2485" s="130">
        <f t="shared" si="188"/>
        <v>63605.044761421959</v>
      </c>
      <c r="P2485" s="132">
        <f t="shared" si="189"/>
        <v>48583.128569800327</v>
      </c>
      <c r="Q2485" s="261">
        <v>1</v>
      </c>
      <c r="R2485" s="92"/>
    </row>
    <row r="2486" spans="1:18" x14ac:dyDescent="0.25">
      <c r="A2486" s="353">
        <v>43945</v>
      </c>
      <c r="B2486" s="353" t="s">
        <v>285</v>
      </c>
      <c r="C2486" s="263" t="s">
        <v>781</v>
      </c>
      <c r="D2486" s="157" t="s">
        <v>780</v>
      </c>
      <c r="E2486" s="44">
        <f t="shared" si="190"/>
        <v>43945</v>
      </c>
      <c r="F2486" s="146" t="str">
        <f t="shared" si="186"/>
        <v>2019-20</v>
      </c>
      <c r="G2486" s="1"/>
      <c r="H2486" s="161"/>
      <c r="I2486" s="37"/>
      <c r="J2486" s="135">
        <f t="shared" si="187"/>
        <v>0.76382508261777382</v>
      </c>
      <c r="K2486" s="112"/>
      <c r="L2486" s="37">
        <v>58.879279241500001</v>
      </c>
      <c r="M2486" s="37" t="s">
        <v>288</v>
      </c>
      <c r="N2486" s="37">
        <v>1162.6195121951216</v>
      </c>
      <c r="O2486" s="130">
        <f t="shared" si="188"/>
        <v>68454.198910153078</v>
      </c>
      <c r="P2486" s="132">
        <f t="shared" si="189"/>
        <v>52287.034138081195</v>
      </c>
      <c r="Q2486" s="261">
        <v>1</v>
      </c>
      <c r="R2486" s="92"/>
    </row>
    <row r="2487" spans="1:18" x14ac:dyDescent="0.25">
      <c r="A2487" s="353">
        <v>43945</v>
      </c>
      <c r="B2487" s="353" t="s">
        <v>285</v>
      </c>
      <c r="C2487" s="263" t="s">
        <v>781</v>
      </c>
      <c r="D2487" s="157" t="s">
        <v>780</v>
      </c>
      <c r="E2487" s="44">
        <f t="shared" si="190"/>
        <v>43945</v>
      </c>
      <c r="F2487" s="146" t="str">
        <f t="shared" si="186"/>
        <v>2019-20</v>
      </c>
      <c r="G2487" s="1"/>
      <c r="H2487" s="161"/>
      <c r="I2487" s="37"/>
      <c r="J2487" s="135">
        <f t="shared" si="187"/>
        <v>0.76382508261777382</v>
      </c>
      <c r="K2487" s="112"/>
      <c r="L2487" s="37">
        <v>140.143839144</v>
      </c>
      <c r="M2487" s="37" t="s">
        <v>288</v>
      </c>
      <c r="N2487" s="37">
        <v>1162.6195121951216</v>
      </c>
      <c r="O2487" s="130">
        <f t="shared" si="188"/>
        <v>162933.96190274888</v>
      </c>
      <c r="P2487" s="132">
        <f t="shared" si="189"/>
        <v>124453.04691160837</v>
      </c>
      <c r="Q2487" s="261">
        <v>1</v>
      </c>
      <c r="R2487" s="92"/>
    </row>
    <row r="2488" spans="1:18" x14ac:dyDescent="0.25">
      <c r="A2488" s="353">
        <v>43945</v>
      </c>
      <c r="B2488" s="353" t="s">
        <v>285</v>
      </c>
      <c r="C2488" s="263" t="s">
        <v>781</v>
      </c>
      <c r="D2488" s="157" t="s">
        <v>779</v>
      </c>
      <c r="E2488" s="44">
        <f t="shared" si="190"/>
        <v>43945</v>
      </c>
      <c r="F2488" s="146" t="str">
        <f t="shared" si="186"/>
        <v>2019-20</v>
      </c>
      <c r="G2488" s="1"/>
      <c r="H2488" s="161"/>
      <c r="I2488" s="37"/>
      <c r="J2488" s="135">
        <f t="shared" si="187"/>
        <v>0.76382508261777382</v>
      </c>
      <c r="K2488" s="112"/>
      <c r="L2488" s="37">
        <v>95.059845760399995</v>
      </c>
      <c r="M2488" s="37" t="s">
        <v>288</v>
      </c>
      <c r="N2488" s="37">
        <v>1361.4565853658535</v>
      </c>
      <c r="O2488" s="130">
        <f t="shared" si="188"/>
        <v>129419.85301435887</v>
      </c>
      <c r="P2488" s="132">
        <f t="shared" si="189"/>
        <v>98854.129921072803</v>
      </c>
      <c r="Q2488" s="261">
        <v>1</v>
      </c>
      <c r="R2488" s="92"/>
    </row>
    <row r="2489" spans="1:18" x14ac:dyDescent="0.25">
      <c r="A2489" s="353">
        <v>43945</v>
      </c>
      <c r="B2489" s="353" t="s">
        <v>285</v>
      </c>
      <c r="C2489" s="263" t="s">
        <v>781</v>
      </c>
      <c r="D2489" s="157" t="s">
        <v>780</v>
      </c>
      <c r="E2489" s="44">
        <f t="shared" si="190"/>
        <v>43945</v>
      </c>
      <c r="F2489" s="146" t="str">
        <f t="shared" si="186"/>
        <v>2019-20</v>
      </c>
      <c r="G2489" s="1"/>
      <c r="H2489" s="161"/>
      <c r="I2489" s="37"/>
      <c r="J2489" s="135">
        <f t="shared" si="187"/>
        <v>0.76382508261777382</v>
      </c>
      <c r="K2489" s="112"/>
      <c r="L2489" s="37">
        <v>145.27304807799999</v>
      </c>
      <c r="M2489" s="37" t="s">
        <v>288</v>
      </c>
      <c r="N2489" s="37">
        <v>1162.6195121951216</v>
      </c>
      <c r="O2489" s="130">
        <f t="shared" si="188"/>
        <v>168897.28029154279</v>
      </c>
      <c r="P2489" s="132">
        <f t="shared" si="189"/>
        <v>129007.97907260497</v>
      </c>
      <c r="Q2489" s="261">
        <v>1</v>
      </c>
      <c r="R2489" s="92"/>
    </row>
    <row r="2490" spans="1:18" x14ac:dyDescent="0.25">
      <c r="A2490" s="353">
        <v>42958</v>
      </c>
      <c r="B2490" s="353" t="s">
        <v>285</v>
      </c>
      <c r="C2490" s="263"/>
      <c r="D2490" s="157" t="s">
        <v>782</v>
      </c>
      <c r="E2490" s="44">
        <f t="shared" si="190"/>
        <v>42958</v>
      </c>
      <c r="F2490" s="146" t="str">
        <f t="shared" si="186"/>
        <v>2017-18</v>
      </c>
      <c r="G2490" s="1"/>
      <c r="H2490" s="161"/>
      <c r="I2490" s="37"/>
      <c r="J2490" s="135">
        <f t="shared" si="187"/>
        <v>0.76382508261777382</v>
      </c>
      <c r="K2490" s="112"/>
      <c r="L2490" s="37">
        <v>45.732893337299998</v>
      </c>
      <c r="M2490" s="37" t="s">
        <v>288</v>
      </c>
      <c r="N2490" s="37">
        <v>1361.4565853658535</v>
      </c>
      <c r="O2490" s="130">
        <f t="shared" si="188"/>
        <v>62263.348801901244</v>
      </c>
      <c r="P2490" s="132">
        <f t="shared" si="189"/>
        <v>47558.307542671486</v>
      </c>
      <c r="Q2490" s="261">
        <v>1</v>
      </c>
      <c r="R2490" s="92"/>
    </row>
    <row r="2491" spans="1:18" x14ac:dyDescent="0.25">
      <c r="A2491" s="353">
        <v>42958</v>
      </c>
      <c r="B2491" s="353" t="s">
        <v>285</v>
      </c>
      <c r="C2491" s="263"/>
      <c r="D2491" s="157" t="s">
        <v>782</v>
      </c>
      <c r="E2491" s="44">
        <f t="shared" si="190"/>
        <v>42958</v>
      </c>
      <c r="F2491" s="146" t="str">
        <f t="shared" ref="F2491:F2554" si="191">IF(E2491="","-",IF(OR(E2491&lt;$E$15,E2491&gt;$E$16),"ERROR - date outside of range",IF(MONTH(E2491)&gt;=7,YEAR(E2491)&amp;"-"&amp;IF(YEAR(E2491)=1999,"00",IF(AND(YEAR(E2491)&gt;=2000,YEAR(E2491)&lt;2009),"0","")&amp;RIGHT(YEAR(E2491),2)+1),RIGHT(YEAR(E2491),4)-1&amp;"-"&amp;RIGHT(YEAR(E2491),2))))</f>
        <v>2017-18</v>
      </c>
      <c r="G2491" s="1"/>
      <c r="H2491" s="161"/>
      <c r="I2491" s="37"/>
      <c r="J2491" s="135">
        <f t="shared" si="187"/>
        <v>0.76382508261777382</v>
      </c>
      <c r="K2491" s="112"/>
      <c r="L2491" s="37">
        <v>46.773759417000001</v>
      </c>
      <c r="M2491" s="37" t="s">
        <v>288</v>
      </c>
      <c r="N2491" s="37">
        <v>1361.4565853658535</v>
      </c>
      <c r="O2491" s="130">
        <f t="shared" si="188"/>
        <v>63680.442780592755</v>
      </c>
      <c r="P2491" s="132">
        <f t="shared" si="189"/>
        <v>48640.719468022682</v>
      </c>
      <c r="Q2491" s="261">
        <v>1</v>
      </c>
      <c r="R2491" s="92"/>
    </row>
    <row r="2492" spans="1:18" x14ac:dyDescent="0.25">
      <c r="A2492" s="353">
        <v>43425</v>
      </c>
      <c r="B2492" s="353" t="s">
        <v>285</v>
      </c>
      <c r="C2492" s="263" t="s">
        <v>783</v>
      </c>
      <c r="D2492" s="157" t="s">
        <v>782</v>
      </c>
      <c r="E2492" s="44">
        <f t="shared" si="190"/>
        <v>43425</v>
      </c>
      <c r="F2492" s="146" t="str">
        <f t="shared" si="191"/>
        <v>2018-19</v>
      </c>
      <c r="G2492" s="1"/>
      <c r="H2492" s="161"/>
      <c r="I2492" s="37"/>
      <c r="J2492" s="135">
        <f t="shared" si="187"/>
        <v>0.76382508261777382</v>
      </c>
      <c r="K2492" s="112"/>
      <c r="L2492" s="37">
        <v>127.730542949</v>
      </c>
      <c r="M2492" s="37" t="s">
        <v>288</v>
      </c>
      <c r="N2492" s="37">
        <v>4137.5668292682922</v>
      </c>
      <c r="O2492" s="130">
        <f t="shared" si="188"/>
        <v>528493.65759021137</v>
      </c>
      <c r="P2492" s="132">
        <f t="shared" si="189"/>
        <v>403676.71167181269</v>
      </c>
      <c r="Q2492" s="261">
        <v>1</v>
      </c>
      <c r="R2492" s="92"/>
    </row>
    <row r="2493" spans="1:18" x14ac:dyDescent="0.25">
      <c r="A2493" s="353">
        <v>43425</v>
      </c>
      <c r="B2493" s="353" t="s">
        <v>285</v>
      </c>
      <c r="C2493" s="263" t="s">
        <v>783</v>
      </c>
      <c r="D2493" s="157" t="s">
        <v>782</v>
      </c>
      <c r="E2493" s="44">
        <f t="shared" si="190"/>
        <v>43425</v>
      </c>
      <c r="F2493" s="146" t="str">
        <f t="shared" si="191"/>
        <v>2018-19</v>
      </c>
      <c r="G2493" s="1"/>
      <c r="H2493" s="161"/>
      <c r="I2493" s="37"/>
      <c r="J2493" s="135">
        <f t="shared" si="187"/>
        <v>0.76382508261777382</v>
      </c>
      <c r="K2493" s="112"/>
      <c r="L2493" s="37">
        <v>146.983599121</v>
      </c>
      <c r="M2493" s="37" t="s">
        <v>288</v>
      </c>
      <c r="N2493" s="37">
        <v>4137.5668292682922</v>
      </c>
      <c r="O2493" s="130">
        <f t="shared" si="188"/>
        <v>608154.46416951774</v>
      </c>
      <c r="P2493" s="132">
        <f t="shared" si="189"/>
        <v>464523.63383864984</v>
      </c>
      <c r="Q2493" s="261">
        <v>1</v>
      </c>
      <c r="R2493" s="92"/>
    </row>
    <row r="2494" spans="1:18" x14ac:dyDescent="0.25">
      <c r="A2494" s="353">
        <v>43425</v>
      </c>
      <c r="B2494" s="353" t="s">
        <v>285</v>
      </c>
      <c r="C2494" s="263" t="s">
        <v>783</v>
      </c>
      <c r="D2494" s="157" t="s">
        <v>784</v>
      </c>
      <c r="E2494" s="44">
        <f t="shared" si="190"/>
        <v>43425</v>
      </c>
      <c r="F2494" s="146" t="str">
        <f t="shared" si="191"/>
        <v>2018-19</v>
      </c>
      <c r="G2494" s="1"/>
      <c r="H2494" s="161"/>
      <c r="I2494" s="37"/>
      <c r="J2494" s="135">
        <f t="shared" si="187"/>
        <v>0.76382508261777382</v>
      </c>
      <c r="K2494" s="112"/>
      <c r="L2494" s="37">
        <v>173.794242725</v>
      </c>
      <c r="M2494" s="37" t="s">
        <v>288</v>
      </c>
      <c r="N2494" s="37">
        <v>4137.5668292682922</v>
      </c>
      <c r="O2494" s="130">
        <f t="shared" si="188"/>
        <v>719085.29381676216</v>
      </c>
      <c r="P2494" s="132">
        <f t="shared" si="189"/>
        <v>549255.38395881455</v>
      </c>
      <c r="Q2494" s="261">
        <v>1</v>
      </c>
      <c r="R2494" s="92"/>
    </row>
    <row r="2495" spans="1:18" x14ac:dyDescent="0.25">
      <c r="A2495" s="353">
        <v>43425</v>
      </c>
      <c r="B2495" s="353" t="s">
        <v>285</v>
      </c>
      <c r="C2495" s="263" t="s">
        <v>783</v>
      </c>
      <c r="D2495" s="157" t="s">
        <v>784</v>
      </c>
      <c r="E2495" s="44">
        <f t="shared" si="190"/>
        <v>43425</v>
      </c>
      <c r="F2495" s="146" t="str">
        <f t="shared" si="191"/>
        <v>2018-19</v>
      </c>
      <c r="G2495" s="1"/>
      <c r="H2495" s="161"/>
      <c r="I2495" s="37"/>
      <c r="J2495" s="135">
        <f t="shared" si="187"/>
        <v>0.76382508261777382</v>
      </c>
      <c r="K2495" s="112"/>
      <c r="L2495" s="37">
        <v>61.749301616700002</v>
      </c>
      <c r="M2495" s="37" t="s">
        <v>288</v>
      </c>
      <c r="N2495" s="37">
        <v>4137.5668292682922</v>
      </c>
      <c r="O2495" s="130">
        <f t="shared" si="188"/>
        <v>255491.86209974086</v>
      </c>
      <c r="P2495" s="132">
        <f t="shared" si="189"/>
        <v>195151.09267650344</v>
      </c>
      <c r="Q2495" s="261">
        <v>1</v>
      </c>
      <c r="R2495" s="92"/>
    </row>
    <row r="2496" spans="1:18" x14ac:dyDescent="0.25">
      <c r="A2496" s="353">
        <v>43425</v>
      </c>
      <c r="B2496" s="353" t="s">
        <v>285</v>
      </c>
      <c r="C2496" s="263" t="s">
        <v>783</v>
      </c>
      <c r="D2496" s="157" t="s">
        <v>784</v>
      </c>
      <c r="E2496" s="44">
        <f t="shared" si="190"/>
        <v>43425</v>
      </c>
      <c r="F2496" s="146" t="str">
        <f t="shared" si="191"/>
        <v>2018-19</v>
      </c>
      <c r="G2496" s="1"/>
      <c r="H2496" s="161"/>
      <c r="I2496" s="37"/>
      <c r="J2496" s="135">
        <f t="shared" si="187"/>
        <v>0.76382508261777382</v>
      </c>
      <c r="K2496" s="112"/>
      <c r="L2496" s="37">
        <v>103.323757138</v>
      </c>
      <c r="M2496" s="37" t="s">
        <v>288</v>
      </c>
      <c r="N2496" s="37">
        <v>4137.5668292682922</v>
      </c>
      <c r="O2496" s="130">
        <f t="shared" si="188"/>
        <v>427508.95020956174</v>
      </c>
      <c r="P2496" s="132">
        <f t="shared" si="189"/>
        <v>326542.05921365623</v>
      </c>
      <c r="Q2496" s="261">
        <v>1</v>
      </c>
      <c r="R2496" s="92"/>
    </row>
    <row r="2497" spans="1:18" x14ac:dyDescent="0.25">
      <c r="A2497" s="353">
        <v>43425</v>
      </c>
      <c r="B2497" s="353" t="s">
        <v>285</v>
      </c>
      <c r="C2497" s="263" t="s">
        <v>783</v>
      </c>
      <c r="D2497" s="157" t="s">
        <v>784</v>
      </c>
      <c r="E2497" s="44">
        <f t="shared" si="190"/>
        <v>43425</v>
      </c>
      <c r="F2497" s="146" t="str">
        <f t="shared" si="191"/>
        <v>2018-19</v>
      </c>
      <c r="G2497" s="1"/>
      <c r="H2497" s="161"/>
      <c r="I2497" s="37"/>
      <c r="J2497" s="135">
        <f t="shared" si="187"/>
        <v>0.76382508261777382</v>
      </c>
      <c r="K2497" s="112"/>
      <c r="L2497" s="37">
        <v>162.05481834</v>
      </c>
      <c r="M2497" s="37" t="s">
        <v>288</v>
      </c>
      <c r="N2497" s="37">
        <v>4137.5668292682922</v>
      </c>
      <c r="O2497" s="130">
        <f t="shared" si="188"/>
        <v>670512.6408866829</v>
      </c>
      <c r="P2497" s="132">
        <f t="shared" si="189"/>
        <v>512154.37332153227</v>
      </c>
      <c r="Q2497" s="261">
        <v>1</v>
      </c>
      <c r="R2497" s="92"/>
    </row>
    <row r="2498" spans="1:18" x14ac:dyDescent="0.25">
      <c r="A2498" s="353">
        <v>43425</v>
      </c>
      <c r="B2498" s="353" t="s">
        <v>285</v>
      </c>
      <c r="C2498" s="263" t="s">
        <v>783</v>
      </c>
      <c r="D2498" s="157" t="s">
        <v>784</v>
      </c>
      <c r="E2498" s="44">
        <f t="shared" si="190"/>
        <v>43425</v>
      </c>
      <c r="F2498" s="146" t="str">
        <f t="shared" si="191"/>
        <v>2018-19</v>
      </c>
      <c r="G2498" s="1"/>
      <c r="H2498" s="161"/>
      <c r="I2498" s="37"/>
      <c r="J2498" s="135">
        <f t="shared" si="187"/>
        <v>0.76382508261777382</v>
      </c>
      <c r="K2498" s="112"/>
      <c r="L2498" s="37">
        <v>68.170466985299996</v>
      </c>
      <c r="M2498" s="37" t="s">
        <v>288</v>
      </c>
      <c r="N2498" s="37">
        <v>1361.4565853658535</v>
      </c>
      <c r="O2498" s="130">
        <f t="shared" si="188"/>
        <v>92811.131204602178</v>
      </c>
      <c r="P2498" s="132">
        <f t="shared" si="189"/>
        <v>70891.469960204311</v>
      </c>
      <c r="Q2498" s="261">
        <v>1</v>
      </c>
      <c r="R2498" s="92"/>
    </row>
    <row r="2499" spans="1:18" x14ac:dyDescent="0.25">
      <c r="A2499" s="353">
        <v>43451</v>
      </c>
      <c r="B2499" s="353" t="s">
        <v>285</v>
      </c>
      <c r="C2499" s="263" t="s">
        <v>785</v>
      </c>
      <c r="D2499" s="157" t="s">
        <v>697</v>
      </c>
      <c r="E2499" s="44">
        <f t="shared" si="190"/>
        <v>43451</v>
      </c>
      <c r="F2499" s="146" t="str">
        <f t="shared" si="191"/>
        <v>2018-19</v>
      </c>
      <c r="G2499" s="1"/>
      <c r="H2499" s="161"/>
      <c r="I2499" s="37"/>
      <c r="J2499" s="135">
        <f t="shared" si="187"/>
        <v>0.76382508261777382</v>
      </c>
      <c r="K2499" s="112"/>
      <c r="L2499" s="37">
        <v>29.239505896699999</v>
      </c>
      <c r="M2499" s="37" t="s">
        <v>288</v>
      </c>
      <c r="N2499" s="37">
        <v>3875.3912195121943</v>
      </c>
      <c r="O2499" s="130">
        <f t="shared" si="188"/>
        <v>113314.52441494621</v>
      </c>
      <c r="P2499" s="132">
        <f t="shared" si="189"/>
        <v>86552.47597304004</v>
      </c>
      <c r="Q2499" s="261">
        <v>1</v>
      </c>
      <c r="R2499" s="92"/>
    </row>
    <row r="2500" spans="1:18" x14ac:dyDescent="0.25">
      <c r="A2500" s="353">
        <v>43425</v>
      </c>
      <c r="B2500" s="353" t="s">
        <v>285</v>
      </c>
      <c r="C2500" s="263" t="s">
        <v>783</v>
      </c>
      <c r="D2500" s="157" t="s">
        <v>782</v>
      </c>
      <c r="E2500" s="44">
        <f t="shared" si="190"/>
        <v>43425</v>
      </c>
      <c r="F2500" s="146" t="str">
        <f t="shared" si="191"/>
        <v>2018-19</v>
      </c>
      <c r="G2500" s="1"/>
      <c r="H2500" s="161"/>
      <c r="I2500" s="37"/>
      <c r="J2500" s="135">
        <f t="shared" si="187"/>
        <v>0.76382508261777382</v>
      </c>
      <c r="K2500" s="112"/>
      <c r="L2500" s="37">
        <v>179.77626619200001</v>
      </c>
      <c r="M2500" s="37" t="s">
        <v>288</v>
      </c>
      <c r="N2500" s="37">
        <v>4416.6341463414628</v>
      </c>
      <c r="O2500" s="130">
        <f t="shared" si="188"/>
        <v>794005.9959653595</v>
      </c>
      <c r="P2500" s="132">
        <f t="shared" si="189"/>
        <v>606481.69546724856</v>
      </c>
      <c r="Q2500" s="261">
        <v>1</v>
      </c>
      <c r="R2500" s="92"/>
    </row>
    <row r="2501" spans="1:18" x14ac:dyDescent="0.25">
      <c r="A2501" s="353">
        <v>43425</v>
      </c>
      <c r="B2501" s="353" t="s">
        <v>285</v>
      </c>
      <c r="C2501" s="263" t="s">
        <v>783</v>
      </c>
      <c r="D2501" s="157" t="s">
        <v>784</v>
      </c>
      <c r="E2501" s="44">
        <f t="shared" si="190"/>
        <v>43425</v>
      </c>
      <c r="F2501" s="146" t="str">
        <f t="shared" si="191"/>
        <v>2018-19</v>
      </c>
      <c r="G2501" s="1"/>
      <c r="H2501" s="161"/>
      <c r="I2501" s="37"/>
      <c r="J2501" s="135">
        <f t="shared" si="187"/>
        <v>0.76382508261777382</v>
      </c>
      <c r="K2501" s="112"/>
      <c r="L2501" s="37">
        <v>130.280013682</v>
      </c>
      <c r="M2501" s="37" t="s">
        <v>288</v>
      </c>
      <c r="N2501" s="37">
        <v>4137.5668292682922</v>
      </c>
      <c r="O2501" s="130">
        <f t="shared" si="188"/>
        <v>539042.26312726247</v>
      </c>
      <c r="P2501" s="132">
        <f t="shared" si="189"/>
        <v>411734.00116765301</v>
      </c>
      <c r="Q2501" s="261">
        <v>1</v>
      </c>
      <c r="R2501" s="92"/>
    </row>
    <row r="2502" spans="1:18" x14ac:dyDescent="0.25">
      <c r="A2502" s="353">
        <v>43425</v>
      </c>
      <c r="B2502" s="353" t="s">
        <v>285</v>
      </c>
      <c r="C2502" s="263" t="s">
        <v>783</v>
      </c>
      <c r="D2502" s="157" t="s">
        <v>784</v>
      </c>
      <c r="E2502" s="44">
        <f t="shared" si="190"/>
        <v>43425</v>
      </c>
      <c r="F2502" s="146" t="str">
        <f t="shared" si="191"/>
        <v>2018-19</v>
      </c>
      <c r="G2502" s="1"/>
      <c r="H2502" s="161"/>
      <c r="I2502" s="37"/>
      <c r="J2502" s="135">
        <f t="shared" si="187"/>
        <v>0.76382508261777382</v>
      </c>
      <c r="K2502" s="112"/>
      <c r="L2502" s="37">
        <v>169.14530956300001</v>
      </c>
      <c r="M2502" s="37" t="s">
        <v>288</v>
      </c>
      <c r="N2502" s="37">
        <v>4137.5668292682922</v>
      </c>
      <c r="O2502" s="130">
        <f t="shared" si="188"/>
        <v>699850.02217418572</v>
      </c>
      <c r="P2502" s="132">
        <f t="shared" si="189"/>
        <v>534563.0010072483</v>
      </c>
      <c r="Q2502" s="261">
        <v>1</v>
      </c>
      <c r="R2502" s="92"/>
    </row>
    <row r="2503" spans="1:18" x14ac:dyDescent="0.25">
      <c r="A2503" s="353">
        <v>44152</v>
      </c>
      <c r="B2503" s="353" t="s">
        <v>285</v>
      </c>
      <c r="C2503" s="263" t="s">
        <v>786</v>
      </c>
      <c r="D2503" s="157" t="s">
        <v>782</v>
      </c>
      <c r="E2503" s="44">
        <f t="shared" si="190"/>
        <v>44152</v>
      </c>
      <c r="F2503" s="146" t="str">
        <f t="shared" si="191"/>
        <v>2020-21</v>
      </c>
      <c r="G2503" s="1"/>
      <c r="H2503" s="161"/>
      <c r="I2503" s="37"/>
      <c r="J2503" s="135">
        <f t="shared" si="187"/>
        <v>0.76382508261777382</v>
      </c>
      <c r="K2503" s="112"/>
      <c r="L2503" s="37">
        <v>149.090308002</v>
      </c>
      <c r="M2503" s="37" t="s">
        <v>288</v>
      </c>
      <c r="N2503" s="37">
        <v>4416.6341463414628</v>
      </c>
      <c r="O2503" s="130">
        <f t="shared" si="188"/>
        <v>658477.34521019901</v>
      </c>
      <c r="P2503" s="132">
        <f t="shared" si="189"/>
        <v>502961.51260711264</v>
      </c>
      <c r="Q2503" s="261">
        <v>1</v>
      </c>
      <c r="R2503" s="92"/>
    </row>
    <row r="2504" spans="1:18" x14ac:dyDescent="0.25">
      <c r="A2504" s="353">
        <v>44152</v>
      </c>
      <c r="B2504" s="353" t="s">
        <v>285</v>
      </c>
      <c r="C2504" s="263" t="s">
        <v>786</v>
      </c>
      <c r="D2504" s="157" t="s">
        <v>782</v>
      </c>
      <c r="E2504" s="44">
        <f t="shared" si="190"/>
        <v>44152</v>
      </c>
      <c r="F2504" s="146" t="str">
        <f t="shared" si="191"/>
        <v>2020-21</v>
      </c>
      <c r="G2504" s="1"/>
      <c r="H2504" s="161"/>
      <c r="I2504" s="37"/>
      <c r="J2504" s="135">
        <f t="shared" si="187"/>
        <v>0.76382508261777382</v>
      </c>
      <c r="K2504" s="112"/>
      <c r="L2504" s="37">
        <v>11.3670276238</v>
      </c>
      <c r="M2504" s="37" t="s">
        <v>288</v>
      </c>
      <c r="N2504" s="37">
        <v>1361.4565853658535</v>
      </c>
      <c r="O2504" s="130">
        <f t="shared" si="188"/>
        <v>15475.71461445808</v>
      </c>
      <c r="P2504" s="132">
        <f t="shared" si="189"/>
        <v>11820.738993957533</v>
      </c>
      <c r="Q2504" s="261">
        <v>1</v>
      </c>
      <c r="R2504" s="92"/>
    </row>
    <row r="2505" spans="1:18" x14ac:dyDescent="0.25">
      <c r="A2505" s="353">
        <v>44152</v>
      </c>
      <c r="B2505" s="353" t="s">
        <v>285</v>
      </c>
      <c r="C2505" s="263" t="s">
        <v>786</v>
      </c>
      <c r="D2505" s="157" t="s">
        <v>782</v>
      </c>
      <c r="E2505" s="44">
        <f t="shared" si="190"/>
        <v>44152</v>
      </c>
      <c r="F2505" s="146" t="str">
        <f t="shared" si="191"/>
        <v>2020-21</v>
      </c>
      <c r="G2505" s="1"/>
      <c r="H2505" s="161"/>
      <c r="I2505" s="37"/>
      <c r="J2505" s="135">
        <f t="shared" si="187"/>
        <v>0.76382508261777382</v>
      </c>
      <c r="K2505" s="112"/>
      <c r="L2505" s="37">
        <v>10.004447410999999</v>
      </c>
      <c r="M2505" s="37" t="s">
        <v>288</v>
      </c>
      <c r="N2505" s="37">
        <v>1361.4565853658535</v>
      </c>
      <c r="O2505" s="130">
        <f t="shared" si="188"/>
        <v>13620.620810652312</v>
      </c>
      <c r="P2505" s="132">
        <f t="shared" si="189"/>
        <v>10403.771816001872</v>
      </c>
      <c r="Q2505" s="261">
        <v>1</v>
      </c>
      <c r="R2505" s="92"/>
    </row>
    <row r="2506" spans="1:18" x14ac:dyDescent="0.25">
      <c r="A2506" s="353">
        <v>44152</v>
      </c>
      <c r="B2506" s="353" t="s">
        <v>285</v>
      </c>
      <c r="C2506" s="263" t="s">
        <v>786</v>
      </c>
      <c r="D2506" s="157" t="s">
        <v>782</v>
      </c>
      <c r="E2506" s="44">
        <f t="shared" si="190"/>
        <v>44152</v>
      </c>
      <c r="F2506" s="146" t="str">
        <f t="shared" si="191"/>
        <v>2020-21</v>
      </c>
      <c r="G2506" s="1"/>
      <c r="H2506" s="161"/>
      <c r="I2506" s="37"/>
      <c r="J2506" s="135">
        <f t="shared" si="187"/>
        <v>0.76382508261777382</v>
      </c>
      <c r="K2506" s="112"/>
      <c r="L2506" s="37">
        <v>200.977335332</v>
      </c>
      <c r="M2506" s="37" t="s">
        <v>288</v>
      </c>
      <c r="N2506" s="37">
        <v>4416.6341463414628</v>
      </c>
      <c r="O2506" s="130">
        <f t="shared" si="188"/>
        <v>887643.36186802969</v>
      </c>
      <c r="P2506" s="132">
        <f t="shared" si="189"/>
        <v>678004.26421396632</v>
      </c>
      <c r="Q2506" s="261">
        <v>1</v>
      </c>
      <c r="R2506" s="92"/>
    </row>
    <row r="2507" spans="1:18" x14ac:dyDescent="0.25">
      <c r="A2507" s="353">
        <v>44152</v>
      </c>
      <c r="B2507" s="353" t="s">
        <v>285</v>
      </c>
      <c r="C2507" s="263" t="s">
        <v>786</v>
      </c>
      <c r="D2507" s="157" t="s">
        <v>782</v>
      </c>
      <c r="E2507" s="44">
        <f t="shared" si="190"/>
        <v>44152</v>
      </c>
      <c r="F2507" s="146" t="str">
        <f t="shared" si="191"/>
        <v>2020-21</v>
      </c>
      <c r="G2507" s="1"/>
      <c r="H2507" s="161"/>
      <c r="I2507" s="37"/>
      <c r="J2507" s="135">
        <f t="shared" si="187"/>
        <v>0.76382508261777382</v>
      </c>
      <c r="K2507" s="112"/>
      <c r="L2507" s="37">
        <v>95.877189534300001</v>
      </c>
      <c r="M2507" s="37" t="s">
        <v>288</v>
      </c>
      <c r="N2507" s="37">
        <v>4416.6341463414628</v>
      </c>
      <c r="O2507" s="130">
        <f t="shared" si="188"/>
        <v>423454.46915244171</v>
      </c>
      <c r="P2507" s="132">
        <f t="shared" si="189"/>
        <v>323445.14488522935</v>
      </c>
      <c r="Q2507" s="261">
        <v>1</v>
      </c>
      <c r="R2507" s="92"/>
    </row>
    <row r="2508" spans="1:18" x14ac:dyDescent="0.25">
      <c r="A2508" s="353">
        <v>44152</v>
      </c>
      <c r="B2508" s="353" t="s">
        <v>285</v>
      </c>
      <c r="C2508" s="263" t="s">
        <v>786</v>
      </c>
      <c r="D2508" s="157" t="s">
        <v>782</v>
      </c>
      <c r="E2508" s="44">
        <f t="shared" si="190"/>
        <v>44152</v>
      </c>
      <c r="F2508" s="146" t="str">
        <f t="shared" si="191"/>
        <v>2020-21</v>
      </c>
      <c r="G2508" s="1"/>
      <c r="H2508" s="161"/>
      <c r="I2508" s="37"/>
      <c r="J2508" s="135">
        <f t="shared" si="187"/>
        <v>0.76382508261777382</v>
      </c>
      <c r="K2508" s="112"/>
      <c r="L2508" s="37">
        <v>170.310000073</v>
      </c>
      <c r="M2508" s="37" t="s">
        <v>288</v>
      </c>
      <c r="N2508" s="37">
        <v>4416.6341463414628</v>
      </c>
      <c r="O2508" s="130">
        <f t="shared" si="188"/>
        <v>752196.96178582881</v>
      </c>
      <c r="P2508" s="132">
        <f t="shared" si="189"/>
        <v>574546.9064808992</v>
      </c>
      <c r="Q2508" s="261">
        <v>1</v>
      </c>
      <c r="R2508" s="92"/>
    </row>
    <row r="2509" spans="1:18" x14ac:dyDescent="0.25">
      <c r="A2509" s="353">
        <v>44152</v>
      </c>
      <c r="B2509" s="353" t="s">
        <v>285</v>
      </c>
      <c r="C2509" s="263" t="s">
        <v>786</v>
      </c>
      <c r="D2509" s="157" t="s">
        <v>697</v>
      </c>
      <c r="E2509" s="44">
        <f t="shared" si="190"/>
        <v>44152</v>
      </c>
      <c r="F2509" s="146" t="str">
        <f t="shared" si="191"/>
        <v>2020-21</v>
      </c>
      <c r="G2509" s="1"/>
      <c r="H2509" s="161"/>
      <c r="I2509" s="37"/>
      <c r="J2509" s="135">
        <f t="shared" si="187"/>
        <v>0.76382508261777382</v>
      </c>
      <c r="K2509" s="112"/>
      <c r="L2509" s="37">
        <v>24.6036050204</v>
      </c>
      <c r="M2509" s="37" t="s">
        <v>288</v>
      </c>
      <c r="N2509" s="37">
        <v>812.22926829268283</v>
      </c>
      <c r="O2509" s="130">
        <f t="shared" si="188"/>
        <v>19983.768103081671</v>
      </c>
      <c r="P2509" s="132">
        <f t="shared" si="189"/>
        <v>15264.103322350791</v>
      </c>
      <c r="Q2509" s="261">
        <v>1</v>
      </c>
      <c r="R2509" s="92"/>
    </row>
    <row r="2510" spans="1:18" x14ac:dyDescent="0.25">
      <c r="C2510" s="263"/>
      <c r="D2510" s="157"/>
      <c r="E2510" s="44"/>
      <c r="F2510" s="146" t="str">
        <f t="shared" si="191"/>
        <v>-</v>
      </c>
      <c r="G2510" s="1"/>
      <c r="H2510" s="161"/>
      <c r="I2510" s="37"/>
      <c r="J2510" s="135">
        <f t="shared" si="187"/>
        <v>0.76382508261777382</v>
      </c>
      <c r="K2510" s="112"/>
      <c r="L2510" s="37"/>
      <c r="M2510" s="37"/>
      <c r="N2510" s="37"/>
      <c r="O2510" s="130"/>
      <c r="P2510" s="132"/>
      <c r="Q2510" s="261"/>
      <c r="R2510" s="92"/>
    </row>
    <row r="2511" spans="1:18" x14ac:dyDescent="0.25">
      <c r="A2511" s="353">
        <v>41908</v>
      </c>
      <c r="B2511" s="353" t="s">
        <v>287</v>
      </c>
      <c r="C2511" s="263" t="s">
        <v>763</v>
      </c>
      <c r="D2511" s="157" t="s">
        <v>465</v>
      </c>
      <c r="E2511" s="44">
        <f t="shared" ref="E2511:E2574" si="192">IF(VALUE(A2511)&lt;2022,DATEVALUE("30 Jun "&amp;A2511),A2511)</f>
        <v>41908</v>
      </c>
      <c r="F2511" s="146" t="str">
        <f t="shared" si="191"/>
        <v>2014-15</v>
      </c>
      <c r="G2511" s="1"/>
      <c r="H2511" s="161"/>
      <c r="I2511" s="37"/>
      <c r="J2511" s="135">
        <f t="shared" si="187"/>
        <v>0.76382508261777382</v>
      </c>
      <c r="K2511" s="112"/>
      <c r="L2511" s="37">
        <v>237.354362337</v>
      </c>
      <c r="M2511" s="37" t="s">
        <v>288</v>
      </c>
      <c r="N2511" s="37">
        <v>5056.6624390243896</v>
      </c>
      <c r="O2511" s="130">
        <f t="shared" si="188"/>
        <v>1200220.8887680932</v>
      </c>
      <c r="P2511" s="132">
        <f t="shared" si="189"/>
        <v>916758.81952286675</v>
      </c>
      <c r="Q2511" s="261">
        <v>1</v>
      </c>
      <c r="R2511" s="92"/>
    </row>
    <row r="2512" spans="1:18" x14ac:dyDescent="0.25">
      <c r="A2512" s="353">
        <v>41967</v>
      </c>
      <c r="B2512" s="353" t="s">
        <v>287</v>
      </c>
      <c r="C2512" s="263" t="s">
        <v>763</v>
      </c>
      <c r="D2512" s="157" t="s">
        <v>465</v>
      </c>
      <c r="E2512" s="44">
        <f t="shared" si="192"/>
        <v>41967</v>
      </c>
      <c r="F2512" s="146" t="str">
        <f t="shared" si="191"/>
        <v>2014-15</v>
      </c>
      <c r="G2512" s="1"/>
      <c r="H2512" s="161"/>
      <c r="I2512" s="37"/>
      <c r="J2512" s="135">
        <f t="shared" si="187"/>
        <v>0.76382508261777382</v>
      </c>
      <c r="K2512" s="112"/>
      <c r="L2512" s="37">
        <v>1.9993061296400001</v>
      </c>
      <c r="M2512" s="37" t="s">
        <v>288</v>
      </c>
      <c r="N2512" s="37">
        <v>1165.0878048780487</v>
      </c>
      <c r="O2512" s="130">
        <f t="shared" si="188"/>
        <v>2329.3671898614953</v>
      </c>
      <c r="P2512" s="132">
        <f t="shared" si="189"/>
        <v>1779.2290862430882</v>
      </c>
      <c r="Q2512" s="261">
        <v>1</v>
      </c>
      <c r="R2512" s="92"/>
    </row>
    <row r="2513" spans="1:18" x14ac:dyDescent="0.25">
      <c r="A2513" s="353">
        <v>41967</v>
      </c>
      <c r="B2513" s="353" t="s">
        <v>287</v>
      </c>
      <c r="C2513" s="263" t="s">
        <v>763</v>
      </c>
      <c r="D2513" s="157" t="s">
        <v>465</v>
      </c>
      <c r="E2513" s="44">
        <f t="shared" si="192"/>
        <v>41967</v>
      </c>
      <c r="F2513" s="146" t="str">
        <f t="shared" si="191"/>
        <v>2014-15</v>
      </c>
      <c r="G2513" s="1"/>
      <c r="H2513" s="161"/>
      <c r="I2513" s="37"/>
      <c r="J2513" s="135">
        <f t="shared" si="187"/>
        <v>0.76382508261777382</v>
      </c>
      <c r="K2513" s="112"/>
      <c r="L2513" s="37">
        <v>1.9993061296400001</v>
      </c>
      <c r="M2513" s="37" t="s">
        <v>288</v>
      </c>
      <c r="N2513" s="37">
        <v>1165.0878048780487</v>
      </c>
      <c r="O2513" s="130">
        <f t="shared" si="188"/>
        <v>2329.3671898614953</v>
      </c>
      <c r="P2513" s="132">
        <f t="shared" si="189"/>
        <v>1779.2290862430882</v>
      </c>
      <c r="Q2513" s="261">
        <v>1</v>
      </c>
      <c r="R2513" s="92"/>
    </row>
    <row r="2514" spans="1:18" x14ac:dyDescent="0.25">
      <c r="A2514" s="353">
        <v>41967</v>
      </c>
      <c r="B2514" s="353" t="s">
        <v>287</v>
      </c>
      <c r="C2514" s="263" t="s">
        <v>763</v>
      </c>
      <c r="D2514" s="157" t="s">
        <v>465</v>
      </c>
      <c r="E2514" s="44">
        <f t="shared" si="192"/>
        <v>41967</v>
      </c>
      <c r="F2514" s="146" t="str">
        <f t="shared" si="191"/>
        <v>2014-15</v>
      </c>
      <c r="G2514" s="1"/>
      <c r="H2514" s="161"/>
      <c r="I2514" s="37"/>
      <c r="J2514" s="135">
        <f t="shared" si="187"/>
        <v>0.76382508261777382</v>
      </c>
      <c r="K2514" s="112"/>
      <c r="L2514" s="37">
        <v>2.3759808500899999</v>
      </c>
      <c r="M2514" s="37" t="s">
        <v>288</v>
      </c>
      <c r="N2514" s="37">
        <v>1338.5980487804875</v>
      </c>
      <c r="O2514" s="130">
        <f t="shared" si="188"/>
        <v>3180.4833298702779</v>
      </c>
      <c r="P2514" s="132">
        <f t="shared" si="189"/>
        <v>2429.3329422026172</v>
      </c>
      <c r="Q2514" s="261">
        <v>1</v>
      </c>
      <c r="R2514" s="92"/>
    </row>
    <row r="2515" spans="1:18" x14ac:dyDescent="0.25">
      <c r="A2515" s="353">
        <v>41967</v>
      </c>
      <c r="B2515" s="353" t="s">
        <v>287</v>
      </c>
      <c r="C2515" s="263" t="s">
        <v>763</v>
      </c>
      <c r="D2515" s="157" t="s">
        <v>465</v>
      </c>
      <c r="E2515" s="44">
        <f t="shared" si="192"/>
        <v>41967</v>
      </c>
      <c r="F2515" s="146" t="str">
        <f t="shared" si="191"/>
        <v>2014-15</v>
      </c>
      <c r="G2515" s="1"/>
      <c r="H2515" s="161"/>
      <c r="I2515" s="37"/>
      <c r="J2515" s="135">
        <f t="shared" si="187"/>
        <v>0.76382508261777382</v>
      </c>
      <c r="K2515" s="112"/>
      <c r="L2515" s="37">
        <v>1.9989029491200001</v>
      </c>
      <c r="M2515" s="37" t="s">
        <v>288</v>
      </c>
      <c r="N2515" s="37">
        <v>1165.0878048780487</v>
      </c>
      <c r="O2515" s="130">
        <f t="shared" si="188"/>
        <v>2328.8974491544786</v>
      </c>
      <c r="P2515" s="132">
        <f t="shared" si="189"/>
        <v>1778.8702865087423</v>
      </c>
      <c r="Q2515" s="261">
        <v>1</v>
      </c>
      <c r="R2515" s="92"/>
    </row>
    <row r="2516" spans="1:18" x14ac:dyDescent="0.25">
      <c r="A2516" s="353">
        <v>41967</v>
      </c>
      <c r="B2516" s="353" t="s">
        <v>287</v>
      </c>
      <c r="C2516" s="263" t="s">
        <v>763</v>
      </c>
      <c r="D2516" s="157" t="s">
        <v>465</v>
      </c>
      <c r="E2516" s="44">
        <f t="shared" si="192"/>
        <v>41967</v>
      </c>
      <c r="F2516" s="146" t="str">
        <f t="shared" si="191"/>
        <v>2014-15</v>
      </c>
      <c r="G2516" s="1"/>
      <c r="H2516" s="161"/>
      <c r="I2516" s="37"/>
      <c r="J2516" s="135">
        <f t="shared" si="187"/>
        <v>0.76382508261777382</v>
      </c>
      <c r="K2516" s="112"/>
      <c r="L2516" s="37">
        <v>15.6148148525</v>
      </c>
      <c r="M2516" s="37" t="s">
        <v>288</v>
      </c>
      <c r="N2516" s="37">
        <v>4416.6341463414628</v>
      </c>
      <c r="O2516" s="130">
        <f t="shared" si="188"/>
        <v>68964.924466351338</v>
      </c>
      <c r="P2516" s="132">
        <f t="shared" si="189"/>
        <v>52677.139128239345</v>
      </c>
      <c r="Q2516" s="261">
        <v>1</v>
      </c>
      <c r="R2516" s="92"/>
    </row>
    <row r="2517" spans="1:18" x14ac:dyDescent="0.25">
      <c r="A2517" s="353">
        <v>41967</v>
      </c>
      <c r="B2517" s="353" t="s">
        <v>287</v>
      </c>
      <c r="C2517" s="263" t="s">
        <v>763</v>
      </c>
      <c r="D2517" s="157" t="s">
        <v>465</v>
      </c>
      <c r="E2517" s="44">
        <f t="shared" si="192"/>
        <v>41967</v>
      </c>
      <c r="F2517" s="146" t="str">
        <f t="shared" si="191"/>
        <v>2014-15</v>
      </c>
      <c r="G2517" s="1"/>
      <c r="H2517" s="161"/>
      <c r="I2517" s="37"/>
      <c r="J2517" s="135">
        <f t="shared" si="187"/>
        <v>0.76382508261777382</v>
      </c>
      <c r="K2517" s="112"/>
      <c r="L2517" s="37">
        <v>23.524904838499999</v>
      </c>
      <c r="M2517" s="37" t="s">
        <v>288</v>
      </c>
      <c r="N2517" s="37">
        <v>4416.6341463414628</v>
      </c>
      <c r="O2517" s="130">
        <f t="shared" si="188"/>
        <v>103900.8979991526</v>
      </c>
      <c r="P2517" s="132">
        <f t="shared" si="189"/>
        <v>79362.11199826363</v>
      </c>
      <c r="Q2517" s="261">
        <v>1</v>
      </c>
      <c r="R2517" s="92"/>
    </row>
    <row r="2518" spans="1:18" x14ac:dyDescent="0.25">
      <c r="A2518" s="353">
        <v>41967</v>
      </c>
      <c r="B2518" s="353" t="s">
        <v>287</v>
      </c>
      <c r="C2518" s="263" t="s">
        <v>763</v>
      </c>
      <c r="D2518" s="157" t="s">
        <v>465</v>
      </c>
      <c r="E2518" s="44">
        <f t="shared" si="192"/>
        <v>41967</v>
      </c>
      <c r="F2518" s="146" t="str">
        <f t="shared" si="191"/>
        <v>2014-15</v>
      </c>
      <c r="G2518" s="1"/>
      <c r="H2518" s="161"/>
      <c r="I2518" s="37"/>
      <c r="J2518" s="135">
        <f t="shared" si="187"/>
        <v>0.76382508261777382</v>
      </c>
      <c r="K2518" s="112"/>
      <c r="L2518" s="37">
        <v>2.2669321044299999</v>
      </c>
      <c r="M2518" s="37" t="s">
        <v>288</v>
      </c>
      <c r="N2518" s="37">
        <v>1338.5980487804875</v>
      </c>
      <c r="O2518" s="130">
        <f t="shared" si="188"/>
        <v>3034.5108917078423</v>
      </c>
      <c r="P2518" s="132">
        <f t="shared" si="189"/>
        <v>2317.8355325632774</v>
      </c>
      <c r="Q2518" s="261">
        <v>1</v>
      </c>
      <c r="R2518" s="92"/>
    </row>
    <row r="2519" spans="1:18" x14ac:dyDescent="0.25">
      <c r="A2519" s="353">
        <v>41967</v>
      </c>
      <c r="B2519" s="353" t="s">
        <v>287</v>
      </c>
      <c r="C2519" s="263" t="s">
        <v>763</v>
      </c>
      <c r="D2519" s="157" t="s">
        <v>465</v>
      </c>
      <c r="E2519" s="44">
        <f t="shared" si="192"/>
        <v>41967</v>
      </c>
      <c r="F2519" s="146" t="str">
        <f t="shared" si="191"/>
        <v>2014-15</v>
      </c>
      <c r="G2519" s="1"/>
      <c r="H2519" s="161"/>
      <c r="I2519" s="37"/>
      <c r="J2519" s="135">
        <f t="shared" si="187"/>
        <v>0.76382508261777382</v>
      </c>
      <c r="K2519" s="112"/>
      <c r="L2519" s="37">
        <v>7.3345803481100003</v>
      </c>
      <c r="M2519" s="37" t="s">
        <v>288</v>
      </c>
      <c r="N2519" s="37">
        <v>1165.0878048780487</v>
      </c>
      <c r="O2519" s="130">
        <f t="shared" si="188"/>
        <v>8545.4301174811553</v>
      </c>
      <c r="P2519" s="132">
        <f t="shared" si="189"/>
        <v>6527.2138654894561</v>
      </c>
      <c r="Q2519" s="261">
        <v>1</v>
      </c>
      <c r="R2519" s="92"/>
    </row>
    <row r="2520" spans="1:18" x14ac:dyDescent="0.25">
      <c r="A2520" s="353">
        <v>41967</v>
      </c>
      <c r="B2520" s="353" t="s">
        <v>287</v>
      </c>
      <c r="C2520" s="263" t="s">
        <v>763</v>
      </c>
      <c r="D2520" s="157" t="s">
        <v>465</v>
      </c>
      <c r="E2520" s="44">
        <f t="shared" si="192"/>
        <v>41967</v>
      </c>
      <c r="F2520" s="146" t="str">
        <f t="shared" si="191"/>
        <v>2014-15</v>
      </c>
      <c r="G2520" s="1"/>
      <c r="H2520" s="161"/>
      <c r="I2520" s="37"/>
      <c r="J2520" s="135">
        <f t="shared" si="187"/>
        <v>0.76382508261777382</v>
      </c>
      <c r="K2520" s="112"/>
      <c r="L2520" s="37">
        <v>7.0583573248300002</v>
      </c>
      <c r="M2520" s="37" t="s">
        <v>288</v>
      </c>
      <c r="N2520" s="37">
        <v>1165.0878048780487</v>
      </c>
      <c r="O2520" s="130">
        <f t="shared" si="188"/>
        <v>8223.6060416310811</v>
      </c>
      <c r="P2520" s="132">
        <f t="shared" si="189"/>
        <v>6281.3965641648847</v>
      </c>
      <c r="Q2520" s="261">
        <v>1</v>
      </c>
      <c r="R2520" s="92"/>
    </row>
    <row r="2521" spans="1:18" x14ac:dyDescent="0.25">
      <c r="A2521" s="353">
        <v>41967</v>
      </c>
      <c r="B2521" s="353" t="s">
        <v>287</v>
      </c>
      <c r="C2521" s="263" t="s">
        <v>763</v>
      </c>
      <c r="D2521" s="157" t="s">
        <v>465</v>
      </c>
      <c r="E2521" s="44">
        <f t="shared" si="192"/>
        <v>41967</v>
      </c>
      <c r="F2521" s="146" t="str">
        <f t="shared" si="191"/>
        <v>2014-15</v>
      </c>
      <c r="G2521" s="1"/>
      <c r="H2521" s="161"/>
      <c r="I2521" s="37"/>
      <c r="J2521" s="135">
        <f t="shared" si="187"/>
        <v>0.76382508261777382</v>
      </c>
      <c r="K2521" s="112"/>
      <c r="L2521" s="37">
        <v>1.9989029491200001</v>
      </c>
      <c r="M2521" s="37" t="s">
        <v>288</v>
      </c>
      <c r="N2521" s="37">
        <v>1165.0878048780487</v>
      </c>
      <c r="O2521" s="130">
        <f t="shared" si="188"/>
        <v>2328.8974491544786</v>
      </c>
      <c r="P2521" s="132">
        <f t="shared" si="189"/>
        <v>1778.8702865087423</v>
      </c>
      <c r="Q2521" s="261">
        <v>1</v>
      </c>
      <c r="R2521" s="92"/>
    </row>
    <row r="2522" spans="1:18" x14ac:dyDescent="0.25">
      <c r="A2522" s="353">
        <v>41908</v>
      </c>
      <c r="B2522" s="353" t="s">
        <v>287</v>
      </c>
      <c r="C2522" s="263" t="s">
        <v>763</v>
      </c>
      <c r="D2522" s="157" t="s">
        <v>465</v>
      </c>
      <c r="E2522" s="44">
        <f t="shared" si="192"/>
        <v>41908</v>
      </c>
      <c r="F2522" s="146" t="str">
        <f t="shared" si="191"/>
        <v>2014-15</v>
      </c>
      <c r="G2522" s="1"/>
      <c r="H2522" s="161"/>
      <c r="I2522" s="37"/>
      <c r="J2522" s="135">
        <f t="shared" ref="J2522:J2585" si="193">J2521</f>
        <v>0.76382508261777382</v>
      </c>
      <c r="K2522" s="112"/>
      <c r="L2522" s="37">
        <v>1.09884166284</v>
      </c>
      <c r="M2522" s="37" t="s">
        <v>288</v>
      </c>
      <c r="N2522" s="37">
        <v>2220.0360975609756</v>
      </c>
      <c r="O2522" s="130">
        <f t="shared" ref="O2522:O2585" si="194">IF(N2522="","-",L2522*N2522)</f>
        <v>2439.4681570087268</v>
      </c>
      <c r="P2522" s="132">
        <f t="shared" ref="P2522:P2585" si="195">IF(O2522="-","-",IF(OR(E2522&lt;$E$15,E2522&gt;$E$16),0,O2522*J2522))*Q2522</f>
        <v>1863.3269665706193</v>
      </c>
      <c r="Q2522" s="261">
        <v>1</v>
      </c>
      <c r="R2522" s="92"/>
    </row>
    <row r="2523" spans="1:18" x14ac:dyDescent="0.25">
      <c r="A2523" s="353">
        <v>42871</v>
      </c>
      <c r="B2523" s="353" t="s">
        <v>287</v>
      </c>
      <c r="C2523" s="263" t="s">
        <v>787</v>
      </c>
      <c r="D2523" s="157" t="s">
        <v>464</v>
      </c>
      <c r="E2523" s="44">
        <f t="shared" si="192"/>
        <v>42871</v>
      </c>
      <c r="F2523" s="146" t="str">
        <f t="shared" si="191"/>
        <v>2016-17</v>
      </c>
      <c r="G2523" s="1"/>
      <c r="H2523" s="161"/>
      <c r="I2523" s="37"/>
      <c r="J2523" s="135">
        <f t="shared" si="193"/>
        <v>0.76382508261777382</v>
      </c>
      <c r="K2523" s="112"/>
      <c r="L2523" s="37">
        <v>647.23835862800001</v>
      </c>
      <c r="M2523" s="37" t="s">
        <v>288</v>
      </c>
      <c r="N2523" s="37">
        <v>5056.6624390243896</v>
      </c>
      <c r="O2523" s="130">
        <f t="shared" si="194"/>
        <v>3272865.8971700054</v>
      </c>
      <c r="P2523" s="132">
        <f t="shared" si="195"/>
        <v>2499897.0643027737</v>
      </c>
      <c r="Q2523" s="261">
        <v>1</v>
      </c>
      <c r="R2523" s="92"/>
    </row>
    <row r="2524" spans="1:18" x14ac:dyDescent="0.25">
      <c r="A2524" s="353">
        <v>42871</v>
      </c>
      <c r="B2524" s="353" t="s">
        <v>287</v>
      </c>
      <c r="C2524" s="263" t="s">
        <v>787</v>
      </c>
      <c r="D2524" s="157" t="s">
        <v>464</v>
      </c>
      <c r="E2524" s="44">
        <f t="shared" si="192"/>
        <v>42871</v>
      </c>
      <c r="F2524" s="146" t="str">
        <f t="shared" si="191"/>
        <v>2016-17</v>
      </c>
      <c r="G2524" s="1"/>
      <c r="H2524" s="161"/>
      <c r="I2524" s="37"/>
      <c r="J2524" s="135">
        <f t="shared" si="193"/>
        <v>0.76382508261777382</v>
      </c>
      <c r="K2524" s="112"/>
      <c r="L2524" s="37">
        <v>207.13736094199999</v>
      </c>
      <c r="M2524" s="37" t="s">
        <v>288</v>
      </c>
      <c r="N2524" s="37">
        <v>2220.0360975609756</v>
      </c>
      <c r="O2524" s="130">
        <f t="shared" si="194"/>
        <v>459852.41844475688</v>
      </c>
      <c r="P2524" s="132">
        <f t="shared" si="195"/>
        <v>351246.81151054951</v>
      </c>
      <c r="Q2524" s="261">
        <v>1</v>
      </c>
      <c r="R2524" s="92"/>
    </row>
    <row r="2525" spans="1:18" x14ac:dyDescent="0.25">
      <c r="A2525" s="353">
        <v>42871</v>
      </c>
      <c r="B2525" s="353" t="s">
        <v>287</v>
      </c>
      <c r="C2525" s="263" t="s">
        <v>787</v>
      </c>
      <c r="D2525" s="157" t="s">
        <v>464</v>
      </c>
      <c r="E2525" s="44">
        <f t="shared" si="192"/>
        <v>42871</v>
      </c>
      <c r="F2525" s="146" t="str">
        <f t="shared" si="191"/>
        <v>2016-17</v>
      </c>
      <c r="G2525" s="1"/>
      <c r="H2525" s="161"/>
      <c r="I2525" s="37"/>
      <c r="J2525" s="135">
        <f t="shared" si="193"/>
        <v>0.76382508261777382</v>
      </c>
      <c r="K2525" s="112"/>
      <c r="L2525" s="37">
        <v>5.9966237167300003</v>
      </c>
      <c r="M2525" s="37" t="s">
        <v>288</v>
      </c>
      <c r="N2525" s="37">
        <v>5056.6624390243896</v>
      </c>
      <c r="O2525" s="130">
        <f t="shared" si="194"/>
        <v>30322.901909351425</v>
      </c>
      <c r="P2525" s="132">
        <f t="shared" si="195"/>
        <v>23161.393056121004</v>
      </c>
      <c r="Q2525" s="261">
        <v>1</v>
      </c>
      <c r="R2525" s="92"/>
    </row>
    <row r="2526" spans="1:18" x14ac:dyDescent="0.25">
      <c r="A2526" s="353">
        <v>42871</v>
      </c>
      <c r="B2526" s="353" t="s">
        <v>287</v>
      </c>
      <c r="C2526" s="263" t="s">
        <v>787</v>
      </c>
      <c r="D2526" s="157" t="s">
        <v>464</v>
      </c>
      <c r="E2526" s="44">
        <f t="shared" si="192"/>
        <v>42871</v>
      </c>
      <c r="F2526" s="146" t="str">
        <f t="shared" si="191"/>
        <v>2016-17</v>
      </c>
      <c r="G2526" s="1"/>
      <c r="H2526" s="161"/>
      <c r="I2526" s="37"/>
      <c r="J2526" s="135">
        <f t="shared" si="193"/>
        <v>0.76382508261777382</v>
      </c>
      <c r="K2526" s="112"/>
      <c r="L2526" s="37">
        <v>4.1476963485800002</v>
      </c>
      <c r="M2526" s="37" t="s">
        <v>288</v>
      </c>
      <c r="N2526" s="37">
        <v>5056.6624390243896</v>
      </c>
      <c r="O2526" s="130">
        <f t="shared" si="194"/>
        <v>20973.500334343098</v>
      </c>
      <c r="P2526" s="132">
        <f t="shared" si="195"/>
        <v>16020.085625663523</v>
      </c>
      <c r="Q2526" s="261">
        <v>1</v>
      </c>
      <c r="R2526" s="92"/>
    </row>
    <row r="2527" spans="1:18" x14ac:dyDescent="0.25">
      <c r="A2527" s="353">
        <v>42871</v>
      </c>
      <c r="B2527" s="353" t="s">
        <v>287</v>
      </c>
      <c r="C2527" s="263" t="s">
        <v>787</v>
      </c>
      <c r="D2527" s="157" t="s">
        <v>464</v>
      </c>
      <c r="E2527" s="44">
        <f t="shared" si="192"/>
        <v>42871</v>
      </c>
      <c r="F2527" s="146" t="str">
        <f t="shared" si="191"/>
        <v>2016-17</v>
      </c>
      <c r="G2527" s="1"/>
      <c r="H2527" s="161"/>
      <c r="I2527" s="37"/>
      <c r="J2527" s="135">
        <f t="shared" si="193"/>
        <v>0.76382508261777382</v>
      </c>
      <c r="K2527" s="112"/>
      <c r="L2527" s="37">
        <v>5.1972719767199997</v>
      </c>
      <c r="M2527" s="37" t="s">
        <v>288</v>
      </c>
      <c r="N2527" s="37">
        <v>4416.6341463414628</v>
      </c>
      <c r="O2527" s="130">
        <f t="shared" si="194"/>
        <v>22954.448880205142</v>
      </c>
      <c r="P2527" s="132">
        <f t="shared" si="195"/>
        <v>17533.183812368159</v>
      </c>
      <c r="Q2527" s="261">
        <v>1</v>
      </c>
      <c r="R2527" s="92"/>
    </row>
    <row r="2528" spans="1:18" x14ac:dyDescent="0.25">
      <c r="A2528" s="353">
        <v>42871</v>
      </c>
      <c r="B2528" s="353" t="s">
        <v>287</v>
      </c>
      <c r="C2528" s="263" t="s">
        <v>787</v>
      </c>
      <c r="D2528" s="157" t="s">
        <v>464</v>
      </c>
      <c r="E2528" s="44">
        <f t="shared" si="192"/>
        <v>42871</v>
      </c>
      <c r="F2528" s="146" t="str">
        <f t="shared" si="191"/>
        <v>2016-17</v>
      </c>
      <c r="G2528" s="1"/>
      <c r="H2528" s="161"/>
      <c r="I2528" s="37"/>
      <c r="J2528" s="135">
        <f t="shared" si="193"/>
        <v>0.76382508261777382</v>
      </c>
      <c r="K2528" s="112"/>
      <c r="L2528" s="37">
        <v>1.59923012728</v>
      </c>
      <c r="M2528" s="37" t="s">
        <v>288</v>
      </c>
      <c r="N2528" s="37">
        <v>1338.5980487804875</v>
      </c>
      <c r="O2528" s="130">
        <f t="shared" si="194"/>
        <v>2140.7263279279787</v>
      </c>
      <c r="P2528" s="132">
        <f t="shared" si="195"/>
        <v>1635.1404642916318</v>
      </c>
      <c r="Q2528" s="261">
        <v>1</v>
      </c>
      <c r="R2528" s="92"/>
    </row>
    <row r="2529" spans="1:18" x14ac:dyDescent="0.25">
      <c r="A2529" s="353">
        <v>42871</v>
      </c>
      <c r="B2529" s="353" t="s">
        <v>287</v>
      </c>
      <c r="C2529" s="263" t="s">
        <v>787</v>
      </c>
      <c r="D2529" s="157" t="s">
        <v>464</v>
      </c>
      <c r="E2529" s="44">
        <f t="shared" si="192"/>
        <v>42871</v>
      </c>
      <c r="F2529" s="146" t="str">
        <f t="shared" si="191"/>
        <v>2016-17</v>
      </c>
      <c r="G2529" s="1"/>
      <c r="H2529" s="161"/>
      <c r="I2529" s="37"/>
      <c r="J2529" s="135">
        <f t="shared" si="193"/>
        <v>0.76382508261777382</v>
      </c>
      <c r="K2529" s="112"/>
      <c r="L2529" s="37">
        <v>318.70059294100002</v>
      </c>
      <c r="M2529" s="37" t="s">
        <v>288</v>
      </c>
      <c r="N2529" s="37">
        <v>2220.0360975609756</v>
      </c>
      <c r="O2529" s="130">
        <f t="shared" si="194"/>
        <v>707526.82064310671</v>
      </c>
      <c r="P2529" s="132">
        <f t="shared" si="195"/>
        <v>540426.73223201185</v>
      </c>
      <c r="Q2529" s="261">
        <v>1</v>
      </c>
      <c r="R2529" s="92"/>
    </row>
    <row r="2530" spans="1:18" x14ac:dyDescent="0.25">
      <c r="A2530" s="353">
        <v>42871</v>
      </c>
      <c r="B2530" s="353" t="s">
        <v>287</v>
      </c>
      <c r="C2530" s="263" t="s">
        <v>787</v>
      </c>
      <c r="D2530" s="157" t="s">
        <v>464</v>
      </c>
      <c r="E2530" s="44">
        <f t="shared" si="192"/>
        <v>42871</v>
      </c>
      <c r="F2530" s="146" t="str">
        <f t="shared" si="191"/>
        <v>2016-17</v>
      </c>
      <c r="G2530" s="1"/>
      <c r="H2530" s="161"/>
      <c r="I2530" s="37"/>
      <c r="J2530" s="135">
        <f t="shared" si="193"/>
        <v>0.76382508261777382</v>
      </c>
      <c r="K2530" s="112"/>
      <c r="L2530" s="37">
        <v>724.56757226499997</v>
      </c>
      <c r="M2530" s="37" t="s">
        <v>288</v>
      </c>
      <c r="N2530" s="37">
        <v>5056.6624390243896</v>
      </c>
      <c r="O2530" s="130">
        <f t="shared" si="194"/>
        <v>3663893.6272075153</v>
      </c>
      <c r="P2530" s="132">
        <f t="shared" si="195"/>
        <v>2798573.8525045156</v>
      </c>
      <c r="Q2530" s="261">
        <v>1</v>
      </c>
      <c r="R2530" s="92"/>
    </row>
    <row r="2531" spans="1:18" x14ac:dyDescent="0.25">
      <c r="A2531" s="353">
        <v>42871</v>
      </c>
      <c r="B2531" s="353" t="s">
        <v>287</v>
      </c>
      <c r="C2531" s="263" t="s">
        <v>787</v>
      </c>
      <c r="D2531" s="157" t="s">
        <v>464</v>
      </c>
      <c r="E2531" s="44">
        <f t="shared" si="192"/>
        <v>42871</v>
      </c>
      <c r="F2531" s="146" t="str">
        <f t="shared" si="191"/>
        <v>2016-17</v>
      </c>
      <c r="G2531" s="1"/>
      <c r="H2531" s="161"/>
      <c r="I2531" s="37"/>
      <c r="J2531" s="135">
        <f t="shared" si="193"/>
        <v>0.76382508261777382</v>
      </c>
      <c r="K2531" s="112"/>
      <c r="L2531" s="37">
        <v>5.19733970412</v>
      </c>
      <c r="M2531" s="37" t="s">
        <v>288</v>
      </c>
      <c r="N2531" s="37">
        <v>1338.5980487804875</v>
      </c>
      <c r="O2531" s="130">
        <f t="shared" si="194"/>
        <v>6957.148786784388</v>
      </c>
      <c r="P2531" s="132">
        <f t="shared" si="195"/>
        <v>5314.0447468497305</v>
      </c>
      <c r="Q2531" s="261">
        <v>1</v>
      </c>
      <c r="R2531" s="92"/>
    </row>
    <row r="2532" spans="1:18" x14ac:dyDescent="0.25">
      <c r="A2532" s="353">
        <v>42871</v>
      </c>
      <c r="B2532" s="353" t="s">
        <v>287</v>
      </c>
      <c r="C2532" s="263" t="s">
        <v>787</v>
      </c>
      <c r="D2532" s="157" t="s">
        <v>464</v>
      </c>
      <c r="E2532" s="44">
        <f t="shared" si="192"/>
        <v>42871</v>
      </c>
      <c r="F2532" s="146" t="str">
        <f t="shared" si="191"/>
        <v>2016-17</v>
      </c>
      <c r="G2532" s="1"/>
      <c r="H2532" s="161"/>
      <c r="I2532" s="37"/>
      <c r="J2532" s="135">
        <f t="shared" si="193"/>
        <v>0.76382508261777382</v>
      </c>
      <c r="K2532" s="112"/>
      <c r="L2532" s="37">
        <v>3.29835307388</v>
      </c>
      <c r="M2532" s="37" t="s">
        <v>288</v>
      </c>
      <c r="N2532" s="37">
        <v>2220.0360975609756</v>
      </c>
      <c r="O2532" s="130">
        <f t="shared" si="194"/>
        <v>7322.4628865148034</v>
      </c>
      <c r="P2532" s="132">
        <f t="shared" si="195"/>
        <v>5593.0808192577524</v>
      </c>
      <c r="Q2532" s="261">
        <v>1</v>
      </c>
      <c r="R2532" s="92"/>
    </row>
    <row r="2533" spans="1:18" x14ac:dyDescent="0.25">
      <c r="A2533" s="353">
        <v>42871</v>
      </c>
      <c r="B2533" s="353" t="s">
        <v>287</v>
      </c>
      <c r="C2533" s="263" t="s">
        <v>787</v>
      </c>
      <c r="D2533" s="157" t="s">
        <v>464</v>
      </c>
      <c r="E2533" s="44">
        <f t="shared" si="192"/>
        <v>42871</v>
      </c>
      <c r="F2533" s="146" t="str">
        <f t="shared" si="191"/>
        <v>2016-17</v>
      </c>
      <c r="G2533" s="1"/>
      <c r="H2533" s="161"/>
      <c r="I2533" s="37"/>
      <c r="J2533" s="135">
        <f t="shared" si="193"/>
        <v>0.76382508261777382</v>
      </c>
      <c r="K2533" s="112"/>
      <c r="L2533" s="37">
        <v>5.6966517358899997</v>
      </c>
      <c r="M2533" s="37" t="s">
        <v>288</v>
      </c>
      <c r="N2533" s="37">
        <v>2220.0360975609756</v>
      </c>
      <c r="O2533" s="130">
        <f t="shared" si="194"/>
        <v>12646.772488909191</v>
      </c>
      <c r="P2533" s="132">
        <f t="shared" si="195"/>
        <v>9659.9220411892529</v>
      </c>
      <c r="Q2533" s="261">
        <v>1</v>
      </c>
      <c r="R2533" s="92"/>
    </row>
    <row r="2534" spans="1:18" x14ac:dyDescent="0.25">
      <c r="A2534" s="353">
        <v>42871</v>
      </c>
      <c r="B2534" s="353" t="s">
        <v>287</v>
      </c>
      <c r="C2534" s="263" t="s">
        <v>787</v>
      </c>
      <c r="D2534" s="157" t="s">
        <v>464</v>
      </c>
      <c r="E2534" s="44">
        <f t="shared" si="192"/>
        <v>42871</v>
      </c>
      <c r="F2534" s="146" t="str">
        <f t="shared" si="191"/>
        <v>2016-17</v>
      </c>
      <c r="G2534" s="1"/>
      <c r="H2534" s="161"/>
      <c r="I2534" s="37"/>
      <c r="J2534" s="135">
        <f t="shared" si="193"/>
        <v>0.76382508261777382</v>
      </c>
      <c r="K2534" s="112"/>
      <c r="L2534" s="37">
        <v>1.4997899853000001</v>
      </c>
      <c r="M2534" s="37" t="s">
        <v>288</v>
      </c>
      <c r="N2534" s="37">
        <v>1338.5980487804875</v>
      </c>
      <c r="O2534" s="130">
        <f t="shared" si="194"/>
        <v>2007.6159479030962</v>
      </c>
      <c r="P2534" s="132">
        <f t="shared" si="195"/>
        <v>1533.4674172718428</v>
      </c>
      <c r="Q2534" s="261">
        <v>1</v>
      </c>
      <c r="R2534" s="92"/>
    </row>
    <row r="2535" spans="1:18" x14ac:dyDescent="0.25">
      <c r="A2535" s="353">
        <v>42871</v>
      </c>
      <c r="B2535" s="353" t="s">
        <v>287</v>
      </c>
      <c r="C2535" s="263" t="s">
        <v>787</v>
      </c>
      <c r="D2535" s="157" t="s">
        <v>464</v>
      </c>
      <c r="E2535" s="44">
        <f t="shared" si="192"/>
        <v>42871</v>
      </c>
      <c r="F2535" s="146" t="str">
        <f t="shared" si="191"/>
        <v>2016-17</v>
      </c>
      <c r="G2535" s="1"/>
      <c r="H2535" s="161"/>
      <c r="I2535" s="37"/>
      <c r="J2535" s="135">
        <f t="shared" si="193"/>
        <v>0.76382508261777382</v>
      </c>
      <c r="K2535" s="112"/>
      <c r="L2535" s="37">
        <v>679.75444231899996</v>
      </c>
      <c r="M2535" s="37" t="s">
        <v>288</v>
      </c>
      <c r="N2535" s="37">
        <v>2220.0360975609756</v>
      </c>
      <c r="O2535" s="130">
        <f t="shared" si="194"/>
        <v>1509079.39942561</v>
      </c>
      <c r="P2535" s="132">
        <f t="shared" si="195"/>
        <v>1152672.696943047</v>
      </c>
      <c r="Q2535" s="261">
        <v>1</v>
      </c>
      <c r="R2535" s="92"/>
    </row>
    <row r="2536" spans="1:18" x14ac:dyDescent="0.25">
      <c r="A2536" s="353">
        <v>42871</v>
      </c>
      <c r="B2536" s="353" t="s">
        <v>287</v>
      </c>
      <c r="C2536" s="263" t="s">
        <v>787</v>
      </c>
      <c r="D2536" s="157" t="s">
        <v>464</v>
      </c>
      <c r="E2536" s="44">
        <f t="shared" si="192"/>
        <v>42871</v>
      </c>
      <c r="F2536" s="146" t="str">
        <f t="shared" si="191"/>
        <v>2016-17</v>
      </c>
      <c r="G2536" s="1"/>
      <c r="H2536" s="161"/>
      <c r="I2536" s="37"/>
      <c r="J2536" s="135">
        <f t="shared" si="193"/>
        <v>0.76382508261777382</v>
      </c>
      <c r="K2536" s="112"/>
      <c r="L2536" s="37">
        <v>677.177600708</v>
      </c>
      <c r="M2536" s="37" t="s">
        <v>288</v>
      </c>
      <c r="N2536" s="37">
        <v>5056.6624390243896</v>
      </c>
      <c r="O2536" s="130">
        <f t="shared" si="194"/>
        <v>3424258.5380487996</v>
      </c>
      <c r="P2536" s="132">
        <f t="shared" si="195"/>
        <v>2615534.5607297416</v>
      </c>
      <c r="Q2536" s="261">
        <v>1</v>
      </c>
      <c r="R2536" s="92"/>
    </row>
    <row r="2537" spans="1:18" x14ac:dyDescent="0.25">
      <c r="A2537" s="353">
        <v>42871</v>
      </c>
      <c r="B2537" s="353" t="s">
        <v>287</v>
      </c>
      <c r="C2537" s="263" t="s">
        <v>787</v>
      </c>
      <c r="D2537" s="157" t="s">
        <v>464</v>
      </c>
      <c r="E2537" s="44">
        <f t="shared" si="192"/>
        <v>42871</v>
      </c>
      <c r="F2537" s="146" t="str">
        <f t="shared" si="191"/>
        <v>2016-17</v>
      </c>
      <c r="G2537" s="1"/>
      <c r="H2537" s="161"/>
      <c r="I2537" s="37"/>
      <c r="J2537" s="135">
        <f t="shared" si="193"/>
        <v>0.76382508261777382</v>
      </c>
      <c r="K2537" s="112"/>
      <c r="L2537" s="37">
        <v>5.1971630722900004</v>
      </c>
      <c r="M2537" s="37" t="s">
        <v>288</v>
      </c>
      <c r="N2537" s="37">
        <v>1338.5980487804875</v>
      </c>
      <c r="O2537" s="130">
        <f t="shared" si="194"/>
        <v>6956.9123477613985</v>
      </c>
      <c r="P2537" s="132">
        <f t="shared" si="195"/>
        <v>5313.864148793461</v>
      </c>
      <c r="Q2537" s="261">
        <v>1</v>
      </c>
      <c r="R2537" s="92"/>
    </row>
    <row r="2538" spans="1:18" x14ac:dyDescent="0.25">
      <c r="A2538" s="353">
        <v>42871</v>
      </c>
      <c r="B2538" s="353" t="s">
        <v>287</v>
      </c>
      <c r="C2538" s="263" t="s">
        <v>787</v>
      </c>
      <c r="D2538" s="157" t="s">
        <v>464</v>
      </c>
      <c r="E2538" s="44">
        <f t="shared" si="192"/>
        <v>42871</v>
      </c>
      <c r="F2538" s="146" t="str">
        <f t="shared" si="191"/>
        <v>2016-17</v>
      </c>
      <c r="G2538" s="1"/>
      <c r="H2538" s="161"/>
      <c r="I2538" s="37"/>
      <c r="J2538" s="135">
        <f t="shared" si="193"/>
        <v>0.76382508261777382</v>
      </c>
      <c r="K2538" s="112"/>
      <c r="L2538" s="37">
        <v>1.49952659196</v>
      </c>
      <c r="M2538" s="37" t="s">
        <v>288</v>
      </c>
      <c r="N2538" s="37">
        <v>1338.5980487804875</v>
      </c>
      <c r="O2538" s="130">
        <f t="shared" si="194"/>
        <v>2007.2633700921103</v>
      </c>
      <c r="P2538" s="132">
        <f t="shared" si="195"/>
        <v>1533.1981094962373</v>
      </c>
      <c r="Q2538" s="261">
        <v>1</v>
      </c>
      <c r="R2538" s="92"/>
    </row>
    <row r="2539" spans="1:18" x14ac:dyDescent="0.25">
      <c r="A2539" s="353">
        <v>42871</v>
      </c>
      <c r="B2539" s="353" t="s">
        <v>287</v>
      </c>
      <c r="C2539" s="263" t="s">
        <v>787</v>
      </c>
      <c r="D2539" s="157" t="s">
        <v>464</v>
      </c>
      <c r="E2539" s="44">
        <f t="shared" si="192"/>
        <v>42871</v>
      </c>
      <c r="F2539" s="146" t="str">
        <f t="shared" si="191"/>
        <v>2016-17</v>
      </c>
      <c r="G2539" s="1"/>
      <c r="H2539" s="161"/>
      <c r="I2539" s="37"/>
      <c r="J2539" s="135">
        <f t="shared" si="193"/>
        <v>0.76382508261777382</v>
      </c>
      <c r="K2539" s="112"/>
      <c r="L2539" s="37">
        <v>3.0578960086999998</v>
      </c>
      <c r="M2539" s="37" t="s">
        <v>288</v>
      </c>
      <c r="N2539" s="37">
        <v>2220.0360975609756</v>
      </c>
      <c r="O2539" s="130">
        <f t="shared" si="194"/>
        <v>6788.6395219016304</v>
      </c>
      <c r="P2539" s="132">
        <f t="shared" si="195"/>
        <v>5185.3331436787976</v>
      </c>
      <c r="Q2539" s="261">
        <v>1</v>
      </c>
      <c r="R2539" s="92"/>
    </row>
    <row r="2540" spans="1:18" x14ac:dyDescent="0.25">
      <c r="A2540" s="353">
        <v>42871</v>
      </c>
      <c r="B2540" s="353" t="s">
        <v>287</v>
      </c>
      <c r="C2540" s="263" t="s">
        <v>787</v>
      </c>
      <c r="D2540" s="157" t="s">
        <v>464</v>
      </c>
      <c r="E2540" s="44">
        <f t="shared" si="192"/>
        <v>42871</v>
      </c>
      <c r="F2540" s="146" t="str">
        <f t="shared" si="191"/>
        <v>2016-17</v>
      </c>
      <c r="G2540" s="1"/>
      <c r="H2540" s="161"/>
      <c r="I2540" s="37"/>
      <c r="J2540" s="135">
        <f t="shared" si="193"/>
        <v>0.76382508261777382</v>
      </c>
      <c r="K2540" s="112"/>
      <c r="L2540" s="37">
        <v>5.2969879176800001</v>
      </c>
      <c r="M2540" s="37" t="s">
        <v>288</v>
      </c>
      <c r="N2540" s="37">
        <v>5056.6624390243896</v>
      </c>
      <c r="O2540" s="130">
        <f t="shared" si="194"/>
        <v>26785.079843298474</v>
      </c>
      <c r="P2540" s="132">
        <f t="shared" si="195"/>
        <v>20459.115824231125</v>
      </c>
      <c r="Q2540" s="261">
        <v>1</v>
      </c>
      <c r="R2540" s="92"/>
    </row>
    <row r="2541" spans="1:18" x14ac:dyDescent="0.25">
      <c r="A2541" s="353">
        <v>42871</v>
      </c>
      <c r="B2541" s="353" t="s">
        <v>287</v>
      </c>
      <c r="C2541" s="263" t="s">
        <v>787</v>
      </c>
      <c r="D2541" s="157" t="s">
        <v>464</v>
      </c>
      <c r="E2541" s="44">
        <f t="shared" si="192"/>
        <v>42871</v>
      </c>
      <c r="F2541" s="146" t="str">
        <f t="shared" si="191"/>
        <v>2016-17</v>
      </c>
      <c r="G2541" s="1"/>
      <c r="H2541" s="161"/>
      <c r="I2541" s="37"/>
      <c r="J2541" s="135">
        <f t="shared" si="193"/>
        <v>0.76382508261777382</v>
      </c>
      <c r="K2541" s="112"/>
      <c r="L2541" s="37">
        <v>5.1979545374700002</v>
      </c>
      <c r="M2541" s="37" t="s">
        <v>288</v>
      </c>
      <c r="N2541" s="37">
        <v>4416.6341463414628</v>
      </c>
      <c r="O2541" s="130">
        <f t="shared" si="194"/>
        <v>22957.463501320548</v>
      </c>
      <c r="P2541" s="132">
        <f t="shared" si="195"/>
        <v>17535.486455590693</v>
      </c>
      <c r="Q2541" s="261">
        <v>1</v>
      </c>
      <c r="R2541" s="92"/>
    </row>
    <row r="2542" spans="1:18" x14ac:dyDescent="0.25">
      <c r="A2542" s="353">
        <v>42871</v>
      </c>
      <c r="B2542" s="353" t="s">
        <v>287</v>
      </c>
      <c r="C2542" s="263" t="s">
        <v>787</v>
      </c>
      <c r="D2542" s="157" t="s">
        <v>464</v>
      </c>
      <c r="E2542" s="44">
        <f t="shared" si="192"/>
        <v>42871</v>
      </c>
      <c r="F2542" s="146" t="str">
        <f t="shared" si="191"/>
        <v>2016-17</v>
      </c>
      <c r="G2542" s="1"/>
      <c r="H2542" s="161"/>
      <c r="I2542" s="37"/>
      <c r="J2542" s="135">
        <f t="shared" si="193"/>
        <v>0.76382508261777382</v>
      </c>
      <c r="K2542" s="112"/>
      <c r="L2542" s="37">
        <v>3.5978116960199999</v>
      </c>
      <c r="M2542" s="37" t="s">
        <v>288</v>
      </c>
      <c r="N2542" s="37">
        <v>5056.6624390243896</v>
      </c>
      <c r="O2542" s="130">
        <f t="shared" si="194"/>
        <v>18192.91926594697</v>
      </c>
      <c r="P2542" s="132">
        <f t="shared" si="195"/>
        <v>13896.208061370433</v>
      </c>
      <c r="Q2542" s="261">
        <v>1</v>
      </c>
      <c r="R2542" s="92"/>
    </row>
    <row r="2543" spans="1:18" x14ac:dyDescent="0.25">
      <c r="A2543" s="353">
        <v>42871</v>
      </c>
      <c r="B2543" s="353" t="s">
        <v>287</v>
      </c>
      <c r="C2543" s="263" t="s">
        <v>787</v>
      </c>
      <c r="D2543" s="157" t="s">
        <v>464</v>
      </c>
      <c r="E2543" s="44">
        <f t="shared" si="192"/>
        <v>42871</v>
      </c>
      <c r="F2543" s="146" t="str">
        <f t="shared" si="191"/>
        <v>2016-17</v>
      </c>
      <c r="G2543" s="1"/>
      <c r="H2543" s="161"/>
      <c r="I2543" s="37"/>
      <c r="J2543" s="135">
        <f t="shared" si="193"/>
        <v>0.76382508261777382</v>
      </c>
      <c r="K2543" s="112"/>
      <c r="L2543" s="37">
        <v>1.4983544307000001</v>
      </c>
      <c r="M2543" s="37" t="s">
        <v>288</v>
      </c>
      <c r="N2543" s="37">
        <v>1338.5980487804875</v>
      </c>
      <c r="O2543" s="130">
        <f t="shared" si="194"/>
        <v>2005.6943173166183</v>
      </c>
      <c r="P2543" s="132">
        <f t="shared" si="195"/>
        <v>1531.9996276303655</v>
      </c>
      <c r="Q2543" s="261">
        <v>1</v>
      </c>
      <c r="R2543" s="92"/>
    </row>
    <row r="2544" spans="1:18" x14ac:dyDescent="0.25">
      <c r="A2544" s="353">
        <v>41908</v>
      </c>
      <c r="B2544" s="353" t="s">
        <v>287</v>
      </c>
      <c r="C2544" s="263" t="s">
        <v>763</v>
      </c>
      <c r="D2544" s="157" t="s">
        <v>465</v>
      </c>
      <c r="E2544" s="44">
        <f t="shared" si="192"/>
        <v>41908</v>
      </c>
      <c r="F2544" s="146" t="str">
        <f t="shared" si="191"/>
        <v>2014-15</v>
      </c>
      <c r="G2544" s="1"/>
      <c r="H2544" s="161"/>
      <c r="I2544" s="37"/>
      <c r="J2544" s="135">
        <f t="shared" si="193"/>
        <v>0.76382508261777382</v>
      </c>
      <c r="K2544" s="112"/>
      <c r="L2544" s="37">
        <v>277.461525451</v>
      </c>
      <c r="M2544" s="37" t="s">
        <v>288</v>
      </c>
      <c r="N2544" s="37">
        <v>5056.6624390243896</v>
      </c>
      <c r="O2544" s="130">
        <f t="shared" si="194"/>
        <v>1403029.2740224814</v>
      </c>
      <c r="P2544" s="132">
        <f t="shared" si="195"/>
        <v>1071668.951145377</v>
      </c>
      <c r="Q2544" s="261">
        <v>1</v>
      </c>
      <c r="R2544" s="92"/>
    </row>
    <row r="2545" spans="1:18" x14ac:dyDescent="0.25">
      <c r="A2545" s="353">
        <v>41908</v>
      </c>
      <c r="B2545" s="353" t="s">
        <v>287</v>
      </c>
      <c r="C2545" s="263" t="s">
        <v>763</v>
      </c>
      <c r="D2545" s="157" t="s">
        <v>465</v>
      </c>
      <c r="E2545" s="44">
        <f t="shared" si="192"/>
        <v>41908</v>
      </c>
      <c r="F2545" s="146" t="str">
        <f t="shared" si="191"/>
        <v>2014-15</v>
      </c>
      <c r="G2545" s="1"/>
      <c r="H2545" s="161"/>
      <c r="I2545" s="37"/>
      <c r="J2545" s="135">
        <f t="shared" si="193"/>
        <v>0.76382508261777382</v>
      </c>
      <c r="K2545" s="112"/>
      <c r="L2545" s="37">
        <v>279.23157935199998</v>
      </c>
      <c r="M2545" s="37" t="s">
        <v>288</v>
      </c>
      <c r="N2545" s="37">
        <v>2220.0360975609756</v>
      </c>
      <c r="O2545" s="130">
        <f t="shared" si="194"/>
        <v>619904.18574040197</v>
      </c>
      <c r="P2545" s="132">
        <f t="shared" si="195"/>
        <v>473498.36588826636</v>
      </c>
      <c r="Q2545" s="261">
        <v>1</v>
      </c>
      <c r="R2545" s="92"/>
    </row>
    <row r="2546" spans="1:18" x14ac:dyDescent="0.25">
      <c r="A2546" s="353">
        <v>41908</v>
      </c>
      <c r="B2546" s="353" t="s">
        <v>287</v>
      </c>
      <c r="C2546" s="263" t="s">
        <v>763</v>
      </c>
      <c r="D2546" s="157" t="s">
        <v>465</v>
      </c>
      <c r="E2546" s="44">
        <f t="shared" si="192"/>
        <v>41908</v>
      </c>
      <c r="F2546" s="146" t="str">
        <f t="shared" si="191"/>
        <v>2014-15</v>
      </c>
      <c r="G2546" s="1"/>
      <c r="H2546" s="161"/>
      <c r="I2546" s="37"/>
      <c r="J2546" s="135">
        <f t="shared" si="193"/>
        <v>0.76382508261777382</v>
      </c>
      <c r="K2546" s="112"/>
      <c r="L2546" s="37">
        <v>1.7641910327400001</v>
      </c>
      <c r="M2546" s="37" t="s">
        <v>288</v>
      </c>
      <c r="N2546" s="37">
        <v>2220.0360975609756</v>
      </c>
      <c r="O2546" s="130">
        <f t="shared" si="194"/>
        <v>3916.567775676177</v>
      </c>
      <c r="P2546" s="132">
        <f t="shared" si="195"/>
        <v>2991.5727048339663</v>
      </c>
      <c r="Q2546" s="261">
        <v>1</v>
      </c>
      <c r="R2546" s="92"/>
    </row>
    <row r="2547" spans="1:18" x14ac:dyDescent="0.25">
      <c r="A2547" s="353">
        <v>41908</v>
      </c>
      <c r="B2547" s="353" t="s">
        <v>287</v>
      </c>
      <c r="C2547" s="263" t="s">
        <v>763</v>
      </c>
      <c r="D2547" s="157" t="s">
        <v>465</v>
      </c>
      <c r="E2547" s="44">
        <f t="shared" si="192"/>
        <v>41908</v>
      </c>
      <c r="F2547" s="146" t="str">
        <f t="shared" si="191"/>
        <v>2014-15</v>
      </c>
      <c r="G2547" s="1"/>
      <c r="H2547" s="161"/>
      <c r="I2547" s="37"/>
      <c r="J2547" s="135">
        <f t="shared" si="193"/>
        <v>0.76382508261777382</v>
      </c>
      <c r="K2547" s="112"/>
      <c r="L2547" s="37">
        <v>1.1569446832100001</v>
      </c>
      <c r="M2547" s="37" t="s">
        <v>288</v>
      </c>
      <c r="N2547" s="37">
        <v>2220.0360975609756</v>
      </c>
      <c r="O2547" s="130">
        <f t="shared" si="194"/>
        <v>2568.4589596074479</v>
      </c>
      <c r="P2547" s="132">
        <f t="shared" si="195"/>
        <v>1961.8533770225204</v>
      </c>
      <c r="Q2547" s="261">
        <v>1</v>
      </c>
      <c r="R2547" s="92"/>
    </row>
    <row r="2548" spans="1:18" x14ac:dyDescent="0.25">
      <c r="A2548" s="353">
        <v>41908</v>
      </c>
      <c r="B2548" s="353" t="s">
        <v>287</v>
      </c>
      <c r="C2548" s="263" t="s">
        <v>763</v>
      </c>
      <c r="D2548" s="157" t="s">
        <v>465</v>
      </c>
      <c r="E2548" s="44">
        <f t="shared" si="192"/>
        <v>41908</v>
      </c>
      <c r="F2548" s="146" t="str">
        <f t="shared" si="191"/>
        <v>2014-15</v>
      </c>
      <c r="G2548" s="1"/>
      <c r="H2548" s="161"/>
      <c r="I2548" s="37"/>
      <c r="J2548" s="135">
        <f t="shared" si="193"/>
        <v>0.76382508261777382</v>
      </c>
      <c r="K2548" s="112"/>
      <c r="L2548" s="37">
        <v>207.59174885300001</v>
      </c>
      <c r="M2548" s="37" t="s">
        <v>288</v>
      </c>
      <c r="N2548" s="37">
        <v>2220.0360975609756</v>
      </c>
      <c r="O2548" s="130">
        <f t="shared" si="194"/>
        <v>460861.17600947228</v>
      </c>
      <c r="P2548" s="132">
        <f t="shared" si="195"/>
        <v>352017.32584075956</v>
      </c>
      <c r="Q2548" s="261">
        <v>1</v>
      </c>
      <c r="R2548" s="92"/>
    </row>
    <row r="2549" spans="1:18" x14ac:dyDescent="0.25">
      <c r="A2549" s="353">
        <v>41908</v>
      </c>
      <c r="B2549" s="353" t="s">
        <v>287</v>
      </c>
      <c r="C2549" s="263" t="s">
        <v>763</v>
      </c>
      <c r="D2549" s="157" t="s">
        <v>465</v>
      </c>
      <c r="E2549" s="44">
        <f t="shared" si="192"/>
        <v>41908</v>
      </c>
      <c r="F2549" s="146" t="str">
        <f t="shared" si="191"/>
        <v>2014-15</v>
      </c>
      <c r="G2549" s="1"/>
      <c r="H2549" s="161"/>
      <c r="I2549" s="37"/>
      <c r="J2549" s="135">
        <f t="shared" si="193"/>
        <v>0.76382508261777382</v>
      </c>
      <c r="K2549" s="112"/>
      <c r="L2549" s="37">
        <v>1.37306955396</v>
      </c>
      <c r="M2549" s="37" t="s">
        <v>288</v>
      </c>
      <c r="N2549" s="37">
        <v>2220.0360975609756</v>
      </c>
      <c r="O2549" s="130">
        <f t="shared" si="194"/>
        <v>3048.2639742531478</v>
      </c>
      <c r="P2549" s="132">
        <f t="shared" si="195"/>
        <v>2328.3404819746943</v>
      </c>
      <c r="Q2549" s="261">
        <v>1</v>
      </c>
      <c r="R2549" s="92"/>
    </row>
    <row r="2550" spans="1:18" x14ac:dyDescent="0.25">
      <c r="A2550" s="353">
        <v>41908</v>
      </c>
      <c r="B2550" s="353" t="s">
        <v>287</v>
      </c>
      <c r="C2550" s="263" t="s">
        <v>763</v>
      </c>
      <c r="D2550" s="157" t="s">
        <v>465</v>
      </c>
      <c r="E2550" s="44">
        <f t="shared" si="192"/>
        <v>41908</v>
      </c>
      <c r="F2550" s="146" t="str">
        <f t="shared" si="191"/>
        <v>2014-15</v>
      </c>
      <c r="G2550" s="1"/>
      <c r="H2550" s="161"/>
      <c r="I2550" s="37"/>
      <c r="J2550" s="135">
        <f t="shared" si="193"/>
        <v>0.76382508261777382</v>
      </c>
      <c r="K2550" s="112"/>
      <c r="L2550" s="37">
        <v>2.19868256008</v>
      </c>
      <c r="M2550" s="37" t="s">
        <v>288</v>
      </c>
      <c r="N2550" s="37">
        <v>2220.0360975609756</v>
      </c>
      <c r="O2550" s="130">
        <f t="shared" si="194"/>
        <v>4881.154650455378</v>
      </c>
      <c r="P2550" s="132">
        <f t="shared" si="195"/>
        <v>3728.34835415421</v>
      </c>
      <c r="Q2550" s="261">
        <v>1</v>
      </c>
      <c r="R2550" s="92"/>
    </row>
    <row r="2551" spans="1:18" x14ac:dyDescent="0.25">
      <c r="A2551" s="353">
        <v>41908</v>
      </c>
      <c r="B2551" s="353" t="s">
        <v>287</v>
      </c>
      <c r="C2551" s="263" t="s">
        <v>763</v>
      </c>
      <c r="D2551" s="157" t="s">
        <v>465</v>
      </c>
      <c r="E2551" s="44">
        <f t="shared" si="192"/>
        <v>41908</v>
      </c>
      <c r="F2551" s="146" t="str">
        <f t="shared" si="191"/>
        <v>2014-15</v>
      </c>
      <c r="G2551" s="1"/>
      <c r="H2551" s="161"/>
      <c r="I2551" s="37"/>
      <c r="J2551" s="135">
        <f t="shared" si="193"/>
        <v>0.76382508261777382</v>
      </c>
      <c r="K2551" s="112"/>
      <c r="L2551" s="37">
        <v>2.0985604589800002</v>
      </c>
      <c r="M2551" s="37" t="s">
        <v>288</v>
      </c>
      <c r="N2551" s="37">
        <v>2220.0360975609756</v>
      </c>
      <c r="O2551" s="130">
        <f t="shared" si="194"/>
        <v>4658.8799718497294</v>
      </c>
      <c r="P2551" s="132">
        <f t="shared" si="195"/>
        <v>3558.5693794044114</v>
      </c>
      <c r="Q2551" s="261">
        <v>1</v>
      </c>
      <c r="R2551" s="92"/>
    </row>
    <row r="2552" spans="1:18" x14ac:dyDescent="0.25">
      <c r="A2552" s="353">
        <v>41908</v>
      </c>
      <c r="B2552" s="353" t="s">
        <v>287</v>
      </c>
      <c r="C2552" s="263" t="s">
        <v>763</v>
      </c>
      <c r="D2552" s="157" t="s">
        <v>465</v>
      </c>
      <c r="E2552" s="44">
        <f t="shared" si="192"/>
        <v>41908</v>
      </c>
      <c r="F2552" s="146" t="str">
        <f t="shared" si="191"/>
        <v>2014-15</v>
      </c>
      <c r="G2552" s="1"/>
      <c r="H2552" s="161"/>
      <c r="I2552" s="37"/>
      <c r="J2552" s="135">
        <f t="shared" si="193"/>
        <v>0.76382508261777382</v>
      </c>
      <c r="K2552" s="112"/>
      <c r="L2552" s="37">
        <v>1.9991968387300001</v>
      </c>
      <c r="M2552" s="37" t="s">
        <v>288</v>
      </c>
      <c r="N2552" s="37">
        <v>2220.0360975609756</v>
      </c>
      <c r="O2552" s="130">
        <f t="shared" si="194"/>
        <v>4438.2891481103889</v>
      </c>
      <c r="P2552" s="132">
        <f t="shared" si="195"/>
        <v>3390.0765752369866</v>
      </c>
      <c r="Q2552" s="261">
        <v>1</v>
      </c>
      <c r="R2552" s="92"/>
    </row>
    <row r="2553" spans="1:18" x14ac:dyDescent="0.25">
      <c r="A2553" s="353">
        <v>41908</v>
      </c>
      <c r="B2553" s="353" t="s">
        <v>287</v>
      </c>
      <c r="C2553" s="263" t="s">
        <v>763</v>
      </c>
      <c r="D2553" s="157" t="s">
        <v>465</v>
      </c>
      <c r="E2553" s="44">
        <f t="shared" si="192"/>
        <v>41908</v>
      </c>
      <c r="F2553" s="146" t="str">
        <f t="shared" si="191"/>
        <v>2014-15</v>
      </c>
      <c r="G2553" s="1"/>
      <c r="H2553" s="161"/>
      <c r="I2553" s="37"/>
      <c r="J2553" s="135">
        <f t="shared" si="193"/>
        <v>0.76382508261777382</v>
      </c>
      <c r="K2553" s="112"/>
      <c r="L2553" s="37">
        <v>1.9991968387300001</v>
      </c>
      <c r="M2553" s="37" t="s">
        <v>288</v>
      </c>
      <c r="N2553" s="37">
        <v>2220.0360975609756</v>
      </c>
      <c r="O2553" s="130">
        <f t="shared" si="194"/>
        <v>4438.2891481103889</v>
      </c>
      <c r="P2553" s="132">
        <f t="shared" si="195"/>
        <v>3390.0765752369866</v>
      </c>
      <c r="Q2553" s="261">
        <v>1</v>
      </c>
      <c r="R2553" s="92"/>
    </row>
    <row r="2554" spans="1:18" x14ac:dyDescent="0.25">
      <c r="A2554" s="353">
        <v>41908</v>
      </c>
      <c r="B2554" s="353" t="s">
        <v>287</v>
      </c>
      <c r="C2554" s="263" t="s">
        <v>763</v>
      </c>
      <c r="D2554" s="157" t="s">
        <v>465</v>
      </c>
      <c r="E2554" s="44">
        <f t="shared" si="192"/>
        <v>41908</v>
      </c>
      <c r="F2554" s="146" t="str">
        <f t="shared" si="191"/>
        <v>2014-15</v>
      </c>
      <c r="G2554" s="1"/>
      <c r="H2554" s="161"/>
      <c r="I2554" s="37"/>
      <c r="J2554" s="135">
        <f t="shared" si="193"/>
        <v>0.76382508261777382</v>
      </c>
      <c r="K2554" s="112"/>
      <c r="L2554" s="37">
        <v>173.66640525700001</v>
      </c>
      <c r="M2554" s="37" t="s">
        <v>288</v>
      </c>
      <c r="N2554" s="37">
        <v>2220.0360975609756</v>
      </c>
      <c r="O2554" s="130">
        <f t="shared" si="194"/>
        <v>385545.68860419322</v>
      </c>
      <c r="P2554" s="132">
        <f t="shared" si="195"/>
        <v>294489.46745102439</v>
      </c>
      <c r="Q2554" s="261">
        <v>1</v>
      </c>
      <c r="R2554" s="92"/>
    </row>
    <row r="2555" spans="1:18" x14ac:dyDescent="0.25">
      <c r="A2555" s="353">
        <v>41908</v>
      </c>
      <c r="B2555" s="353" t="s">
        <v>287</v>
      </c>
      <c r="C2555" s="263" t="s">
        <v>763</v>
      </c>
      <c r="D2555" s="157" t="s">
        <v>465</v>
      </c>
      <c r="E2555" s="44">
        <f t="shared" si="192"/>
        <v>41908</v>
      </c>
      <c r="F2555" s="146" t="str">
        <f t="shared" ref="F2555:F2616" si="196">IF(E2555="","-",IF(OR(E2555&lt;$E$15,E2555&gt;$E$16),"ERROR - date outside of range",IF(MONTH(E2555)&gt;=7,YEAR(E2555)&amp;"-"&amp;IF(YEAR(E2555)=1999,"00",IF(AND(YEAR(E2555)&gt;=2000,YEAR(E2555)&lt;2009),"0","")&amp;RIGHT(YEAR(E2555),2)+1),RIGHT(YEAR(E2555),4)-1&amp;"-"&amp;RIGHT(YEAR(E2555),2))))</f>
        <v>2014-15</v>
      </c>
      <c r="G2555" s="1"/>
      <c r="H2555" s="161"/>
      <c r="I2555" s="37"/>
      <c r="J2555" s="135">
        <f t="shared" si="193"/>
        <v>0.76382508261777382</v>
      </c>
      <c r="K2555" s="112"/>
      <c r="L2555" s="37">
        <v>1.9991968387300001</v>
      </c>
      <c r="M2555" s="37" t="s">
        <v>288</v>
      </c>
      <c r="N2555" s="37">
        <v>2220.0360975609756</v>
      </c>
      <c r="O2555" s="130">
        <f t="shared" si="194"/>
        <v>4438.2891481103889</v>
      </c>
      <c r="P2555" s="132">
        <f t="shared" si="195"/>
        <v>3390.0765752369866</v>
      </c>
      <c r="Q2555" s="261">
        <v>1</v>
      </c>
      <c r="R2555" s="92"/>
    </row>
    <row r="2556" spans="1:18" x14ac:dyDescent="0.25">
      <c r="A2556" s="353">
        <v>41908</v>
      </c>
      <c r="B2556" s="353" t="s">
        <v>287</v>
      </c>
      <c r="C2556" s="263" t="s">
        <v>763</v>
      </c>
      <c r="D2556" s="157" t="s">
        <v>465</v>
      </c>
      <c r="E2556" s="44">
        <f t="shared" si="192"/>
        <v>41908</v>
      </c>
      <c r="F2556" s="146" t="str">
        <f t="shared" si="196"/>
        <v>2014-15</v>
      </c>
      <c r="G2556" s="1"/>
      <c r="H2556" s="161"/>
      <c r="I2556" s="37"/>
      <c r="J2556" s="135">
        <f t="shared" si="193"/>
        <v>0.76382508261777382</v>
      </c>
      <c r="K2556" s="112"/>
      <c r="L2556" s="37">
        <v>1.49941221817</v>
      </c>
      <c r="M2556" s="37" t="s">
        <v>288</v>
      </c>
      <c r="N2556" s="37">
        <v>2220.0360975609756</v>
      </c>
      <c r="O2556" s="130">
        <f t="shared" si="194"/>
        <v>3328.749249461373</v>
      </c>
      <c r="P2556" s="132">
        <f t="shared" si="195"/>
        <v>2542.5821704836858</v>
      </c>
      <c r="Q2556" s="261">
        <v>1</v>
      </c>
      <c r="R2556" s="92"/>
    </row>
    <row r="2557" spans="1:18" x14ac:dyDescent="0.25">
      <c r="A2557" s="353">
        <v>41908</v>
      </c>
      <c r="B2557" s="353" t="s">
        <v>287</v>
      </c>
      <c r="C2557" s="263" t="s">
        <v>763</v>
      </c>
      <c r="D2557" s="157" t="s">
        <v>465</v>
      </c>
      <c r="E2557" s="44">
        <f t="shared" si="192"/>
        <v>41908</v>
      </c>
      <c r="F2557" s="146" t="str">
        <f t="shared" si="196"/>
        <v>2014-15</v>
      </c>
      <c r="G2557" s="1"/>
      <c r="H2557" s="161"/>
      <c r="I2557" s="37"/>
      <c r="J2557" s="135">
        <f t="shared" si="193"/>
        <v>0.76382508261777382</v>
      </c>
      <c r="K2557" s="112"/>
      <c r="L2557" s="37">
        <v>1.68084324076</v>
      </c>
      <c r="M2557" s="37" t="s">
        <v>288</v>
      </c>
      <c r="N2557" s="37">
        <v>2220.0360975609756</v>
      </c>
      <c r="O2557" s="130">
        <f t="shared" si="194"/>
        <v>3731.5326688285736</v>
      </c>
      <c r="P2557" s="132">
        <f t="shared" si="195"/>
        <v>2850.2382490589071</v>
      </c>
      <c r="Q2557" s="261">
        <v>1</v>
      </c>
      <c r="R2557" s="92"/>
    </row>
    <row r="2558" spans="1:18" x14ac:dyDescent="0.25">
      <c r="A2558" s="353">
        <v>41908</v>
      </c>
      <c r="B2558" s="353" t="s">
        <v>287</v>
      </c>
      <c r="C2558" s="263" t="s">
        <v>763</v>
      </c>
      <c r="D2558" s="157" t="s">
        <v>465</v>
      </c>
      <c r="E2558" s="44">
        <f t="shared" si="192"/>
        <v>41908</v>
      </c>
      <c r="F2558" s="146" t="str">
        <f t="shared" si="196"/>
        <v>2014-15</v>
      </c>
      <c r="G2558" s="1"/>
      <c r="H2558" s="161"/>
      <c r="I2558" s="37"/>
      <c r="J2558" s="135">
        <f t="shared" si="193"/>
        <v>0.76382508261777382</v>
      </c>
      <c r="K2558" s="112"/>
      <c r="L2558" s="37">
        <v>370.85769393300001</v>
      </c>
      <c r="M2558" s="37" t="s">
        <v>288</v>
      </c>
      <c r="N2558" s="37">
        <v>2220.0360975609756</v>
      </c>
      <c r="O2558" s="130">
        <f t="shared" si="194"/>
        <v>823317.46758947999</v>
      </c>
      <c r="P2558" s="132">
        <f t="shared" si="195"/>
        <v>628870.53270219092</v>
      </c>
      <c r="Q2558" s="261">
        <v>1</v>
      </c>
      <c r="R2558" s="92"/>
    </row>
    <row r="2559" spans="1:18" x14ac:dyDescent="0.25">
      <c r="A2559" s="353">
        <v>41908</v>
      </c>
      <c r="B2559" s="353" t="s">
        <v>287</v>
      </c>
      <c r="C2559" s="263" t="s">
        <v>763</v>
      </c>
      <c r="D2559" s="157" t="s">
        <v>465</v>
      </c>
      <c r="E2559" s="44">
        <f t="shared" si="192"/>
        <v>41908</v>
      </c>
      <c r="F2559" s="146" t="str">
        <f t="shared" si="196"/>
        <v>2014-15</v>
      </c>
      <c r="G2559" s="1"/>
      <c r="H2559" s="161"/>
      <c r="I2559" s="37"/>
      <c r="J2559" s="135">
        <f t="shared" si="193"/>
        <v>0.76382508261777382</v>
      </c>
      <c r="K2559" s="112"/>
      <c r="L2559" s="37">
        <v>263.591589285</v>
      </c>
      <c r="M2559" s="37" t="s">
        <v>288</v>
      </c>
      <c r="N2559" s="37">
        <v>2220.0360975609756</v>
      </c>
      <c r="O2559" s="130">
        <f t="shared" si="194"/>
        <v>585182.84322616691</v>
      </c>
      <c r="P2559" s="132">
        <f t="shared" si="195"/>
        <v>446977.33357373072</v>
      </c>
      <c r="Q2559" s="261">
        <v>1</v>
      </c>
      <c r="R2559" s="92"/>
    </row>
    <row r="2560" spans="1:18" x14ac:dyDescent="0.25">
      <c r="A2560" s="353">
        <v>41908</v>
      </c>
      <c r="B2560" s="353" t="s">
        <v>287</v>
      </c>
      <c r="C2560" s="263" t="s">
        <v>763</v>
      </c>
      <c r="D2560" s="157" t="s">
        <v>465</v>
      </c>
      <c r="E2560" s="44">
        <f t="shared" si="192"/>
        <v>41908</v>
      </c>
      <c r="F2560" s="146" t="str">
        <f t="shared" si="196"/>
        <v>2014-15</v>
      </c>
      <c r="G2560" s="1"/>
      <c r="H2560" s="161"/>
      <c r="I2560" s="37"/>
      <c r="J2560" s="135">
        <f t="shared" si="193"/>
        <v>0.76382508261777382</v>
      </c>
      <c r="K2560" s="112"/>
      <c r="L2560" s="37">
        <v>274.26113782700003</v>
      </c>
      <c r="M2560" s="37" t="s">
        <v>288</v>
      </c>
      <c r="N2560" s="37">
        <v>2220.0360975609756</v>
      </c>
      <c r="O2560" s="130">
        <f t="shared" si="194"/>
        <v>608869.62613408605</v>
      </c>
      <c r="P2560" s="132">
        <f t="shared" si="195"/>
        <v>465069.89248532132</v>
      </c>
      <c r="Q2560" s="261">
        <v>1</v>
      </c>
      <c r="R2560" s="92"/>
    </row>
    <row r="2561" spans="1:18" x14ac:dyDescent="0.25">
      <c r="A2561" s="353">
        <v>41908</v>
      </c>
      <c r="B2561" s="353" t="s">
        <v>287</v>
      </c>
      <c r="C2561" s="263" t="s">
        <v>763</v>
      </c>
      <c r="D2561" s="157" t="s">
        <v>465</v>
      </c>
      <c r="E2561" s="44">
        <f t="shared" si="192"/>
        <v>41908</v>
      </c>
      <c r="F2561" s="146" t="str">
        <f t="shared" si="196"/>
        <v>2014-15</v>
      </c>
      <c r="G2561" s="1"/>
      <c r="H2561" s="161"/>
      <c r="I2561" s="37"/>
      <c r="J2561" s="135">
        <f t="shared" si="193"/>
        <v>0.76382508261777382</v>
      </c>
      <c r="K2561" s="112"/>
      <c r="L2561" s="37">
        <v>1.999002001</v>
      </c>
      <c r="M2561" s="37" t="s">
        <v>288</v>
      </c>
      <c r="N2561" s="37">
        <v>2220.0360975609756</v>
      </c>
      <c r="O2561" s="130">
        <f t="shared" si="194"/>
        <v>4437.8566013166219</v>
      </c>
      <c r="P2561" s="132">
        <f t="shared" si="195"/>
        <v>3389.7461851465018</v>
      </c>
      <c r="Q2561" s="261">
        <v>1</v>
      </c>
      <c r="R2561" s="92"/>
    </row>
    <row r="2562" spans="1:18" x14ac:dyDescent="0.25">
      <c r="A2562" s="353">
        <v>41908</v>
      </c>
      <c r="B2562" s="353" t="s">
        <v>287</v>
      </c>
      <c r="C2562" s="263" t="s">
        <v>763</v>
      </c>
      <c r="D2562" s="157" t="s">
        <v>465</v>
      </c>
      <c r="E2562" s="44">
        <f t="shared" si="192"/>
        <v>41908</v>
      </c>
      <c r="F2562" s="146" t="str">
        <f t="shared" si="196"/>
        <v>2014-15</v>
      </c>
      <c r="G2562" s="1"/>
      <c r="H2562" s="161"/>
      <c r="I2562" s="37"/>
      <c r="J2562" s="135">
        <f t="shared" si="193"/>
        <v>0.76382508261777382</v>
      </c>
      <c r="K2562" s="112"/>
      <c r="L2562" s="37">
        <v>1.99677039241</v>
      </c>
      <c r="M2562" s="37" t="s">
        <v>288</v>
      </c>
      <c r="N2562" s="37">
        <v>2220.0360975609756</v>
      </c>
      <c r="O2562" s="130">
        <f t="shared" si="194"/>
        <v>4432.9023496911941</v>
      </c>
      <c r="P2562" s="132">
        <f t="shared" si="195"/>
        <v>3385.9620034894001</v>
      </c>
      <c r="Q2562" s="261">
        <v>1</v>
      </c>
      <c r="R2562" s="92"/>
    </row>
    <row r="2563" spans="1:18" x14ac:dyDescent="0.25">
      <c r="A2563" s="353">
        <v>41908</v>
      </c>
      <c r="B2563" s="353" t="s">
        <v>287</v>
      </c>
      <c r="C2563" s="263" t="s">
        <v>763</v>
      </c>
      <c r="D2563" s="157" t="s">
        <v>465</v>
      </c>
      <c r="E2563" s="44">
        <f t="shared" si="192"/>
        <v>41908</v>
      </c>
      <c r="F2563" s="146" t="str">
        <f t="shared" si="196"/>
        <v>2014-15</v>
      </c>
      <c r="G2563" s="1"/>
      <c r="H2563" s="161"/>
      <c r="I2563" s="37"/>
      <c r="J2563" s="135">
        <f t="shared" si="193"/>
        <v>0.76382508261777382</v>
      </c>
      <c r="K2563" s="112"/>
      <c r="L2563" s="37">
        <v>1.9987846307199999</v>
      </c>
      <c r="M2563" s="37" t="s">
        <v>288</v>
      </c>
      <c r="N2563" s="37">
        <v>2220.0360975609756</v>
      </c>
      <c r="O2563" s="130">
        <f t="shared" si="194"/>
        <v>4437.3740314484839</v>
      </c>
      <c r="P2563" s="132">
        <f t="shared" si="195"/>
        <v>3389.3775861771023</v>
      </c>
      <c r="Q2563" s="261">
        <v>1</v>
      </c>
      <c r="R2563" s="92"/>
    </row>
    <row r="2564" spans="1:18" x14ac:dyDescent="0.25">
      <c r="A2564" s="353">
        <v>41908</v>
      </c>
      <c r="B2564" s="353" t="s">
        <v>287</v>
      </c>
      <c r="C2564" s="263" t="s">
        <v>763</v>
      </c>
      <c r="D2564" s="157" t="s">
        <v>465</v>
      </c>
      <c r="E2564" s="44">
        <f t="shared" si="192"/>
        <v>41908</v>
      </c>
      <c r="F2564" s="146" t="str">
        <f t="shared" si="196"/>
        <v>2014-15</v>
      </c>
      <c r="G2564" s="1"/>
      <c r="H2564" s="161"/>
      <c r="I2564" s="37"/>
      <c r="J2564" s="135">
        <f t="shared" si="193"/>
        <v>0.76382508261777382</v>
      </c>
      <c r="K2564" s="112"/>
      <c r="L2564" s="37">
        <v>229.38605822599999</v>
      </c>
      <c r="M2564" s="37" t="s">
        <v>288</v>
      </c>
      <c r="N2564" s="37">
        <v>5056.6624390243896</v>
      </c>
      <c r="O2564" s="130">
        <f t="shared" si="194"/>
        <v>1159927.8646672757</v>
      </c>
      <c r="P2564" s="132">
        <f t="shared" si="195"/>
        <v>885981.99706013978</v>
      </c>
      <c r="Q2564" s="261">
        <v>1</v>
      </c>
      <c r="R2564" s="92"/>
    </row>
    <row r="2565" spans="1:18" x14ac:dyDescent="0.25">
      <c r="A2565" s="353">
        <v>41908</v>
      </c>
      <c r="B2565" s="353" t="s">
        <v>287</v>
      </c>
      <c r="C2565" s="263" t="s">
        <v>763</v>
      </c>
      <c r="D2565" s="157" t="s">
        <v>465</v>
      </c>
      <c r="E2565" s="44">
        <f t="shared" si="192"/>
        <v>41908</v>
      </c>
      <c r="F2565" s="146" t="str">
        <f t="shared" si="196"/>
        <v>2014-15</v>
      </c>
      <c r="G2565" s="1"/>
      <c r="H2565" s="161"/>
      <c r="I2565" s="37"/>
      <c r="J2565" s="135">
        <f t="shared" si="193"/>
        <v>0.76382508261777382</v>
      </c>
      <c r="K2565" s="112"/>
      <c r="L2565" s="37">
        <v>55.8426303464</v>
      </c>
      <c r="M2565" s="37" t="s">
        <v>288</v>
      </c>
      <c r="N2565" s="37">
        <v>5056.6624390243896</v>
      </c>
      <c r="O2565" s="130">
        <f t="shared" si="194"/>
        <v>282377.3313689644</v>
      </c>
      <c r="P2565" s="132">
        <f t="shared" si="195"/>
        <v>215686.88846228571</v>
      </c>
      <c r="Q2565" s="261">
        <v>1</v>
      </c>
      <c r="R2565" s="92"/>
    </row>
    <row r="2566" spans="1:18" x14ac:dyDescent="0.25">
      <c r="A2566" s="353">
        <v>41908</v>
      </c>
      <c r="B2566" s="353" t="s">
        <v>287</v>
      </c>
      <c r="C2566" s="263" t="s">
        <v>763</v>
      </c>
      <c r="D2566" s="157" t="s">
        <v>465</v>
      </c>
      <c r="E2566" s="44">
        <f t="shared" si="192"/>
        <v>41908</v>
      </c>
      <c r="F2566" s="146" t="str">
        <f t="shared" si="196"/>
        <v>2014-15</v>
      </c>
      <c r="G2566" s="1"/>
      <c r="H2566" s="161"/>
      <c r="I2566" s="37"/>
      <c r="J2566" s="135">
        <f t="shared" si="193"/>
        <v>0.76382508261777382</v>
      </c>
      <c r="K2566" s="112"/>
      <c r="L2566" s="37">
        <v>1.89900947865</v>
      </c>
      <c r="M2566" s="37" t="s">
        <v>288</v>
      </c>
      <c r="N2566" s="37">
        <v>2220.0360975609756</v>
      </c>
      <c r="O2566" s="130">
        <f t="shared" si="194"/>
        <v>4215.8695922134484</v>
      </c>
      <c r="P2566" s="132">
        <f t="shared" si="195"/>
        <v>3220.1869395781978</v>
      </c>
      <c r="Q2566" s="261">
        <v>1</v>
      </c>
      <c r="R2566" s="92"/>
    </row>
    <row r="2567" spans="1:18" x14ac:dyDescent="0.25">
      <c r="A2567" s="353">
        <v>41908</v>
      </c>
      <c r="B2567" s="353" t="s">
        <v>287</v>
      </c>
      <c r="C2567" s="263" t="s">
        <v>763</v>
      </c>
      <c r="D2567" s="157" t="s">
        <v>465</v>
      </c>
      <c r="E2567" s="44">
        <f t="shared" si="192"/>
        <v>41908</v>
      </c>
      <c r="F2567" s="146" t="str">
        <f t="shared" si="196"/>
        <v>2014-15</v>
      </c>
      <c r="G2567" s="1"/>
      <c r="H2567" s="161"/>
      <c r="I2567" s="37"/>
      <c r="J2567" s="135">
        <f t="shared" si="193"/>
        <v>0.76382508261777382</v>
      </c>
      <c r="K2567" s="112"/>
      <c r="L2567" s="37">
        <v>4.9981937811900004</v>
      </c>
      <c r="M2567" s="37" t="s">
        <v>288</v>
      </c>
      <c r="N2567" s="37">
        <v>1338.5980487804875</v>
      </c>
      <c r="O2567" s="130">
        <f t="shared" si="194"/>
        <v>6690.5724429277016</v>
      </c>
      <c r="P2567" s="132">
        <f t="shared" si="195"/>
        <v>5110.4270489794526</v>
      </c>
      <c r="Q2567" s="261">
        <v>1</v>
      </c>
      <c r="R2567" s="92"/>
    </row>
    <row r="2568" spans="1:18" x14ac:dyDescent="0.25">
      <c r="A2568" s="353">
        <v>41908</v>
      </c>
      <c r="B2568" s="353" t="s">
        <v>287</v>
      </c>
      <c r="C2568" s="263" t="s">
        <v>763</v>
      </c>
      <c r="D2568" s="157" t="s">
        <v>465</v>
      </c>
      <c r="E2568" s="44">
        <f t="shared" si="192"/>
        <v>41908</v>
      </c>
      <c r="F2568" s="146" t="str">
        <f t="shared" si="196"/>
        <v>2014-15</v>
      </c>
      <c r="G2568" s="1"/>
      <c r="H2568" s="161"/>
      <c r="I2568" s="37"/>
      <c r="J2568" s="135">
        <f t="shared" si="193"/>
        <v>0.76382508261777382</v>
      </c>
      <c r="K2568" s="112"/>
      <c r="L2568" s="37">
        <v>2.9981215785900002</v>
      </c>
      <c r="M2568" s="37" t="s">
        <v>288</v>
      </c>
      <c r="N2568" s="37">
        <v>1338.5980487804875</v>
      </c>
      <c r="O2568" s="130">
        <f t="shared" si="194"/>
        <v>4013.2796951072492</v>
      </c>
      <c r="P2568" s="132">
        <f t="shared" si="195"/>
        <v>3065.4436946835285</v>
      </c>
      <c r="Q2568" s="261">
        <v>1</v>
      </c>
      <c r="R2568" s="92"/>
    </row>
    <row r="2569" spans="1:18" x14ac:dyDescent="0.25">
      <c r="A2569" s="353">
        <v>41908</v>
      </c>
      <c r="B2569" s="353" t="s">
        <v>287</v>
      </c>
      <c r="C2569" s="263" t="s">
        <v>763</v>
      </c>
      <c r="D2569" s="157" t="s">
        <v>465</v>
      </c>
      <c r="E2569" s="44">
        <f t="shared" si="192"/>
        <v>41908</v>
      </c>
      <c r="F2569" s="146" t="str">
        <f t="shared" si="196"/>
        <v>2014-15</v>
      </c>
      <c r="G2569" s="1"/>
      <c r="H2569" s="161"/>
      <c r="I2569" s="37"/>
      <c r="J2569" s="135">
        <f t="shared" si="193"/>
        <v>0.76382508261777382</v>
      </c>
      <c r="K2569" s="112"/>
      <c r="L2569" s="37">
        <v>92.372684198300007</v>
      </c>
      <c r="M2569" s="37" t="s">
        <v>288</v>
      </c>
      <c r="N2569" s="37">
        <v>2220.0360975609756</v>
      </c>
      <c r="O2569" s="130">
        <f t="shared" si="194"/>
        <v>205070.69334882635</v>
      </c>
      <c r="P2569" s="132">
        <f t="shared" si="195"/>
        <v>156638.13928965144</v>
      </c>
      <c r="Q2569" s="261">
        <v>1</v>
      </c>
      <c r="R2569" s="92"/>
    </row>
    <row r="2570" spans="1:18" x14ac:dyDescent="0.25">
      <c r="A2570" s="353">
        <v>41908</v>
      </c>
      <c r="B2570" s="353" t="s">
        <v>287</v>
      </c>
      <c r="C2570" s="263" t="s">
        <v>763</v>
      </c>
      <c r="D2570" s="157" t="s">
        <v>465</v>
      </c>
      <c r="E2570" s="44">
        <f t="shared" si="192"/>
        <v>41908</v>
      </c>
      <c r="F2570" s="146" t="str">
        <f t="shared" si="196"/>
        <v>2014-15</v>
      </c>
      <c r="G2570" s="1"/>
      <c r="H2570" s="161"/>
      <c r="I2570" s="37"/>
      <c r="J2570" s="135">
        <f t="shared" si="193"/>
        <v>0.76382508261777382</v>
      </c>
      <c r="K2570" s="112"/>
      <c r="L2570" s="37">
        <v>94.107748968899998</v>
      </c>
      <c r="M2570" s="37" t="s">
        <v>288</v>
      </c>
      <c r="N2570" s="37">
        <v>2220.0360975609756</v>
      </c>
      <c r="O2570" s="130">
        <f t="shared" si="194"/>
        <v>208922.59977116468</v>
      </c>
      <c r="P2570" s="132">
        <f t="shared" si="195"/>
        <v>159580.32203092996</v>
      </c>
      <c r="Q2570" s="261">
        <v>1</v>
      </c>
      <c r="R2570" s="92"/>
    </row>
    <row r="2571" spans="1:18" x14ac:dyDescent="0.25">
      <c r="A2571" s="353">
        <v>41908</v>
      </c>
      <c r="B2571" s="353" t="s">
        <v>287</v>
      </c>
      <c r="C2571" s="263" t="s">
        <v>763</v>
      </c>
      <c r="D2571" s="157" t="s">
        <v>465</v>
      </c>
      <c r="E2571" s="44">
        <f t="shared" si="192"/>
        <v>41908</v>
      </c>
      <c r="F2571" s="146" t="str">
        <f t="shared" si="196"/>
        <v>2014-15</v>
      </c>
      <c r="G2571" s="1"/>
      <c r="H2571" s="161"/>
      <c r="I2571" s="37"/>
      <c r="J2571" s="135">
        <f t="shared" si="193"/>
        <v>0.76382508261777382</v>
      </c>
      <c r="K2571" s="112"/>
      <c r="L2571" s="37">
        <v>118.59170821399999</v>
      </c>
      <c r="M2571" s="37" t="s">
        <v>288</v>
      </c>
      <c r="N2571" s="37">
        <v>1580.7912195121949</v>
      </c>
      <c r="O2571" s="130">
        <f t="shared" si="194"/>
        <v>187468.73105164344</v>
      </c>
      <c r="P2571" s="132">
        <f t="shared" si="195"/>
        <v>143193.31898377076</v>
      </c>
      <c r="Q2571" s="261">
        <v>1</v>
      </c>
      <c r="R2571" s="92"/>
    </row>
    <row r="2572" spans="1:18" x14ac:dyDescent="0.25">
      <c r="A2572" s="353">
        <v>41908</v>
      </c>
      <c r="B2572" s="353" t="s">
        <v>287</v>
      </c>
      <c r="C2572" s="263" t="s">
        <v>763</v>
      </c>
      <c r="D2572" s="157" t="s">
        <v>465</v>
      </c>
      <c r="E2572" s="44">
        <f t="shared" si="192"/>
        <v>41908</v>
      </c>
      <c r="F2572" s="146" t="str">
        <f t="shared" si="196"/>
        <v>2014-15</v>
      </c>
      <c r="G2572" s="1"/>
      <c r="H2572" s="161"/>
      <c r="I2572" s="37"/>
      <c r="J2572" s="135">
        <f t="shared" si="193"/>
        <v>0.76382508261777382</v>
      </c>
      <c r="K2572" s="112"/>
      <c r="L2572" s="37">
        <v>50.754004768100003</v>
      </c>
      <c r="M2572" s="37" t="s">
        <v>288</v>
      </c>
      <c r="N2572" s="37">
        <v>1580.7912195121949</v>
      </c>
      <c r="O2572" s="130">
        <f t="shared" si="194"/>
        <v>80231.485092492556</v>
      </c>
      <c r="P2572" s="132">
        <f t="shared" si="195"/>
        <v>61282.820729319814</v>
      </c>
      <c r="Q2572" s="261">
        <v>1</v>
      </c>
      <c r="R2572" s="92"/>
    </row>
    <row r="2573" spans="1:18" x14ac:dyDescent="0.25">
      <c r="A2573" s="353">
        <v>41908</v>
      </c>
      <c r="B2573" s="353" t="s">
        <v>287</v>
      </c>
      <c r="C2573" s="263" t="s">
        <v>763</v>
      </c>
      <c r="D2573" s="157" t="s">
        <v>465</v>
      </c>
      <c r="E2573" s="44">
        <f t="shared" si="192"/>
        <v>41908</v>
      </c>
      <c r="F2573" s="146" t="str">
        <f t="shared" si="196"/>
        <v>2014-15</v>
      </c>
      <c r="G2573" s="1"/>
      <c r="H2573" s="161"/>
      <c r="I2573" s="37"/>
      <c r="J2573" s="135">
        <f t="shared" si="193"/>
        <v>0.76382508261777382</v>
      </c>
      <c r="K2573" s="112"/>
      <c r="L2573" s="37">
        <v>137.29131880099999</v>
      </c>
      <c r="M2573" s="37" t="s">
        <v>288</v>
      </c>
      <c r="N2573" s="37">
        <v>1580.7912195121949</v>
      </c>
      <c r="O2573" s="130">
        <f t="shared" si="194"/>
        <v>217028.91127587028</v>
      </c>
      <c r="P2573" s="132">
        <f t="shared" si="195"/>
        <v>165772.12608573711</v>
      </c>
      <c r="Q2573" s="261">
        <v>1</v>
      </c>
      <c r="R2573" s="92"/>
    </row>
    <row r="2574" spans="1:18" x14ac:dyDescent="0.25">
      <c r="A2574" s="353">
        <v>41908</v>
      </c>
      <c r="B2574" s="353" t="s">
        <v>287</v>
      </c>
      <c r="C2574" s="263" t="s">
        <v>763</v>
      </c>
      <c r="D2574" s="157" t="s">
        <v>465</v>
      </c>
      <c r="E2574" s="44">
        <f t="shared" si="192"/>
        <v>41908</v>
      </c>
      <c r="F2574" s="146" t="str">
        <f t="shared" si="196"/>
        <v>2014-15</v>
      </c>
      <c r="G2574" s="1"/>
      <c r="H2574" s="161"/>
      <c r="I2574" s="37"/>
      <c r="J2574" s="135">
        <f t="shared" si="193"/>
        <v>0.76382508261777382</v>
      </c>
      <c r="K2574" s="112"/>
      <c r="L2574" s="37">
        <v>145.034499541</v>
      </c>
      <c r="M2574" s="37" t="s">
        <v>288</v>
      </c>
      <c r="N2574" s="37">
        <v>1580.7912195121949</v>
      </c>
      <c r="O2574" s="130">
        <f t="shared" si="194"/>
        <v>229269.26340075827</v>
      </c>
      <c r="P2574" s="132">
        <f t="shared" si="195"/>
        <v>175121.61405880033</v>
      </c>
      <c r="Q2574" s="261">
        <v>1</v>
      </c>
      <c r="R2574" s="92"/>
    </row>
    <row r="2575" spans="1:18" x14ac:dyDescent="0.25">
      <c r="A2575" s="353">
        <v>42871</v>
      </c>
      <c r="B2575" s="353" t="s">
        <v>287</v>
      </c>
      <c r="C2575" s="263" t="s">
        <v>787</v>
      </c>
      <c r="D2575" s="157" t="s">
        <v>464</v>
      </c>
      <c r="E2575" s="44">
        <f t="shared" ref="E2575:E2608" si="197">IF(VALUE(A2575)&lt;2022,DATEVALUE("30 Jun "&amp;A2575),A2575)</f>
        <v>42871</v>
      </c>
      <c r="F2575" s="146" t="str">
        <f t="shared" si="196"/>
        <v>2016-17</v>
      </c>
      <c r="G2575" s="1"/>
      <c r="H2575" s="161"/>
      <c r="I2575" s="37"/>
      <c r="J2575" s="135">
        <f t="shared" si="193"/>
        <v>0.76382508261777382</v>
      </c>
      <c r="K2575" s="112"/>
      <c r="L2575" s="37">
        <v>306.133484275</v>
      </c>
      <c r="M2575" s="37" t="s">
        <v>288</v>
      </c>
      <c r="N2575" s="37">
        <v>2220.0360975609756</v>
      </c>
      <c r="O2575" s="130">
        <f t="shared" si="194"/>
        <v>679627.38576261525</v>
      </c>
      <c r="P2575" s="132">
        <f t="shared" si="195"/>
        <v>519116.44407943124</v>
      </c>
      <c r="Q2575" s="261">
        <v>1</v>
      </c>
      <c r="R2575" s="92"/>
    </row>
    <row r="2576" spans="1:18" x14ac:dyDescent="0.25">
      <c r="A2576" s="353">
        <v>42958</v>
      </c>
      <c r="B2576" s="353" t="s">
        <v>287</v>
      </c>
      <c r="C2576" s="263" t="s">
        <v>787</v>
      </c>
      <c r="D2576" s="157" t="s">
        <v>464</v>
      </c>
      <c r="E2576" s="44">
        <f t="shared" si="197"/>
        <v>42958</v>
      </c>
      <c r="F2576" s="146" t="str">
        <f t="shared" si="196"/>
        <v>2017-18</v>
      </c>
      <c r="G2576" s="1"/>
      <c r="H2576" s="161"/>
      <c r="I2576" s="37"/>
      <c r="J2576" s="135">
        <f t="shared" si="193"/>
        <v>0.76382508261777382</v>
      </c>
      <c r="K2576" s="112"/>
      <c r="L2576" s="37">
        <v>306.99111098100002</v>
      </c>
      <c r="M2576" s="37" t="s">
        <v>288</v>
      </c>
      <c r="N2576" s="37">
        <v>2220.0360975609756</v>
      </c>
      <c r="O2576" s="130">
        <f t="shared" si="194"/>
        <v>681531.3480081677</v>
      </c>
      <c r="P2576" s="132">
        <f t="shared" si="195"/>
        <v>520570.73819894146</v>
      </c>
      <c r="Q2576" s="261">
        <v>1</v>
      </c>
      <c r="R2576" s="92"/>
    </row>
    <row r="2577" spans="1:18" x14ac:dyDescent="0.25">
      <c r="A2577" s="353">
        <v>42871</v>
      </c>
      <c r="B2577" s="353" t="s">
        <v>287</v>
      </c>
      <c r="C2577" s="263" t="s">
        <v>787</v>
      </c>
      <c r="D2577" s="157" t="s">
        <v>464</v>
      </c>
      <c r="E2577" s="44">
        <f t="shared" si="197"/>
        <v>42871</v>
      </c>
      <c r="F2577" s="146" t="str">
        <f t="shared" si="196"/>
        <v>2016-17</v>
      </c>
      <c r="G2577" s="1"/>
      <c r="H2577" s="161"/>
      <c r="I2577" s="37"/>
      <c r="J2577" s="135">
        <f t="shared" si="193"/>
        <v>0.76382508261777382</v>
      </c>
      <c r="K2577" s="112"/>
      <c r="L2577" s="37">
        <v>193.49113283299999</v>
      </c>
      <c r="M2577" s="37" t="s">
        <v>288</v>
      </c>
      <c r="N2577" s="37">
        <v>2220.0360975609756</v>
      </c>
      <c r="O2577" s="130">
        <f t="shared" si="194"/>
        <v>429557.29944722564</v>
      </c>
      <c r="P2577" s="132">
        <f t="shared" si="195"/>
        <v>328106.63973934494</v>
      </c>
      <c r="Q2577" s="261">
        <v>1</v>
      </c>
      <c r="R2577" s="92"/>
    </row>
    <row r="2578" spans="1:18" x14ac:dyDescent="0.25">
      <c r="A2578" s="353">
        <v>42958</v>
      </c>
      <c r="B2578" s="353" t="s">
        <v>287</v>
      </c>
      <c r="C2578" s="263" t="s">
        <v>787</v>
      </c>
      <c r="D2578" s="157" t="s">
        <v>464</v>
      </c>
      <c r="E2578" s="44">
        <f t="shared" si="197"/>
        <v>42958</v>
      </c>
      <c r="F2578" s="146" t="str">
        <f t="shared" si="196"/>
        <v>2017-18</v>
      </c>
      <c r="G2578" s="1"/>
      <c r="H2578" s="161"/>
      <c r="I2578" s="37"/>
      <c r="J2578" s="135">
        <f t="shared" si="193"/>
        <v>0.76382508261777382</v>
      </c>
      <c r="K2578" s="112"/>
      <c r="L2578" s="37">
        <v>193.49013387900001</v>
      </c>
      <c r="M2578" s="37" t="s">
        <v>288</v>
      </c>
      <c r="N2578" s="37">
        <v>2220.0360975609756</v>
      </c>
      <c r="O2578" s="130">
        <f t="shared" si="194"/>
        <v>429555.08173328592</v>
      </c>
      <c r="P2578" s="132">
        <f t="shared" si="195"/>
        <v>328104.9457938117</v>
      </c>
      <c r="Q2578" s="261">
        <v>1</v>
      </c>
      <c r="R2578" s="92"/>
    </row>
    <row r="2579" spans="1:18" x14ac:dyDescent="0.25">
      <c r="A2579" s="353">
        <v>42871</v>
      </c>
      <c r="B2579" s="353" t="s">
        <v>287</v>
      </c>
      <c r="C2579" s="263" t="s">
        <v>787</v>
      </c>
      <c r="D2579" s="157" t="s">
        <v>464</v>
      </c>
      <c r="E2579" s="44">
        <f t="shared" si="197"/>
        <v>42871</v>
      </c>
      <c r="F2579" s="146" t="str">
        <f t="shared" si="196"/>
        <v>2016-17</v>
      </c>
      <c r="G2579" s="1"/>
      <c r="H2579" s="161"/>
      <c r="I2579" s="37"/>
      <c r="J2579" s="135">
        <f t="shared" si="193"/>
        <v>0.76382508261777382</v>
      </c>
      <c r="K2579" s="112"/>
      <c r="L2579" s="37">
        <v>574.77993578999997</v>
      </c>
      <c r="M2579" s="37" t="s">
        <v>288</v>
      </c>
      <c r="N2579" s="37">
        <v>5056.6624390243896</v>
      </c>
      <c r="O2579" s="130">
        <f t="shared" si="194"/>
        <v>2906468.1120141433</v>
      </c>
      <c r="P2579" s="132">
        <f t="shared" si="195"/>
        <v>2220033.2457851279</v>
      </c>
      <c r="Q2579" s="261">
        <v>1</v>
      </c>
      <c r="R2579" s="92"/>
    </row>
    <row r="2580" spans="1:18" x14ac:dyDescent="0.25">
      <c r="A2580" s="353">
        <v>42958</v>
      </c>
      <c r="B2580" s="353" t="s">
        <v>287</v>
      </c>
      <c r="C2580" s="263" t="s">
        <v>787</v>
      </c>
      <c r="D2580" s="157" t="s">
        <v>464</v>
      </c>
      <c r="E2580" s="44">
        <f t="shared" si="197"/>
        <v>42958</v>
      </c>
      <c r="F2580" s="146" t="str">
        <f t="shared" si="196"/>
        <v>2017-18</v>
      </c>
      <c r="G2580" s="1"/>
      <c r="H2580" s="161"/>
      <c r="I2580" s="37"/>
      <c r="J2580" s="135">
        <f t="shared" si="193"/>
        <v>0.76382508261777382</v>
      </c>
      <c r="K2580" s="112"/>
      <c r="L2580" s="37">
        <v>574.93354083300005</v>
      </c>
      <c r="M2580" s="37" t="s">
        <v>288</v>
      </c>
      <c r="N2580" s="37">
        <v>5056.6624390243896</v>
      </c>
      <c r="O2580" s="130">
        <f t="shared" si="194"/>
        <v>2907244.8408655263</v>
      </c>
      <c r="P2580" s="132">
        <f t="shared" si="195"/>
        <v>2220626.5307642072</v>
      </c>
      <c r="Q2580" s="261">
        <v>1</v>
      </c>
      <c r="R2580" s="92"/>
    </row>
    <row r="2581" spans="1:18" x14ac:dyDescent="0.25">
      <c r="A2581" s="353">
        <v>42871</v>
      </c>
      <c r="B2581" s="353" t="s">
        <v>287</v>
      </c>
      <c r="C2581" s="263" t="s">
        <v>787</v>
      </c>
      <c r="D2581" s="157" t="s">
        <v>464</v>
      </c>
      <c r="E2581" s="44">
        <f t="shared" si="197"/>
        <v>42871</v>
      </c>
      <c r="F2581" s="146" t="str">
        <f t="shared" si="196"/>
        <v>2016-17</v>
      </c>
      <c r="G2581" s="1"/>
      <c r="H2581" s="161"/>
      <c r="I2581" s="37"/>
      <c r="J2581" s="135">
        <f t="shared" si="193"/>
        <v>0.76382508261777382</v>
      </c>
      <c r="K2581" s="112"/>
      <c r="L2581" s="37">
        <v>4.9972040182499997</v>
      </c>
      <c r="M2581" s="37" t="s">
        <v>288</v>
      </c>
      <c r="N2581" s="37">
        <v>2220.0360975609756</v>
      </c>
      <c r="O2581" s="130">
        <f t="shared" si="194"/>
        <v>11093.973307391756</v>
      </c>
      <c r="P2581" s="132">
        <f t="shared" si="195"/>
        <v>8473.855078077886</v>
      </c>
      <c r="Q2581" s="261">
        <v>1</v>
      </c>
      <c r="R2581" s="92"/>
    </row>
    <row r="2582" spans="1:18" x14ac:dyDescent="0.25">
      <c r="A2582" s="353">
        <v>42958</v>
      </c>
      <c r="B2582" s="353" t="s">
        <v>287</v>
      </c>
      <c r="C2582" s="263" t="s">
        <v>787</v>
      </c>
      <c r="D2582" s="157" t="s">
        <v>464</v>
      </c>
      <c r="E2582" s="44">
        <f t="shared" si="197"/>
        <v>42958</v>
      </c>
      <c r="F2582" s="146" t="str">
        <f t="shared" si="196"/>
        <v>2017-18</v>
      </c>
      <c r="G2582" s="1"/>
      <c r="H2582" s="161"/>
      <c r="I2582" s="37"/>
      <c r="J2582" s="135">
        <f t="shared" si="193"/>
        <v>0.76382508261777382</v>
      </c>
      <c r="K2582" s="112"/>
      <c r="L2582" s="37">
        <v>4.9982029770700001</v>
      </c>
      <c r="M2582" s="37" t="s">
        <v>288</v>
      </c>
      <c r="N2582" s="37">
        <v>2220.0360975609756</v>
      </c>
      <c r="O2582" s="130">
        <f t="shared" si="194"/>
        <v>11096.191032032133</v>
      </c>
      <c r="P2582" s="132">
        <f t="shared" si="195"/>
        <v>8475.5490317845452</v>
      </c>
      <c r="Q2582" s="261">
        <v>1</v>
      </c>
      <c r="R2582" s="92"/>
    </row>
    <row r="2583" spans="1:18" x14ac:dyDescent="0.25">
      <c r="A2583" s="353">
        <v>42871</v>
      </c>
      <c r="B2583" s="353" t="s">
        <v>287</v>
      </c>
      <c r="C2583" s="263" t="s">
        <v>787</v>
      </c>
      <c r="D2583" s="157" t="s">
        <v>464</v>
      </c>
      <c r="E2583" s="44">
        <f t="shared" si="197"/>
        <v>42871</v>
      </c>
      <c r="F2583" s="146" t="str">
        <f t="shared" si="196"/>
        <v>2016-17</v>
      </c>
      <c r="G2583" s="1"/>
      <c r="H2583" s="161"/>
      <c r="I2583" s="37"/>
      <c r="J2583" s="135">
        <f t="shared" si="193"/>
        <v>0.76382508261777382</v>
      </c>
      <c r="K2583" s="112"/>
      <c r="L2583" s="37">
        <v>518.97093352000002</v>
      </c>
      <c r="M2583" s="37" t="s">
        <v>288</v>
      </c>
      <c r="N2583" s="37">
        <v>5056.6624390243896</v>
      </c>
      <c r="O2583" s="130">
        <f t="shared" si="194"/>
        <v>2624260.8264760077</v>
      </c>
      <c r="P2583" s="132">
        <f t="shared" si="195"/>
        <v>2004476.2425936239</v>
      </c>
      <c r="Q2583" s="261">
        <v>1</v>
      </c>
      <c r="R2583" s="92"/>
    </row>
    <row r="2584" spans="1:18" x14ac:dyDescent="0.25">
      <c r="A2584" s="353">
        <v>42958</v>
      </c>
      <c r="B2584" s="353" t="s">
        <v>287</v>
      </c>
      <c r="C2584" s="263" t="s">
        <v>787</v>
      </c>
      <c r="D2584" s="157" t="s">
        <v>464</v>
      </c>
      <c r="E2584" s="44">
        <f t="shared" si="197"/>
        <v>42958</v>
      </c>
      <c r="F2584" s="146" t="str">
        <f t="shared" si="196"/>
        <v>2017-18</v>
      </c>
      <c r="G2584" s="1"/>
      <c r="H2584" s="161"/>
      <c r="I2584" s="37"/>
      <c r="J2584" s="135">
        <f t="shared" si="193"/>
        <v>0.76382508261777382</v>
      </c>
      <c r="K2584" s="112"/>
      <c r="L2584" s="37">
        <v>518.21779231000005</v>
      </c>
      <c r="M2584" s="37" t="s">
        <v>288</v>
      </c>
      <c r="N2584" s="37">
        <v>5056.6624390243896</v>
      </c>
      <c r="O2584" s="130">
        <f t="shared" si="194"/>
        <v>2620452.4456081195</v>
      </c>
      <c r="P2584" s="132">
        <f t="shared" si="195"/>
        <v>2001567.3057625694</v>
      </c>
      <c r="Q2584" s="261">
        <v>1</v>
      </c>
      <c r="R2584" s="92"/>
    </row>
    <row r="2585" spans="1:18" x14ac:dyDescent="0.25">
      <c r="A2585" s="353">
        <v>42871</v>
      </c>
      <c r="B2585" s="353" t="s">
        <v>287</v>
      </c>
      <c r="C2585" s="263" t="s">
        <v>787</v>
      </c>
      <c r="D2585" s="157" t="s">
        <v>464</v>
      </c>
      <c r="E2585" s="44">
        <f t="shared" si="197"/>
        <v>42871</v>
      </c>
      <c r="F2585" s="146" t="str">
        <f t="shared" si="196"/>
        <v>2016-17</v>
      </c>
      <c r="G2585" s="1"/>
      <c r="H2585" s="161"/>
      <c r="I2585" s="37"/>
      <c r="J2585" s="135">
        <f t="shared" si="193"/>
        <v>0.76382508261777382</v>
      </c>
      <c r="K2585" s="112"/>
      <c r="L2585" s="37">
        <v>532.71595339400005</v>
      </c>
      <c r="M2585" s="37" t="s">
        <v>288</v>
      </c>
      <c r="N2585" s="37">
        <v>5056.6624390243896</v>
      </c>
      <c r="O2585" s="130">
        <f t="shared" si="194"/>
        <v>2693764.7521965075</v>
      </c>
      <c r="P2585" s="132">
        <f t="shared" si="195"/>
        <v>2057565.0843993444</v>
      </c>
      <c r="Q2585" s="261">
        <v>1</v>
      </c>
      <c r="R2585" s="92"/>
    </row>
    <row r="2586" spans="1:18" x14ac:dyDescent="0.25">
      <c r="A2586" s="353">
        <v>42958</v>
      </c>
      <c r="B2586" s="353" t="s">
        <v>287</v>
      </c>
      <c r="C2586" s="263" t="s">
        <v>787</v>
      </c>
      <c r="D2586" s="157" t="s">
        <v>464</v>
      </c>
      <c r="E2586" s="44">
        <f t="shared" si="197"/>
        <v>42958</v>
      </c>
      <c r="F2586" s="146" t="str">
        <f t="shared" si="196"/>
        <v>2017-18</v>
      </c>
      <c r="G2586" s="1"/>
      <c r="H2586" s="161"/>
      <c r="I2586" s="37"/>
      <c r="J2586" s="135">
        <f t="shared" ref="J2586:J2635" si="198">J2585</f>
        <v>0.76382508261777382</v>
      </c>
      <c r="K2586" s="112"/>
      <c r="L2586" s="37">
        <v>530.34112196800004</v>
      </c>
      <c r="M2586" s="37" t="s">
        <v>288</v>
      </c>
      <c r="N2586" s="37">
        <v>5056.6624390243896</v>
      </c>
      <c r="O2586" s="130">
        <f t="shared" ref="O2586:O2615" si="199">IF(N2586="","-",L2586*N2586)</f>
        <v>2681756.0313256383</v>
      </c>
      <c r="P2586" s="132">
        <f t="shared" ref="P2586:P2615" si="200">IF(O2586="-","-",IF(OR(E2586&lt;$E$15,E2586&gt;$E$16),0,O2586*J2586))*Q2586</f>
        <v>2048392.522188019</v>
      </c>
      <c r="Q2586" s="261">
        <v>1</v>
      </c>
      <c r="R2586" s="92"/>
    </row>
    <row r="2587" spans="1:18" x14ac:dyDescent="0.25">
      <c r="A2587" s="353">
        <v>42871</v>
      </c>
      <c r="B2587" s="353" t="s">
        <v>287</v>
      </c>
      <c r="C2587" s="263" t="s">
        <v>787</v>
      </c>
      <c r="D2587" s="157" t="s">
        <v>464</v>
      </c>
      <c r="E2587" s="44">
        <f t="shared" si="197"/>
        <v>42871</v>
      </c>
      <c r="F2587" s="146" t="str">
        <f t="shared" si="196"/>
        <v>2016-17</v>
      </c>
      <c r="G2587" s="1"/>
      <c r="H2587" s="161"/>
      <c r="I2587" s="37"/>
      <c r="J2587" s="135">
        <f t="shared" si="198"/>
        <v>0.76382508261777382</v>
      </c>
      <c r="K2587" s="112"/>
      <c r="L2587" s="37">
        <v>188.46328263699999</v>
      </c>
      <c r="M2587" s="37" t="s">
        <v>288</v>
      </c>
      <c r="N2587" s="37">
        <v>2220.0360975609756</v>
      </c>
      <c r="O2587" s="130">
        <f t="shared" si="199"/>
        <v>418395.29051897663</v>
      </c>
      <c r="P2587" s="132">
        <f t="shared" si="200"/>
        <v>319580.81734754483</v>
      </c>
      <c r="Q2587" s="261">
        <v>1</v>
      </c>
      <c r="R2587" s="92"/>
    </row>
    <row r="2588" spans="1:18" x14ac:dyDescent="0.25">
      <c r="A2588" s="353">
        <v>42958</v>
      </c>
      <c r="B2588" s="353" t="s">
        <v>287</v>
      </c>
      <c r="C2588" s="263" t="s">
        <v>787</v>
      </c>
      <c r="D2588" s="157" t="s">
        <v>464</v>
      </c>
      <c r="E2588" s="44">
        <f t="shared" si="197"/>
        <v>42958</v>
      </c>
      <c r="F2588" s="146" t="str">
        <f t="shared" si="196"/>
        <v>2017-18</v>
      </c>
      <c r="G2588" s="1"/>
      <c r="H2588" s="161"/>
      <c r="I2588" s="37"/>
      <c r="J2588" s="135">
        <f t="shared" si="198"/>
        <v>0.76382508261777382</v>
      </c>
      <c r="K2588" s="112"/>
      <c r="L2588" s="37">
        <v>187.21301640999999</v>
      </c>
      <c r="M2588" s="37" t="s">
        <v>288</v>
      </c>
      <c r="N2588" s="37">
        <v>2220.0360975609756</v>
      </c>
      <c r="O2588" s="130">
        <f t="shared" si="199"/>
        <v>415619.65436347527</v>
      </c>
      <c r="P2588" s="132">
        <f t="shared" si="200"/>
        <v>317460.7168317521</v>
      </c>
      <c r="Q2588" s="261">
        <v>1</v>
      </c>
      <c r="R2588" s="92"/>
    </row>
    <row r="2589" spans="1:18" x14ac:dyDescent="0.25">
      <c r="A2589" s="353">
        <v>42871</v>
      </c>
      <c r="B2589" s="353" t="s">
        <v>287</v>
      </c>
      <c r="C2589" s="263" t="s">
        <v>787</v>
      </c>
      <c r="D2589" s="157" t="s">
        <v>464</v>
      </c>
      <c r="E2589" s="44">
        <f t="shared" si="197"/>
        <v>42871</v>
      </c>
      <c r="F2589" s="146" t="str">
        <f t="shared" si="196"/>
        <v>2016-17</v>
      </c>
      <c r="G2589" s="1"/>
      <c r="H2589" s="161"/>
      <c r="I2589" s="37"/>
      <c r="J2589" s="135">
        <f t="shared" si="198"/>
        <v>0.76382508261777382</v>
      </c>
      <c r="K2589" s="112"/>
      <c r="L2589" s="37">
        <v>537.83445020399995</v>
      </c>
      <c r="M2589" s="37" t="s">
        <v>288</v>
      </c>
      <c r="N2589" s="37">
        <v>5056.6624390243896</v>
      </c>
      <c r="O2589" s="130">
        <f t="shared" si="199"/>
        <v>2719647.2627599002</v>
      </c>
      <c r="P2589" s="132">
        <f t="shared" si="200"/>
        <v>2077334.7951687833</v>
      </c>
      <c r="Q2589" s="261">
        <v>1</v>
      </c>
      <c r="R2589" s="92"/>
    </row>
    <row r="2590" spans="1:18" x14ac:dyDescent="0.25">
      <c r="A2590" s="353">
        <v>42871</v>
      </c>
      <c r="B2590" s="353" t="s">
        <v>287</v>
      </c>
      <c r="C2590" s="263" t="s">
        <v>787</v>
      </c>
      <c r="D2590" s="157" t="s">
        <v>464</v>
      </c>
      <c r="E2590" s="44">
        <f t="shared" si="197"/>
        <v>42871</v>
      </c>
      <c r="F2590" s="146" t="str">
        <f t="shared" si="196"/>
        <v>2016-17</v>
      </c>
      <c r="G2590" s="1"/>
      <c r="H2590" s="161"/>
      <c r="I2590" s="37"/>
      <c r="J2590" s="135">
        <f t="shared" si="198"/>
        <v>0.76382508261777382</v>
      </c>
      <c r="K2590" s="112"/>
      <c r="L2590" s="37">
        <v>3.3981525863300002</v>
      </c>
      <c r="M2590" s="37" t="s">
        <v>288</v>
      </c>
      <c r="N2590" s="37">
        <v>5056.6624390243896</v>
      </c>
      <c r="O2590" s="130">
        <f t="shared" si="199"/>
        <v>17183.310545368495</v>
      </c>
      <c r="P2590" s="132">
        <f t="shared" si="200"/>
        <v>13125.043596962954</v>
      </c>
      <c r="Q2590" s="261">
        <v>1</v>
      </c>
      <c r="R2590" s="92"/>
    </row>
    <row r="2591" spans="1:18" x14ac:dyDescent="0.25">
      <c r="A2591" s="353">
        <v>42871</v>
      </c>
      <c r="B2591" s="353" t="s">
        <v>287</v>
      </c>
      <c r="C2591" s="263" t="s">
        <v>787</v>
      </c>
      <c r="D2591" s="157" t="s">
        <v>464</v>
      </c>
      <c r="E2591" s="44">
        <f t="shared" si="197"/>
        <v>42871</v>
      </c>
      <c r="F2591" s="146" t="str">
        <f t="shared" si="196"/>
        <v>2016-17</v>
      </c>
      <c r="G2591" s="1"/>
      <c r="H2591" s="161"/>
      <c r="I2591" s="37"/>
      <c r="J2591" s="135">
        <f t="shared" si="198"/>
        <v>0.76382508261777382</v>
      </c>
      <c r="K2591" s="112"/>
      <c r="L2591" s="37">
        <v>5.1977302738800004</v>
      </c>
      <c r="M2591" s="37" t="s">
        <v>288</v>
      </c>
      <c r="N2591" s="37">
        <v>4416.6341463414628</v>
      </c>
      <c r="O2591" s="130">
        <f t="shared" si="199"/>
        <v>22956.473011091173</v>
      </c>
      <c r="P2591" s="132">
        <f t="shared" si="200"/>
        <v>17534.72989430941</v>
      </c>
      <c r="Q2591" s="261">
        <v>1</v>
      </c>
      <c r="R2591" s="92"/>
    </row>
    <row r="2592" spans="1:18" x14ac:dyDescent="0.25">
      <c r="A2592" s="353">
        <v>42871</v>
      </c>
      <c r="B2592" s="353" t="s">
        <v>287</v>
      </c>
      <c r="C2592" s="263" t="s">
        <v>787</v>
      </c>
      <c r="D2592" s="157" t="s">
        <v>464</v>
      </c>
      <c r="E2592" s="44">
        <f t="shared" si="197"/>
        <v>42871</v>
      </c>
      <c r="F2592" s="146" t="str">
        <f t="shared" si="196"/>
        <v>2016-17</v>
      </c>
      <c r="G2592" s="1"/>
      <c r="H2592" s="161"/>
      <c r="I2592" s="37"/>
      <c r="J2592" s="135">
        <f t="shared" si="198"/>
        <v>0.76382508261777382</v>
      </c>
      <c r="K2592" s="112"/>
      <c r="L2592" s="37">
        <v>2.9984257536199999</v>
      </c>
      <c r="M2592" s="37" t="s">
        <v>288</v>
      </c>
      <c r="N2592" s="37">
        <v>1338.5980487804875</v>
      </c>
      <c r="O2592" s="130">
        <f t="shared" si="199"/>
        <v>4013.6868632088945</v>
      </c>
      <c r="P2592" s="132">
        <f t="shared" si="200"/>
        <v>3065.7546998924072</v>
      </c>
      <c r="Q2592" s="261">
        <v>1</v>
      </c>
      <c r="R2592" s="92"/>
    </row>
    <row r="2593" spans="1:18" x14ac:dyDescent="0.25">
      <c r="A2593" s="353">
        <v>42871</v>
      </c>
      <c r="B2593" s="353" t="s">
        <v>287</v>
      </c>
      <c r="C2593" s="263" t="s">
        <v>787</v>
      </c>
      <c r="D2593" s="157" t="s">
        <v>464</v>
      </c>
      <c r="E2593" s="44">
        <f t="shared" si="197"/>
        <v>42871</v>
      </c>
      <c r="F2593" s="146" t="str">
        <f t="shared" si="196"/>
        <v>2016-17</v>
      </c>
      <c r="G2593" s="1"/>
      <c r="H2593" s="161"/>
      <c r="I2593" s="37"/>
      <c r="J2593" s="135">
        <f t="shared" si="198"/>
        <v>0.76382508261777382</v>
      </c>
      <c r="K2593" s="112"/>
      <c r="L2593" s="37">
        <v>4.7978096043900003</v>
      </c>
      <c r="M2593" s="37" t="s">
        <v>288</v>
      </c>
      <c r="N2593" s="37">
        <v>5056.6624390243896</v>
      </c>
      <c r="O2593" s="130">
        <f t="shared" si="199"/>
        <v>24260.903616109379</v>
      </c>
      <c r="P2593" s="132">
        <f t="shared" si="200"/>
        <v>18531.086708956595</v>
      </c>
      <c r="Q2593" s="261">
        <v>1</v>
      </c>
      <c r="R2593" s="92"/>
    </row>
    <row r="2594" spans="1:18" x14ac:dyDescent="0.25">
      <c r="A2594" s="353">
        <v>42871</v>
      </c>
      <c r="B2594" s="353" t="s">
        <v>287</v>
      </c>
      <c r="C2594" s="263" t="s">
        <v>787</v>
      </c>
      <c r="D2594" s="157" t="s">
        <v>464</v>
      </c>
      <c r="E2594" s="44">
        <f t="shared" si="197"/>
        <v>42871</v>
      </c>
      <c r="F2594" s="146" t="str">
        <f t="shared" si="196"/>
        <v>2016-17</v>
      </c>
      <c r="G2594" s="1"/>
      <c r="H2594" s="161"/>
      <c r="I2594" s="37"/>
      <c r="J2594" s="135">
        <f t="shared" si="198"/>
        <v>0.76382508261777382</v>
      </c>
      <c r="K2594" s="112"/>
      <c r="L2594" s="37">
        <v>183.22078202399999</v>
      </c>
      <c r="M2594" s="37" t="s">
        <v>288</v>
      </c>
      <c r="N2594" s="37">
        <v>2220.0360975609756</v>
      </c>
      <c r="O2594" s="130">
        <f t="shared" si="199"/>
        <v>406756.74991663109</v>
      </c>
      <c r="P2594" s="132">
        <f t="shared" si="200"/>
        <v>310691.00811040791</v>
      </c>
      <c r="Q2594" s="261">
        <v>1</v>
      </c>
      <c r="R2594" s="92"/>
    </row>
    <row r="2595" spans="1:18" x14ac:dyDescent="0.25">
      <c r="A2595" s="353">
        <v>42871</v>
      </c>
      <c r="B2595" s="353" t="s">
        <v>287</v>
      </c>
      <c r="C2595" s="263" t="s">
        <v>787</v>
      </c>
      <c r="D2595" s="157" t="s">
        <v>464</v>
      </c>
      <c r="E2595" s="44">
        <f t="shared" si="197"/>
        <v>42871</v>
      </c>
      <c r="F2595" s="146" t="str">
        <f t="shared" si="196"/>
        <v>2016-17</v>
      </c>
      <c r="G2595" s="1"/>
      <c r="H2595" s="161"/>
      <c r="I2595" s="37"/>
      <c r="J2595" s="135">
        <f t="shared" si="198"/>
        <v>0.76382508261777382</v>
      </c>
      <c r="K2595" s="112"/>
      <c r="L2595" s="37">
        <v>5.1973017075900003</v>
      </c>
      <c r="M2595" s="37" t="s">
        <v>288</v>
      </c>
      <c r="N2595" s="37">
        <v>1338.5980487804875</v>
      </c>
      <c r="O2595" s="130">
        <f t="shared" si="199"/>
        <v>6957.0979247034702</v>
      </c>
      <c r="P2595" s="132">
        <f t="shared" si="200"/>
        <v>5314.0058971165708</v>
      </c>
      <c r="Q2595" s="261">
        <v>1</v>
      </c>
      <c r="R2595" s="92"/>
    </row>
    <row r="2596" spans="1:18" x14ac:dyDescent="0.25">
      <c r="A2596" s="353">
        <v>42871</v>
      </c>
      <c r="B2596" s="353" t="s">
        <v>287</v>
      </c>
      <c r="C2596" s="263" t="s">
        <v>787</v>
      </c>
      <c r="D2596" s="157" t="s">
        <v>464</v>
      </c>
      <c r="E2596" s="44">
        <f t="shared" si="197"/>
        <v>42871</v>
      </c>
      <c r="F2596" s="146" t="str">
        <f t="shared" si="196"/>
        <v>2016-17</v>
      </c>
      <c r="G2596" s="1"/>
      <c r="H2596" s="161"/>
      <c r="I2596" s="37"/>
      <c r="J2596" s="135">
        <f t="shared" si="198"/>
        <v>0.76382508261777382</v>
      </c>
      <c r="K2596" s="112"/>
      <c r="L2596" s="37">
        <v>3.2981014235499999</v>
      </c>
      <c r="M2596" s="37" t="s">
        <v>288</v>
      </c>
      <c r="N2596" s="37">
        <v>2220.0360975609756</v>
      </c>
      <c r="O2596" s="130">
        <f t="shared" si="199"/>
        <v>7321.9042136982398</v>
      </c>
      <c r="P2596" s="132">
        <f t="shared" si="200"/>
        <v>5592.6540909474843</v>
      </c>
      <c r="Q2596" s="261">
        <v>1</v>
      </c>
      <c r="R2596" s="92"/>
    </row>
    <row r="2597" spans="1:18" x14ac:dyDescent="0.25">
      <c r="A2597" s="353">
        <v>42871</v>
      </c>
      <c r="B2597" s="353" t="s">
        <v>287</v>
      </c>
      <c r="C2597" s="263" t="s">
        <v>787</v>
      </c>
      <c r="D2597" s="157" t="s">
        <v>464</v>
      </c>
      <c r="E2597" s="44">
        <f t="shared" si="197"/>
        <v>42871</v>
      </c>
      <c r="F2597" s="146" t="str">
        <f t="shared" si="196"/>
        <v>2016-17</v>
      </c>
      <c r="G2597" s="1"/>
      <c r="H2597" s="161"/>
      <c r="I2597" s="37"/>
      <c r="J2597" s="135">
        <f t="shared" si="198"/>
        <v>0.76382508261777382</v>
      </c>
      <c r="K2597" s="112"/>
      <c r="L2597" s="37">
        <v>4.0980619809899999</v>
      </c>
      <c r="M2597" s="37" t="s">
        <v>288</v>
      </c>
      <c r="N2597" s="37">
        <v>2220.0360975609756</v>
      </c>
      <c r="O2597" s="130">
        <f t="shared" si="199"/>
        <v>9097.8455278400397</v>
      </c>
      <c r="P2597" s="132">
        <f t="shared" si="200"/>
        <v>6949.1626119461625</v>
      </c>
      <c r="Q2597" s="261">
        <v>1</v>
      </c>
      <c r="R2597" s="92"/>
    </row>
    <row r="2598" spans="1:18" x14ac:dyDescent="0.25">
      <c r="A2598" s="353">
        <v>42871</v>
      </c>
      <c r="B2598" s="353" t="s">
        <v>287</v>
      </c>
      <c r="C2598" s="263" t="s">
        <v>787</v>
      </c>
      <c r="D2598" s="157" t="s">
        <v>464</v>
      </c>
      <c r="E2598" s="44">
        <f t="shared" si="197"/>
        <v>42871</v>
      </c>
      <c r="F2598" s="146" t="str">
        <f t="shared" si="196"/>
        <v>2016-17</v>
      </c>
      <c r="G2598" s="1"/>
      <c r="H2598" s="161"/>
      <c r="I2598" s="37"/>
      <c r="J2598" s="135">
        <f t="shared" si="198"/>
        <v>0.76382508261777382</v>
      </c>
      <c r="K2598" s="112"/>
      <c r="L2598" s="37">
        <v>1.4989212787899999</v>
      </c>
      <c r="M2598" s="37" t="s">
        <v>288</v>
      </c>
      <c r="N2598" s="37">
        <v>1338.5980487804875</v>
      </c>
      <c r="O2598" s="130">
        <f t="shared" si="199"/>
        <v>2006.453099063847</v>
      </c>
      <c r="P2598" s="132">
        <f t="shared" si="200"/>
        <v>1532.5792041611312</v>
      </c>
      <c r="Q2598" s="261">
        <v>1</v>
      </c>
      <c r="R2598" s="92"/>
    </row>
    <row r="2599" spans="1:18" x14ac:dyDescent="0.25">
      <c r="A2599" s="353">
        <v>42871</v>
      </c>
      <c r="B2599" s="353" t="s">
        <v>287</v>
      </c>
      <c r="C2599" s="263" t="s">
        <v>787</v>
      </c>
      <c r="D2599" s="157" t="s">
        <v>464</v>
      </c>
      <c r="E2599" s="44">
        <f t="shared" si="197"/>
        <v>42871</v>
      </c>
      <c r="F2599" s="146" t="str">
        <f t="shared" si="196"/>
        <v>2016-17</v>
      </c>
      <c r="G2599" s="1"/>
      <c r="H2599" s="161"/>
      <c r="I2599" s="37"/>
      <c r="J2599" s="135">
        <f t="shared" si="198"/>
        <v>0.76382508261777382</v>
      </c>
      <c r="K2599" s="112"/>
      <c r="L2599" s="37">
        <v>559.97407684100006</v>
      </c>
      <c r="M2599" s="37" t="s">
        <v>288</v>
      </c>
      <c r="N2599" s="37">
        <v>5056.6624390243896</v>
      </c>
      <c r="O2599" s="130">
        <f t="shared" si="199"/>
        <v>2831599.8811892425</v>
      </c>
      <c r="P2599" s="132">
        <f t="shared" si="200"/>
        <v>2162847.0131898518</v>
      </c>
      <c r="Q2599" s="261">
        <v>1</v>
      </c>
      <c r="R2599" s="92"/>
    </row>
    <row r="2600" spans="1:18" x14ac:dyDescent="0.25">
      <c r="A2600" s="353">
        <v>42958</v>
      </c>
      <c r="B2600" s="353" t="s">
        <v>287</v>
      </c>
      <c r="C2600" s="263" t="s">
        <v>787</v>
      </c>
      <c r="D2600" s="157" t="s">
        <v>464</v>
      </c>
      <c r="E2600" s="44">
        <f t="shared" si="197"/>
        <v>42958</v>
      </c>
      <c r="F2600" s="146" t="str">
        <f t="shared" si="196"/>
        <v>2017-18</v>
      </c>
      <c r="G2600" s="1"/>
      <c r="H2600" s="161"/>
      <c r="I2600" s="37"/>
      <c r="J2600" s="135">
        <f t="shared" si="198"/>
        <v>0.76382508261777382</v>
      </c>
      <c r="K2600" s="112"/>
      <c r="L2600" s="37">
        <v>562.89344021399995</v>
      </c>
      <c r="M2600" s="37" t="s">
        <v>288</v>
      </c>
      <c r="N2600" s="37">
        <v>2220.0360975609756</v>
      </c>
      <c r="O2600" s="130">
        <f t="shared" si="199"/>
        <v>1249643.7563553608</v>
      </c>
      <c r="P2600" s="132">
        <f t="shared" si="200"/>
        <v>954509.24544091872</v>
      </c>
      <c r="Q2600" s="261">
        <v>1</v>
      </c>
      <c r="R2600" s="92"/>
    </row>
    <row r="2601" spans="1:18" x14ac:dyDescent="0.25">
      <c r="A2601" s="353">
        <v>42871</v>
      </c>
      <c r="B2601" s="353" t="s">
        <v>287</v>
      </c>
      <c r="C2601" s="263" t="s">
        <v>787</v>
      </c>
      <c r="D2601" s="157" t="s">
        <v>464</v>
      </c>
      <c r="E2601" s="44">
        <f t="shared" si="197"/>
        <v>42871</v>
      </c>
      <c r="F2601" s="146" t="str">
        <f t="shared" si="196"/>
        <v>2016-17</v>
      </c>
      <c r="G2601" s="1"/>
      <c r="H2601" s="161"/>
      <c r="I2601" s="37"/>
      <c r="J2601" s="135">
        <f t="shared" si="198"/>
        <v>0.76382508261777382</v>
      </c>
      <c r="K2601" s="112"/>
      <c r="L2601" s="37">
        <v>413.61062172599998</v>
      </c>
      <c r="M2601" s="37" t="s">
        <v>288</v>
      </c>
      <c r="N2601" s="37">
        <v>5056.6624390243896</v>
      </c>
      <c r="O2601" s="130">
        <f t="shared" si="199"/>
        <v>2091489.2952633894</v>
      </c>
      <c r="P2601" s="132">
        <f t="shared" si="200"/>
        <v>1597531.983748748</v>
      </c>
      <c r="Q2601" s="261">
        <v>1</v>
      </c>
      <c r="R2601" s="92"/>
    </row>
    <row r="2602" spans="1:18" x14ac:dyDescent="0.25">
      <c r="A2602" s="353">
        <v>42958</v>
      </c>
      <c r="B2602" s="353" t="s">
        <v>287</v>
      </c>
      <c r="C2602" s="263" t="s">
        <v>787</v>
      </c>
      <c r="D2602" s="157" t="s">
        <v>464</v>
      </c>
      <c r="E2602" s="44">
        <f t="shared" si="197"/>
        <v>42958</v>
      </c>
      <c r="F2602" s="146" t="str">
        <f t="shared" si="196"/>
        <v>2017-18</v>
      </c>
      <c r="G2602" s="1"/>
      <c r="H2602" s="161"/>
      <c r="I2602" s="37"/>
      <c r="J2602" s="135">
        <f t="shared" si="198"/>
        <v>0.76382508261777382</v>
      </c>
      <c r="K2602" s="112"/>
      <c r="L2602" s="37">
        <v>413.61062172599998</v>
      </c>
      <c r="M2602" s="37" t="s">
        <v>288</v>
      </c>
      <c r="N2602" s="37">
        <v>5056.6624390243896</v>
      </c>
      <c r="O2602" s="130">
        <f t="shared" si="199"/>
        <v>2091489.2952633894</v>
      </c>
      <c r="P2602" s="132">
        <f t="shared" si="200"/>
        <v>1597531.983748748</v>
      </c>
      <c r="Q2602" s="261">
        <v>1</v>
      </c>
      <c r="R2602" s="92"/>
    </row>
    <row r="2603" spans="1:18" x14ac:dyDescent="0.25">
      <c r="A2603" s="353">
        <v>42871</v>
      </c>
      <c r="B2603" s="353" t="s">
        <v>287</v>
      </c>
      <c r="C2603" s="263" t="s">
        <v>787</v>
      </c>
      <c r="D2603" s="157" t="s">
        <v>464</v>
      </c>
      <c r="E2603" s="44">
        <f t="shared" si="197"/>
        <v>42871</v>
      </c>
      <c r="F2603" s="146" t="str">
        <f t="shared" si="196"/>
        <v>2016-17</v>
      </c>
      <c r="G2603" s="1"/>
      <c r="H2603" s="161"/>
      <c r="I2603" s="37"/>
      <c r="J2603" s="135">
        <f t="shared" si="198"/>
        <v>0.76382508261777382</v>
      </c>
      <c r="K2603" s="112"/>
      <c r="L2603" s="37">
        <v>404.59927516499999</v>
      </c>
      <c r="M2603" s="37" t="s">
        <v>288</v>
      </c>
      <c r="N2603" s="37">
        <v>2220.0360975609756</v>
      </c>
      <c r="O2603" s="130">
        <f t="shared" si="199"/>
        <v>898224.9959133059</v>
      </c>
      <c r="P2603" s="132">
        <f t="shared" si="200"/>
        <v>686086.78171283042</v>
      </c>
      <c r="Q2603" s="261">
        <v>1</v>
      </c>
      <c r="R2603" s="92"/>
    </row>
    <row r="2604" spans="1:18" x14ac:dyDescent="0.25">
      <c r="A2604" s="353">
        <v>42958</v>
      </c>
      <c r="B2604" s="353" t="s">
        <v>287</v>
      </c>
      <c r="C2604" s="263" t="s">
        <v>787</v>
      </c>
      <c r="D2604" s="157" t="s">
        <v>464</v>
      </c>
      <c r="E2604" s="44">
        <f t="shared" si="197"/>
        <v>42958</v>
      </c>
      <c r="F2604" s="146" t="str">
        <f t="shared" si="196"/>
        <v>2017-18</v>
      </c>
      <c r="G2604" s="1"/>
      <c r="H2604" s="161"/>
      <c r="I2604" s="37"/>
      <c r="J2604" s="135">
        <f t="shared" si="198"/>
        <v>0.76382508261777382</v>
      </c>
      <c r="K2604" s="112"/>
      <c r="L2604" s="37">
        <v>2.4984235567300002</v>
      </c>
      <c r="M2604" s="37" t="s">
        <v>288</v>
      </c>
      <c r="N2604" s="37">
        <v>5056.6624390243896</v>
      </c>
      <c r="O2604" s="130">
        <f t="shared" si="199"/>
        <v>12633.684556090313</v>
      </c>
      <c r="P2604" s="132">
        <f t="shared" si="200"/>
        <v>9649.9251498225767</v>
      </c>
      <c r="Q2604" s="261">
        <v>1</v>
      </c>
      <c r="R2604" s="92"/>
    </row>
    <row r="2605" spans="1:18" x14ac:dyDescent="0.25">
      <c r="A2605" s="353">
        <v>42871</v>
      </c>
      <c r="B2605" s="353" t="s">
        <v>287</v>
      </c>
      <c r="C2605" s="263" t="s">
        <v>787</v>
      </c>
      <c r="D2605" s="157" t="s">
        <v>464</v>
      </c>
      <c r="E2605" s="44">
        <f t="shared" si="197"/>
        <v>42871</v>
      </c>
      <c r="F2605" s="146" t="str">
        <f t="shared" si="196"/>
        <v>2016-17</v>
      </c>
      <c r="G2605" s="1"/>
      <c r="H2605" s="161"/>
      <c r="I2605" s="37"/>
      <c r="J2605" s="135">
        <f t="shared" si="198"/>
        <v>0.76382508261777382</v>
      </c>
      <c r="K2605" s="112"/>
      <c r="L2605" s="37">
        <v>3.9978199059000001</v>
      </c>
      <c r="M2605" s="37" t="s">
        <v>288</v>
      </c>
      <c r="N2605" s="37">
        <v>1338.5980487804875</v>
      </c>
      <c r="O2605" s="130">
        <f t="shared" si="199"/>
        <v>5351.473925413532</v>
      </c>
      <c r="P2605" s="132">
        <f t="shared" si="200"/>
        <v>4087.5900132058537</v>
      </c>
      <c r="Q2605" s="261">
        <v>1</v>
      </c>
      <c r="R2605" s="92"/>
    </row>
    <row r="2606" spans="1:18" x14ac:dyDescent="0.25">
      <c r="A2606" s="353">
        <v>42871</v>
      </c>
      <c r="B2606" s="353" t="s">
        <v>287</v>
      </c>
      <c r="C2606" s="263" t="s">
        <v>787</v>
      </c>
      <c r="D2606" s="157" t="s">
        <v>464</v>
      </c>
      <c r="E2606" s="44">
        <f t="shared" si="197"/>
        <v>42871</v>
      </c>
      <c r="F2606" s="146" t="str">
        <f t="shared" si="196"/>
        <v>2016-17</v>
      </c>
      <c r="G2606" s="1"/>
      <c r="H2606" s="161"/>
      <c r="I2606" s="37"/>
      <c r="J2606" s="135">
        <f t="shared" si="198"/>
        <v>0.76382508261777382</v>
      </c>
      <c r="K2606" s="112"/>
      <c r="L2606" s="37">
        <v>0.49987398412</v>
      </c>
      <c r="M2606" s="37" t="s">
        <v>288</v>
      </c>
      <c r="N2606" s="37">
        <v>1338.5980487804875</v>
      </c>
      <c r="O2606" s="130">
        <f t="shared" si="199"/>
        <v>669.13033977916041</v>
      </c>
      <c r="P2606" s="132">
        <f t="shared" si="200"/>
        <v>511.09853706387628</v>
      </c>
      <c r="Q2606" s="261">
        <v>1</v>
      </c>
      <c r="R2606" s="92"/>
    </row>
    <row r="2607" spans="1:18" x14ac:dyDescent="0.25">
      <c r="A2607" s="353">
        <v>42871</v>
      </c>
      <c r="B2607" s="353" t="s">
        <v>287</v>
      </c>
      <c r="C2607" s="263" t="s">
        <v>787</v>
      </c>
      <c r="D2607" s="157" t="s">
        <v>464</v>
      </c>
      <c r="E2607" s="44">
        <f t="shared" si="197"/>
        <v>42871</v>
      </c>
      <c r="F2607" s="146" t="str">
        <f t="shared" si="196"/>
        <v>2016-17</v>
      </c>
      <c r="G2607" s="1"/>
      <c r="H2607" s="161"/>
      <c r="I2607" s="37"/>
      <c r="J2607" s="135">
        <f t="shared" si="198"/>
        <v>0.76382508261777382</v>
      </c>
      <c r="K2607" s="112"/>
      <c r="L2607" s="37">
        <v>0.49987398412</v>
      </c>
      <c r="M2607" s="37" t="s">
        <v>288</v>
      </c>
      <c r="N2607" s="37">
        <v>1338.5980487804875</v>
      </c>
      <c r="O2607" s="130">
        <f t="shared" si="199"/>
        <v>669.13033977916041</v>
      </c>
      <c r="P2607" s="132">
        <f t="shared" si="200"/>
        <v>511.09853706387628</v>
      </c>
      <c r="Q2607" s="261">
        <v>1</v>
      </c>
      <c r="R2607" s="92"/>
    </row>
    <row r="2608" spans="1:18" x14ac:dyDescent="0.25">
      <c r="A2608" s="353">
        <v>42871</v>
      </c>
      <c r="B2608" s="353" t="s">
        <v>287</v>
      </c>
      <c r="C2608" s="263" t="s">
        <v>787</v>
      </c>
      <c r="D2608" s="157" t="s">
        <v>464</v>
      </c>
      <c r="E2608" s="44">
        <f t="shared" si="197"/>
        <v>42871</v>
      </c>
      <c r="F2608" s="146" t="str">
        <f t="shared" si="196"/>
        <v>2016-17</v>
      </c>
      <c r="G2608" s="1"/>
      <c r="H2608" s="161"/>
      <c r="I2608" s="37"/>
      <c r="J2608" s="135">
        <f t="shared" si="198"/>
        <v>0.76382508261777382</v>
      </c>
      <c r="K2608" s="112"/>
      <c r="L2608" s="37">
        <v>27.0551101211</v>
      </c>
      <c r="M2608" s="37" t="s">
        <v>288</v>
      </c>
      <c r="N2608" s="37">
        <v>2220.0360975609756</v>
      </c>
      <c r="O2608" s="130">
        <f t="shared" si="199"/>
        <v>60063.321092329301</v>
      </c>
      <c r="P2608" s="132">
        <f t="shared" si="200"/>
        <v>45877.871195646308</v>
      </c>
      <c r="Q2608" s="261">
        <v>1</v>
      </c>
      <c r="R2608" s="92"/>
    </row>
    <row r="2609" spans="1:18" x14ac:dyDescent="0.25">
      <c r="C2609" s="263"/>
      <c r="D2609" s="157"/>
      <c r="E2609" s="44"/>
      <c r="F2609" s="146" t="str">
        <f t="shared" si="196"/>
        <v>-</v>
      </c>
      <c r="G2609" s="1"/>
      <c r="H2609" s="161"/>
      <c r="I2609" s="37"/>
      <c r="J2609" s="135">
        <f t="shared" si="198"/>
        <v>0.76382508261777382</v>
      </c>
      <c r="K2609" s="112"/>
      <c r="L2609" s="37"/>
      <c r="M2609" s="37"/>
      <c r="N2609" s="37"/>
      <c r="O2609" s="130"/>
      <c r="P2609" s="132"/>
      <c r="Q2609" s="261"/>
      <c r="R2609" s="92"/>
    </row>
    <row r="2610" spans="1:18" x14ac:dyDescent="0.25">
      <c r="A2610" s="353">
        <v>41967</v>
      </c>
      <c r="B2610" s="353" t="s">
        <v>284</v>
      </c>
      <c r="C2610" s="263"/>
      <c r="D2610" s="157" t="s">
        <v>788</v>
      </c>
      <c r="E2610" s="44">
        <f t="shared" ref="E2610:E2613" si="201">IF(VALUE(A2610)&lt;2022,DATEVALUE("30 Jun "&amp;A2610),A2610)</f>
        <v>41967</v>
      </c>
      <c r="F2610" s="146" t="str">
        <f t="shared" si="196"/>
        <v>2014-15</v>
      </c>
      <c r="G2610" s="1"/>
      <c r="H2610" s="161"/>
      <c r="I2610" s="37"/>
      <c r="J2610" s="135">
        <f t="shared" si="198"/>
        <v>0.76382508261777382</v>
      </c>
      <c r="K2610" s="112"/>
      <c r="L2610" s="37">
        <v>1</v>
      </c>
      <c r="M2610" s="37" t="s">
        <v>794</v>
      </c>
      <c r="N2610" s="37">
        <v>8550071.7126923073</v>
      </c>
      <c r="O2610" s="130">
        <f t="shared" si="199"/>
        <v>8550071.7126923073</v>
      </c>
      <c r="P2610" s="132">
        <f t="shared" si="200"/>
        <v>6530759.2323350925</v>
      </c>
      <c r="Q2610" s="261">
        <v>1</v>
      </c>
      <c r="R2610" s="92"/>
    </row>
    <row r="2611" spans="1:18" x14ac:dyDescent="0.25">
      <c r="A2611" s="353">
        <v>42958</v>
      </c>
      <c r="B2611" s="353" t="s">
        <v>284</v>
      </c>
      <c r="C2611" s="263"/>
      <c r="D2611" s="157" t="s">
        <v>789</v>
      </c>
      <c r="E2611" s="44">
        <f t="shared" si="201"/>
        <v>42958</v>
      </c>
      <c r="F2611" s="146" t="str">
        <f t="shared" si="196"/>
        <v>2017-18</v>
      </c>
      <c r="G2611" s="1"/>
      <c r="H2611" s="161"/>
      <c r="I2611" s="37"/>
      <c r="J2611" s="135">
        <f t="shared" si="198"/>
        <v>0.76382508261777382</v>
      </c>
      <c r="K2611" s="112"/>
      <c r="L2611" s="37">
        <v>1</v>
      </c>
      <c r="M2611" s="37" t="s">
        <v>794</v>
      </c>
      <c r="N2611" s="37">
        <v>12944832.230769228</v>
      </c>
      <c r="O2611" s="130">
        <f t="shared" si="199"/>
        <v>12944832.230769228</v>
      </c>
      <c r="P2611" s="132">
        <f t="shared" si="200"/>
        <v>9887587.5481405277</v>
      </c>
      <c r="Q2611" s="261">
        <v>1</v>
      </c>
      <c r="R2611" s="92"/>
    </row>
    <row r="2612" spans="1:18" x14ac:dyDescent="0.25">
      <c r="A2612" s="353">
        <v>43363</v>
      </c>
      <c r="B2612" s="353" t="s">
        <v>284</v>
      </c>
      <c r="C2612" s="263"/>
      <c r="D2612" s="157" t="s">
        <v>790</v>
      </c>
      <c r="E2612" s="44">
        <f t="shared" si="201"/>
        <v>43363</v>
      </c>
      <c r="F2612" s="146" t="str">
        <f t="shared" si="196"/>
        <v>2018-19</v>
      </c>
      <c r="G2612" s="1"/>
      <c r="H2612" s="161"/>
      <c r="I2612" s="37"/>
      <c r="J2612" s="135">
        <f t="shared" si="198"/>
        <v>0.76382508261777382</v>
      </c>
      <c r="K2612" s="112"/>
      <c r="L2612" s="37">
        <v>1</v>
      </c>
      <c r="M2612" s="37" t="s">
        <v>794</v>
      </c>
      <c r="N2612" s="37">
        <v>28003310.653846148</v>
      </c>
      <c r="O2612" s="130">
        <f t="shared" si="199"/>
        <v>28003310.653846148</v>
      </c>
      <c r="P2612" s="132">
        <f t="shared" si="200"/>
        <v>21389631.073745221</v>
      </c>
      <c r="Q2612" s="261">
        <v>1</v>
      </c>
      <c r="R2612" s="92"/>
    </row>
    <row r="2613" spans="1:18" x14ac:dyDescent="0.25">
      <c r="A2613" s="353">
        <v>43949</v>
      </c>
      <c r="B2613" s="353" t="s">
        <v>284</v>
      </c>
      <c r="C2613" s="263"/>
      <c r="D2613" s="157" t="s">
        <v>791</v>
      </c>
      <c r="E2613" s="44">
        <f t="shared" si="201"/>
        <v>43949</v>
      </c>
      <c r="F2613" s="146" t="str">
        <f t="shared" si="196"/>
        <v>2019-20</v>
      </c>
      <c r="G2613" s="1"/>
      <c r="H2613" s="161"/>
      <c r="I2613" s="37"/>
      <c r="J2613" s="135">
        <f t="shared" si="198"/>
        <v>0.76382508261777382</v>
      </c>
      <c r="K2613" s="112"/>
      <c r="L2613" s="37">
        <v>1</v>
      </c>
      <c r="M2613" s="37" t="s">
        <v>794</v>
      </c>
      <c r="N2613" s="37">
        <v>12114670.136538461</v>
      </c>
      <c r="O2613" s="130">
        <f t="shared" si="199"/>
        <v>12114670.136538461</v>
      </c>
      <c r="P2613" s="132">
        <f t="shared" si="200"/>
        <v>9253488.9179285672</v>
      </c>
      <c r="Q2613" s="261">
        <v>1</v>
      </c>
      <c r="R2613" s="92"/>
    </row>
    <row r="2614" spans="1:18" x14ac:dyDescent="0.25">
      <c r="C2614" s="263"/>
      <c r="D2614" s="157"/>
      <c r="E2614" s="44"/>
      <c r="F2614" s="146" t="str">
        <f t="shared" si="196"/>
        <v>-</v>
      </c>
      <c r="G2614" s="1"/>
      <c r="H2614" s="161"/>
      <c r="I2614" s="37"/>
      <c r="J2614" s="135">
        <f t="shared" si="198"/>
        <v>0.76382508261777382</v>
      </c>
      <c r="K2614" s="112"/>
      <c r="L2614" s="37"/>
      <c r="M2614" s="37"/>
      <c r="N2614" s="37"/>
      <c r="O2614" s="130"/>
      <c r="P2614" s="132"/>
      <c r="Q2614" s="261"/>
      <c r="R2614" s="92"/>
    </row>
    <row r="2615" spans="1:18" x14ac:dyDescent="0.25">
      <c r="A2615" s="353">
        <v>43511</v>
      </c>
      <c r="B2615" s="353" t="s">
        <v>478</v>
      </c>
      <c r="C2615" s="263">
        <v>20028253</v>
      </c>
      <c r="D2615" s="157" t="s">
        <v>792</v>
      </c>
      <c r="E2615" s="44">
        <f t="shared" ref="E2615:E2616" si="202">IF(VALUE(A2615)&lt;2022,DATEVALUE("30 Jun "&amp;A2615),A2615)</f>
        <v>43511</v>
      </c>
      <c r="F2615" s="146" t="str">
        <f t="shared" si="196"/>
        <v>2018-19</v>
      </c>
      <c r="G2615" s="1"/>
      <c r="H2615" s="161"/>
      <c r="I2615" s="37"/>
      <c r="J2615" s="135">
        <f t="shared" si="198"/>
        <v>0.76382508261777382</v>
      </c>
      <c r="K2615" s="112"/>
      <c r="L2615" s="37">
        <v>1</v>
      </c>
      <c r="M2615" s="37" t="s">
        <v>485</v>
      </c>
      <c r="N2615" s="37">
        <v>124687305</v>
      </c>
      <c r="O2615" s="130">
        <f t="shared" si="199"/>
        <v>124687305</v>
      </c>
      <c r="P2615" s="132">
        <f t="shared" si="200"/>
        <v>95239291.043012559</v>
      </c>
      <c r="Q2615" s="261">
        <v>1</v>
      </c>
      <c r="R2615" s="92"/>
    </row>
    <row r="2616" spans="1:18" x14ac:dyDescent="0.25">
      <c r="A2616" s="353">
        <v>44292</v>
      </c>
      <c r="B2616" s="353" t="s">
        <v>478</v>
      </c>
      <c r="C2616" s="263">
        <v>20034616</v>
      </c>
      <c r="D2616" s="157" t="s">
        <v>793</v>
      </c>
      <c r="E2616" s="44">
        <f t="shared" si="202"/>
        <v>44292</v>
      </c>
      <c r="F2616" s="146" t="str">
        <f t="shared" si="196"/>
        <v>2020-21</v>
      </c>
      <c r="G2616" s="1"/>
      <c r="H2616" s="161"/>
      <c r="I2616" s="37"/>
      <c r="J2616" s="135">
        <f t="shared" si="198"/>
        <v>0.76382508261777382</v>
      </c>
      <c r="K2616" s="112"/>
      <c r="L2616" s="37">
        <v>1</v>
      </c>
      <c r="M2616" s="37" t="s">
        <v>485</v>
      </c>
      <c r="N2616" s="37">
        <v>15000000</v>
      </c>
      <c r="O2616" s="336">
        <f t="shared" ref="O2616:O2635" si="203">IF(N2616="","-",L2616*N2616)</f>
        <v>15000000</v>
      </c>
      <c r="P2616" s="132">
        <f t="shared" ref="P2616:P2635" si="204">IF(O2616="-","-",IF(OR(E2616&lt;$E$15,E2616&gt;$E$16),0,O2616*J2616))*Q2616</f>
        <v>11457376.239266608</v>
      </c>
      <c r="Q2616" s="261">
        <v>1</v>
      </c>
      <c r="R2616" s="92"/>
    </row>
    <row r="2617" spans="1:18" x14ac:dyDescent="0.25">
      <c r="C2617" s="263"/>
      <c r="D2617" s="157"/>
      <c r="E2617" s="334">
        <f t="shared" ref="E2617:E2635" si="205">IF(VALUE(A2617)&lt;2022,DATEVALUE("30 Jun "&amp;A2617),A2617)</f>
        <v>45107</v>
      </c>
      <c r="F2617" s="337" t="str">
        <f t="shared" ref="F2617:F2635" si="206">IF(E2617="","-",IF(OR(E2617&lt;$E$15,E2617&gt;$E$16),"ERROR - date outside of range",IF(MONTH(E2617)&gt;=7,YEAR(E2617)&amp;"-"&amp;IF(YEAR(E2617)=1999,"00",IF(AND(YEAR(E2617)&gt;=2000,YEAR(E2617)&lt;2009),"0","")&amp;RIGHT(YEAR(E2617),2)+1),RIGHT(YEAR(E2617),4)-1&amp;"-"&amp;RIGHT(YEAR(E2617),2))))</f>
        <v>ERROR - date outside of range</v>
      </c>
      <c r="G2617" s="1"/>
      <c r="H2617" s="161"/>
      <c r="I2617" s="37"/>
      <c r="J2617" s="135">
        <f t="shared" si="198"/>
        <v>0.76382508261777382</v>
      </c>
      <c r="K2617" s="112"/>
      <c r="L2617" s="37"/>
      <c r="M2617" s="37"/>
      <c r="N2617" s="37"/>
      <c r="O2617" s="336" t="str">
        <f t="shared" si="203"/>
        <v>-</v>
      </c>
      <c r="P2617" s="132"/>
      <c r="Q2617" s="261"/>
      <c r="R2617" s="92"/>
    </row>
    <row r="2618" spans="1:18" x14ac:dyDescent="0.25">
      <c r="A2618" s="353">
        <v>38604</v>
      </c>
      <c r="B2618" s="353" t="s">
        <v>496</v>
      </c>
      <c r="C2618" s="341" t="s">
        <v>856</v>
      </c>
      <c r="D2618" s="338" t="s">
        <v>464</v>
      </c>
      <c r="E2618" s="334">
        <f t="shared" si="205"/>
        <v>38604</v>
      </c>
      <c r="F2618" s="337" t="str">
        <f t="shared" si="206"/>
        <v>2005-06</v>
      </c>
      <c r="G2618" s="332"/>
      <c r="H2618" s="339"/>
      <c r="I2618" s="333"/>
      <c r="J2618" s="135">
        <f t="shared" si="198"/>
        <v>0.76382508261777382</v>
      </c>
      <c r="K2618" s="335"/>
      <c r="L2618" s="333">
        <v>124.536472218</v>
      </c>
      <c r="M2618" s="333" t="s">
        <v>288</v>
      </c>
      <c r="N2618" s="333">
        <v>5215.3236967507846</v>
      </c>
      <c r="O2618" s="336">
        <f t="shared" si="203"/>
        <v>649498.01466828119</v>
      </c>
      <c r="P2618" s="132">
        <f t="shared" si="204"/>
        <v>496102.87471407995</v>
      </c>
      <c r="Q2618" s="340">
        <v>1</v>
      </c>
      <c r="R2618" s="92"/>
    </row>
    <row r="2619" spans="1:18" x14ac:dyDescent="0.25">
      <c r="C2619" s="341"/>
      <c r="D2619" s="338"/>
      <c r="E2619" s="334">
        <f t="shared" si="205"/>
        <v>45107</v>
      </c>
      <c r="F2619" s="337" t="str">
        <f t="shared" si="206"/>
        <v>ERROR - date outside of range</v>
      </c>
      <c r="G2619" s="332"/>
      <c r="H2619" s="339"/>
      <c r="I2619" s="333"/>
      <c r="J2619" s="135">
        <f t="shared" si="198"/>
        <v>0.76382508261777382</v>
      </c>
      <c r="K2619" s="335"/>
      <c r="L2619" s="333"/>
      <c r="M2619" s="333"/>
      <c r="N2619" s="333"/>
      <c r="O2619" s="336" t="str">
        <f t="shared" si="203"/>
        <v>-</v>
      </c>
      <c r="P2619" s="132"/>
      <c r="Q2619" s="340"/>
      <c r="R2619" s="92"/>
    </row>
    <row r="2620" spans="1:18" x14ac:dyDescent="0.25">
      <c r="A2620" s="353">
        <v>39680</v>
      </c>
      <c r="B2620" s="353" t="s">
        <v>496</v>
      </c>
      <c r="C2620" s="341" t="s">
        <v>857</v>
      </c>
      <c r="D2620" s="338" t="s">
        <v>464</v>
      </c>
      <c r="E2620" s="334">
        <f t="shared" si="205"/>
        <v>39680</v>
      </c>
      <c r="F2620" s="337" t="str">
        <f t="shared" si="206"/>
        <v>2008-09</v>
      </c>
      <c r="G2620" s="332"/>
      <c r="H2620" s="339"/>
      <c r="I2620" s="333"/>
      <c r="J2620" s="135">
        <f t="shared" si="198"/>
        <v>0.76382508261777382</v>
      </c>
      <c r="K2620" s="335"/>
      <c r="L2620" s="333">
        <v>72.413545058899999</v>
      </c>
      <c r="M2620" s="333" t="s">
        <v>288</v>
      </c>
      <c r="N2620" s="333">
        <v>950.87219512195099</v>
      </c>
      <c r="O2620" s="336">
        <f t="shared" si="203"/>
        <v>68856.026546718553</v>
      </c>
      <c r="P2620" s="132">
        <f t="shared" si="204"/>
        <v>5856.4925888393382</v>
      </c>
      <c r="Q2620" s="340">
        <v>0.11135294947137211</v>
      </c>
      <c r="R2620" s="92"/>
    </row>
    <row r="2621" spans="1:18" x14ac:dyDescent="0.25">
      <c r="A2621" s="353">
        <v>39680</v>
      </c>
      <c r="B2621" s="353" t="s">
        <v>496</v>
      </c>
      <c r="C2621" s="341" t="s">
        <v>857</v>
      </c>
      <c r="D2621" s="338" t="s">
        <v>464</v>
      </c>
      <c r="E2621" s="334">
        <f t="shared" si="205"/>
        <v>39680</v>
      </c>
      <c r="F2621" s="337" t="str">
        <f t="shared" si="206"/>
        <v>2008-09</v>
      </c>
      <c r="G2621" s="332"/>
      <c r="H2621" s="339"/>
      <c r="I2621" s="333"/>
      <c r="J2621" s="135">
        <f t="shared" si="198"/>
        <v>0.76382508261777382</v>
      </c>
      <c r="K2621" s="335"/>
      <c r="L2621" s="333">
        <v>42.060842644899999</v>
      </c>
      <c r="M2621" s="333" t="s">
        <v>288</v>
      </c>
      <c r="N2621" s="333">
        <v>950.87219512195099</v>
      </c>
      <c r="O2621" s="336">
        <f t="shared" si="203"/>
        <v>39994.48577443503</v>
      </c>
      <c r="P2621" s="132">
        <f t="shared" si="204"/>
        <v>3401.6980252773765</v>
      </c>
      <c r="Q2621" s="340">
        <v>0.11135294947137211</v>
      </c>
      <c r="R2621" s="92"/>
    </row>
    <row r="2622" spans="1:18" x14ac:dyDescent="0.25">
      <c r="A2622" s="353">
        <v>39680</v>
      </c>
      <c r="B2622" s="353" t="s">
        <v>496</v>
      </c>
      <c r="C2622" s="341" t="s">
        <v>857</v>
      </c>
      <c r="D2622" s="338" t="s">
        <v>464</v>
      </c>
      <c r="E2622" s="334">
        <f t="shared" si="205"/>
        <v>39680</v>
      </c>
      <c r="F2622" s="337" t="str">
        <f t="shared" si="206"/>
        <v>2008-09</v>
      </c>
      <c r="G2622" s="332"/>
      <c r="H2622" s="339"/>
      <c r="I2622" s="333"/>
      <c r="J2622" s="135">
        <f t="shared" si="198"/>
        <v>0.76382508261777382</v>
      </c>
      <c r="K2622" s="335"/>
      <c r="L2622" s="333">
        <v>8.1980268967600001</v>
      </c>
      <c r="M2622" s="333" t="s">
        <v>288</v>
      </c>
      <c r="N2622" s="333">
        <v>3592.3639024390236</v>
      </c>
      <c r="O2622" s="336">
        <f t="shared" si="203"/>
        <v>29450.295895144831</v>
      </c>
      <c r="P2622" s="132">
        <f t="shared" si="204"/>
        <v>2504.8706453024465</v>
      </c>
      <c r="Q2622" s="340">
        <v>0.11135294947137211</v>
      </c>
      <c r="R2622" s="92"/>
    </row>
    <row r="2623" spans="1:18" x14ac:dyDescent="0.25">
      <c r="A2623" s="353">
        <v>39680</v>
      </c>
      <c r="B2623" s="353" t="s">
        <v>496</v>
      </c>
      <c r="C2623" s="341" t="s">
        <v>857</v>
      </c>
      <c r="D2623" s="338" t="s">
        <v>464</v>
      </c>
      <c r="E2623" s="334">
        <f t="shared" si="205"/>
        <v>39680</v>
      </c>
      <c r="F2623" s="337" t="str">
        <f t="shared" si="206"/>
        <v>2008-09</v>
      </c>
      <c r="G2623" s="332"/>
      <c r="H2623" s="339"/>
      <c r="I2623" s="333"/>
      <c r="J2623" s="135">
        <f t="shared" si="198"/>
        <v>0.76382508261777382</v>
      </c>
      <c r="K2623" s="335"/>
      <c r="L2623" s="333">
        <v>5.9676411587800002</v>
      </c>
      <c r="M2623" s="333" t="s">
        <v>288</v>
      </c>
      <c r="N2623" s="333">
        <v>3592.3639024390236</v>
      </c>
      <c r="O2623" s="336">
        <f t="shared" si="203"/>
        <v>21437.938681510659</v>
      </c>
      <c r="P2623" s="132">
        <f t="shared" si="204"/>
        <v>1823.3862060436118</v>
      </c>
      <c r="Q2623" s="340">
        <v>0.11135294947137211</v>
      </c>
      <c r="R2623" s="92"/>
    </row>
    <row r="2624" spans="1:18" x14ac:dyDescent="0.25">
      <c r="A2624" s="353">
        <v>39680</v>
      </c>
      <c r="B2624" s="353" t="s">
        <v>496</v>
      </c>
      <c r="C2624" s="341" t="s">
        <v>857</v>
      </c>
      <c r="D2624" s="338" t="s">
        <v>464</v>
      </c>
      <c r="E2624" s="334">
        <f t="shared" si="205"/>
        <v>39680</v>
      </c>
      <c r="F2624" s="337" t="str">
        <f t="shared" si="206"/>
        <v>2008-09</v>
      </c>
      <c r="G2624" s="332"/>
      <c r="H2624" s="339"/>
      <c r="I2624" s="333"/>
      <c r="J2624" s="135">
        <f t="shared" si="198"/>
        <v>0.76382508261777382</v>
      </c>
      <c r="K2624" s="335"/>
      <c r="L2624" s="333">
        <v>81.447047728800001</v>
      </c>
      <c r="M2624" s="333" t="s">
        <v>288</v>
      </c>
      <c r="N2624" s="333">
        <v>950.87219512195099</v>
      </c>
      <c r="O2624" s="336">
        <f t="shared" si="203"/>
        <v>77445.733060086364</v>
      </c>
      <c r="P2624" s="132">
        <f t="shared" si="204"/>
        <v>6587.082996952875</v>
      </c>
      <c r="Q2624" s="340">
        <v>0.11135294947137211</v>
      </c>
      <c r="R2624" s="92"/>
    </row>
    <row r="2625" spans="1:18" x14ac:dyDescent="0.25">
      <c r="A2625" s="353">
        <v>39680</v>
      </c>
      <c r="B2625" s="353" t="s">
        <v>496</v>
      </c>
      <c r="C2625" s="341" t="s">
        <v>857</v>
      </c>
      <c r="D2625" s="338" t="s">
        <v>464</v>
      </c>
      <c r="E2625" s="334">
        <f t="shared" si="205"/>
        <v>39680</v>
      </c>
      <c r="F2625" s="337" t="str">
        <f t="shared" si="206"/>
        <v>2008-09</v>
      </c>
      <c r="G2625" s="332"/>
      <c r="H2625" s="339"/>
      <c r="I2625" s="333"/>
      <c r="J2625" s="135">
        <f t="shared" si="198"/>
        <v>0.76382508261777382</v>
      </c>
      <c r="K2625" s="335"/>
      <c r="L2625" s="333">
        <v>36.638244513099998</v>
      </c>
      <c r="M2625" s="333" t="s">
        <v>288</v>
      </c>
      <c r="N2625" s="333">
        <v>950.87219512195099</v>
      </c>
      <c r="O2625" s="336">
        <f t="shared" si="203"/>
        <v>34838.287985586176</v>
      </c>
      <c r="P2625" s="132">
        <f t="shared" si="204"/>
        <v>2963.1418719318972</v>
      </c>
      <c r="Q2625" s="340">
        <v>0.11135294947137211</v>
      </c>
      <c r="R2625" s="92"/>
    </row>
    <row r="2626" spans="1:18" x14ac:dyDescent="0.25">
      <c r="C2626" s="341"/>
      <c r="D2626" s="338"/>
      <c r="E2626" s="334">
        <f t="shared" si="205"/>
        <v>45107</v>
      </c>
      <c r="F2626" s="337" t="str">
        <f t="shared" si="206"/>
        <v>ERROR - date outside of range</v>
      </c>
      <c r="G2626" s="332"/>
      <c r="H2626" s="339"/>
      <c r="I2626" s="333"/>
      <c r="J2626" s="135">
        <f t="shared" si="198"/>
        <v>0.76382508261777382</v>
      </c>
      <c r="K2626" s="335"/>
      <c r="L2626" s="333"/>
      <c r="M2626" s="333"/>
      <c r="N2626" s="333"/>
      <c r="O2626" s="336" t="str">
        <f t="shared" si="203"/>
        <v>-</v>
      </c>
      <c r="P2626" s="132"/>
      <c r="Q2626" s="340"/>
      <c r="R2626" s="92"/>
    </row>
    <row r="2627" spans="1:18" x14ac:dyDescent="0.25">
      <c r="A2627" s="353">
        <v>42039</v>
      </c>
      <c r="B2627" s="353" t="s">
        <v>496</v>
      </c>
      <c r="C2627" s="341" t="s">
        <v>858</v>
      </c>
      <c r="D2627" s="338" t="s">
        <v>464</v>
      </c>
      <c r="E2627" s="334">
        <f t="shared" si="205"/>
        <v>42039</v>
      </c>
      <c r="F2627" s="337" t="str">
        <f t="shared" si="206"/>
        <v>2014-15</v>
      </c>
      <c r="G2627" s="332"/>
      <c r="H2627" s="339"/>
      <c r="I2627" s="333"/>
      <c r="J2627" s="135">
        <f t="shared" si="198"/>
        <v>0.76382508261777382</v>
      </c>
      <c r="K2627" s="335"/>
      <c r="L2627" s="333">
        <v>67.963092630199995</v>
      </c>
      <c r="M2627" s="333" t="s">
        <v>288</v>
      </c>
      <c r="N2627" s="333">
        <v>812.22926829268283</v>
      </c>
      <c r="O2627" s="336">
        <f t="shared" si="203"/>
        <v>55201.612997935168</v>
      </c>
      <c r="P2627" s="132">
        <f t="shared" si="204"/>
        <v>10449.038126302825</v>
      </c>
      <c r="Q2627" s="340">
        <v>0.24781673456845194</v>
      </c>
      <c r="R2627" s="92"/>
    </row>
    <row r="2628" spans="1:18" x14ac:dyDescent="0.25">
      <c r="A2628" s="353">
        <v>42039</v>
      </c>
      <c r="B2628" s="353" t="s">
        <v>496</v>
      </c>
      <c r="C2628" s="341" t="s">
        <v>858</v>
      </c>
      <c r="D2628" s="338" t="s">
        <v>464</v>
      </c>
      <c r="E2628" s="334">
        <f t="shared" si="205"/>
        <v>42039</v>
      </c>
      <c r="F2628" s="337" t="str">
        <f t="shared" si="206"/>
        <v>2014-15</v>
      </c>
      <c r="G2628" s="332"/>
      <c r="H2628" s="339"/>
      <c r="I2628" s="333"/>
      <c r="J2628" s="135">
        <f t="shared" si="198"/>
        <v>0.76382508261777382</v>
      </c>
      <c r="K2628" s="335"/>
      <c r="L2628" s="333">
        <v>49.857466293100003</v>
      </c>
      <c r="M2628" s="333" t="s">
        <v>288</v>
      </c>
      <c r="N2628" s="333">
        <v>3336.4019512195118</v>
      </c>
      <c r="O2628" s="336">
        <f t="shared" si="203"/>
        <v>166344.5478231599</v>
      </c>
      <c r="P2628" s="132">
        <f t="shared" si="204"/>
        <v>31487.132855552914</v>
      </c>
      <c r="Q2628" s="340">
        <v>0.24781673456845194</v>
      </c>
      <c r="R2628" s="92"/>
    </row>
    <row r="2629" spans="1:18" x14ac:dyDescent="0.25">
      <c r="A2629" s="353">
        <v>42039</v>
      </c>
      <c r="B2629" s="353" t="s">
        <v>496</v>
      </c>
      <c r="C2629" s="341" t="s">
        <v>858</v>
      </c>
      <c r="D2629" s="338" t="s">
        <v>464</v>
      </c>
      <c r="E2629" s="334">
        <f t="shared" si="205"/>
        <v>42039</v>
      </c>
      <c r="F2629" s="337" t="str">
        <f t="shared" si="206"/>
        <v>2014-15</v>
      </c>
      <c r="G2629" s="332"/>
      <c r="H2629" s="339"/>
      <c r="I2629" s="333"/>
      <c r="J2629" s="135">
        <f t="shared" si="198"/>
        <v>0.76382508261777382</v>
      </c>
      <c r="K2629" s="335"/>
      <c r="L2629" s="333">
        <v>32.680370332199999</v>
      </c>
      <c r="M2629" s="333" t="s">
        <v>288</v>
      </c>
      <c r="N2629" s="333">
        <v>812.22926829268283</v>
      </c>
      <c r="O2629" s="336">
        <f t="shared" si="203"/>
        <v>26543.953282456707</v>
      </c>
      <c r="P2629" s="132">
        <f t="shared" si="204"/>
        <v>5024.4687574902164</v>
      </c>
      <c r="Q2629" s="340">
        <v>0.24781673456845194</v>
      </c>
      <c r="R2629" s="92"/>
    </row>
    <row r="2630" spans="1:18" x14ac:dyDescent="0.25">
      <c r="A2630" s="353">
        <v>42039</v>
      </c>
      <c r="B2630" s="353" t="s">
        <v>496</v>
      </c>
      <c r="C2630" s="341" t="s">
        <v>858</v>
      </c>
      <c r="D2630" s="338" t="s">
        <v>464</v>
      </c>
      <c r="E2630" s="334">
        <f t="shared" si="205"/>
        <v>42039</v>
      </c>
      <c r="F2630" s="337" t="str">
        <f t="shared" si="206"/>
        <v>2014-15</v>
      </c>
      <c r="G2630" s="332"/>
      <c r="H2630" s="339"/>
      <c r="I2630" s="333"/>
      <c r="J2630" s="135">
        <f t="shared" si="198"/>
        <v>0.76382508261777382</v>
      </c>
      <c r="K2630" s="335"/>
      <c r="L2630" s="333">
        <v>5.1844112651499996</v>
      </c>
      <c r="M2630" s="333" t="s">
        <v>288</v>
      </c>
      <c r="N2630" s="333">
        <v>812.22926829268283</v>
      </c>
      <c r="O2630" s="336">
        <f t="shared" si="203"/>
        <v>4210.9305684211258</v>
      </c>
      <c r="P2630" s="132">
        <f t="shared" si="204"/>
        <v>797.08131098075353</v>
      </c>
      <c r="Q2630" s="340">
        <v>0.24781673456845194</v>
      </c>
      <c r="R2630" s="92"/>
    </row>
    <row r="2631" spans="1:18" x14ac:dyDescent="0.25">
      <c r="A2631" s="353">
        <v>42039</v>
      </c>
      <c r="B2631" s="353" t="s">
        <v>496</v>
      </c>
      <c r="C2631" s="341" t="s">
        <v>858</v>
      </c>
      <c r="D2631" s="338" t="s">
        <v>464</v>
      </c>
      <c r="E2631" s="334">
        <f t="shared" si="205"/>
        <v>42039</v>
      </c>
      <c r="F2631" s="337" t="str">
        <f t="shared" si="206"/>
        <v>2014-15</v>
      </c>
      <c r="G2631" s="332"/>
      <c r="H2631" s="339"/>
      <c r="I2631" s="333"/>
      <c r="J2631" s="135">
        <f t="shared" si="198"/>
        <v>0.76382508261777382</v>
      </c>
      <c r="K2631" s="335"/>
      <c r="L2631" s="333">
        <v>69.648645592199998</v>
      </c>
      <c r="M2631" s="333" t="s">
        <v>288</v>
      </c>
      <c r="N2631" s="333">
        <v>812.22926829268283</v>
      </c>
      <c r="O2631" s="336">
        <f t="shared" si="203"/>
        <v>56570.66844692899</v>
      </c>
      <c r="P2631" s="132">
        <f t="shared" si="204"/>
        <v>10708.184767255039</v>
      </c>
      <c r="Q2631" s="340">
        <v>0.24781673456845194</v>
      </c>
      <c r="R2631" s="92"/>
    </row>
    <row r="2632" spans="1:18" x14ac:dyDescent="0.25">
      <c r="A2632" s="353">
        <v>42039</v>
      </c>
      <c r="B2632" s="353" t="s">
        <v>496</v>
      </c>
      <c r="C2632" s="341" t="s">
        <v>858</v>
      </c>
      <c r="D2632" s="338" t="s">
        <v>464</v>
      </c>
      <c r="E2632" s="334">
        <f t="shared" si="205"/>
        <v>42039</v>
      </c>
      <c r="F2632" s="337" t="str">
        <f t="shared" si="206"/>
        <v>2014-15</v>
      </c>
      <c r="G2632" s="332"/>
      <c r="H2632" s="339"/>
      <c r="I2632" s="333"/>
      <c r="J2632" s="135">
        <f t="shared" si="198"/>
        <v>0.76382508261777382</v>
      </c>
      <c r="K2632" s="335"/>
      <c r="L2632" s="333">
        <v>107.904876242</v>
      </c>
      <c r="M2632" s="333" t="s">
        <v>288</v>
      </c>
      <c r="N2632" s="333">
        <v>3336.4019512195118</v>
      </c>
      <c r="O2632" s="336">
        <f t="shared" si="203"/>
        <v>360014.03963990876</v>
      </c>
      <c r="P2632" s="132">
        <f t="shared" si="204"/>
        <v>68146.567136406215</v>
      </c>
      <c r="Q2632" s="340">
        <v>0.24781673456845194</v>
      </c>
      <c r="R2632" s="92"/>
    </row>
    <row r="2633" spans="1:18" x14ac:dyDescent="0.25">
      <c r="A2633" s="353">
        <v>42039</v>
      </c>
      <c r="B2633" s="353" t="s">
        <v>496</v>
      </c>
      <c r="C2633" s="341" t="s">
        <v>858</v>
      </c>
      <c r="D2633" s="338" t="s">
        <v>464</v>
      </c>
      <c r="E2633" s="334">
        <f t="shared" si="205"/>
        <v>42039</v>
      </c>
      <c r="F2633" s="337" t="str">
        <f t="shared" si="206"/>
        <v>2014-15</v>
      </c>
      <c r="G2633" s="332"/>
      <c r="H2633" s="339"/>
      <c r="I2633" s="333"/>
      <c r="J2633" s="135">
        <f t="shared" si="198"/>
        <v>0.76382508261777382</v>
      </c>
      <c r="K2633" s="335"/>
      <c r="L2633" s="333">
        <v>14.741049003800001</v>
      </c>
      <c r="M2633" s="333" t="s">
        <v>288</v>
      </c>
      <c r="N2633" s="333">
        <v>812.22926829268283</v>
      </c>
      <c r="O2633" s="336">
        <f t="shared" si="203"/>
        <v>11973.111446223056</v>
      </c>
      <c r="P2633" s="132">
        <f t="shared" si="204"/>
        <v>2266.3739553541154</v>
      </c>
      <c r="Q2633" s="340">
        <v>0.24781673456845194</v>
      </c>
      <c r="R2633" s="92"/>
    </row>
    <row r="2634" spans="1:18" x14ac:dyDescent="0.25">
      <c r="A2634" s="353">
        <v>42039</v>
      </c>
      <c r="B2634" s="353" t="s">
        <v>496</v>
      </c>
      <c r="C2634" s="341" t="s">
        <v>858</v>
      </c>
      <c r="D2634" s="338" t="s">
        <v>464</v>
      </c>
      <c r="E2634" s="334">
        <f t="shared" si="205"/>
        <v>42039</v>
      </c>
      <c r="F2634" s="337" t="str">
        <f t="shared" si="206"/>
        <v>2014-15</v>
      </c>
      <c r="G2634" s="332"/>
      <c r="H2634" s="339"/>
      <c r="I2634" s="333"/>
      <c r="J2634" s="135">
        <f t="shared" si="198"/>
        <v>0.76382508261777382</v>
      </c>
      <c r="K2634" s="335"/>
      <c r="L2634" s="333">
        <v>18.042181853700001</v>
      </c>
      <c r="M2634" s="333" t="s">
        <v>288</v>
      </c>
      <c r="N2634" s="333">
        <v>812.22926829268283</v>
      </c>
      <c r="O2634" s="336">
        <f t="shared" si="203"/>
        <v>14654.388165434271</v>
      </c>
      <c r="P2634" s="132">
        <f t="shared" si="204"/>
        <v>2773.9091729799861</v>
      </c>
      <c r="Q2634" s="340">
        <v>0.24781673456845194</v>
      </c>
      <c r="R2634" s="92"/>
    </row>
    <row r="2635" spans="1:18" x14ac:dyDescent="0.25">
      <c r="A2635" s="353">
        <v>44116</v>
      </c>
      <c r="B2635" s="353" t="s">
        <v>496</v>
      </c>
      <c r="C2635" s="341" t="s">
        <v>859</v>
      </c>
      <c r="D2635" s="338" t="s">
        <v>464</v>
      </c>
      <c r="E2635" s="334">
        <f t="shared" si="205"/>
        <v>44116</v>
      </c>
      <c r="F2635" s="337" t="str">
        <f t="shared" si="206"/>
        <v>2020-21</v>
      </c>
      <c r="G2635" s="332"/>
      <c r="H2635" s="339"/>
      <c r="I2635" s="333"/>
      <c r="J2635" s="135">
        <f t="shared" si="198"/>
        <v>0.76382508261777382</v>
      </c>
      <c r="K2635" s="335"/>
      <c r="L2635" s="333">
        <v>2.94996908294</v>
      </c>
      <c r="M2635" s="333" t="s">
        <v>288</v>
      </c>
      <c r="N2635" s="333">
        <v>812.22926829268283</v>
      </c>
      <c r="O2635" s="336">
        <f t="shared" si="203"/>
        <v>2396.0512297223927</v>
      </c>
      <c r="P2635" s="132">
        <f t="shared" si="204"/>
        <v>686.10716404916911</v>
      </c>
      <c r="Q2635" s="340">
        <v>0.37488834517845354</v>
      </c>
      <c r="R2635" s="92"/>
    </row>
    <row r="2636" spans="1:18" x14ac:dyDescent="0.25">
      <c r="C2636" s="263"/>
      <c r="D2636" s="157"/>
      <c r="E2636" s="44"/>
      <c r="F2636" s="146"/>
      <c r="G2636" s="1"/>
      <c r="H2636" s="161"/>
      <c r="I2636" s="37"/>
      <c r="J2636" s="135"/>
      <c r="K2636" s="112"/>
      <c r="L2636" s="37"/>
      <c r="M2636" s="37"/>
      <c r="N2636" s="37"/>
      <c r="O2636" s="130"/>
      <c r="P2636" s="132"/>
      <c r="Q2636" s="261"/>
      <c r="R2636" s="92"/>
    </row>
    <row r="2637" spans="1:18" x14ac:dyDescent="0.25">
      <c r="C2637" s="263"/>
      <c r="D2637" s="157"/>
      <c r="E2637" s="44"/>
      <c r="F2637" s="146"/>
      <c r="G2637" s="1"/>
      <c r="H2637" s="161"/>
      <c r="I2637" s="37"/>
      <c r="J2637" s="135"/>
      <c r="K2637" s="112"/>
      <c r="L2637" s="37"/>
      <c r="M2637" s="37"/>
      <c r="N2637" s="37"/>
      <c r="O2637" s="130"/>
      <c r="P2637" s="132"/>
      <c r="Q2637" s="261"/>
      <c r="R2637" s="92"/>
    </row>
    <row r="2638" spans="1:18" x14ac:dyDescent="0.25">
      <c r="C2638" s="263"/>
      <c r="D2638" s="157"/>
      <c r="E2638" s="44"/>
      <c r="F2638" s="146"/>
      <c r="G2638" s="1"/>
      <c r="H2638" s="161"/>
      <c r="I2638" s="37"/>
      <c r="J2638" s="135"/>
      <c r="K2638" s="112"/>
      <c r="L2638" s="37"/>
      <c r="M2638" s="37"/>
      <c r="N2638" s="37"/>
      <c r="O2638" s="130"/>
      <c r="P2638" s="132"/>
      <c r="Q2638" s="261"/>
      <c r="R2638" s="92"/>
    </row>
    <row r="2639" spans="1:18" x14ac:dyDescent="0.25">
      <c r="C2639" s="263"/>
      <c r="D2639" s="157"/>
      <c r="E2639" s="44"/>
      <c r="F2639" s="146"/>
      <c r="G2639" s="1"/>
      <c r="H2639" s="161"/>
      <c r="I2639" s="37"/>
      <c r="J2639" s="135"/>
      <c r="K2639" s="112"/>
      <c r="L2639" s="37"/>
      <c r="M2639" s="37"/>
      <c r="N2639" s="37"/>
      <c r="O2639" s="130"/>
      <c r="P2639" s="132"/>
      <c r="Q2639" s="261"/>
      <c r="R2639" s="92"/>
    </row>
    <row r="2640" spans="1:18" x14ac:dyDescent="0.25">
      <c r="C2640" s="263"/>
      <c r="D2640" s="157"/>
      <c r="E2640" s="44"/>
      <c r="F2640" s="146"/>
      <c r="G2640" s="1"/>
      <c r="H2640" s="161"/>
      <c r="I2640" s="37"/>
      <c r="J2640" s="135"/>
      <c r="K2640" s="112"/>
      <c r="L2640" s="37"/>
      <c r="M2640" s="37"/>
      <c r="N2640" s="37"/>
      <c r="O2640" s="130"/>
      <c r="P2640" s="132"/>
      <c r="Q2640" s="261"/>
      <c r="R2640" s="92"/>
    </row>
    <row r="2641" spans="3:18" x14ac:dyDescent="0.25">
      <c r="C2641" s="263"/>
      <c r="D2641" s="157"/>
      <c r="E2641" s="44"/>
      <c r="F2641" s="146"/>
      <c r="G2641" s="1"/>
      <c r="H2641" s="161"/>
      <c r="I2641" s="37"/>
      <c r="J2641" s="135"/>
      <c r="K2641" s="112"/>
      <c r="L2641" s="37"/>
      <c r="M2641" s="37"/>
      <c r="N2641" s="37"/>
      <c r="O2641" s="130"/>
      <c r="P2641" s="132"/>
      <c r="Q2641" s="261"/>
      <c r="R2641" s="92"/>
    </row>
    <row r="2642" spans="3:18" x14ac:dyDescent="0.25">
      <c r="C2642" s="263"/>
      <c r="D2642" s="157"/>
      <c r="E2642" s="44"/>
      <c r="F2642" s="146"/>
      <c r="G2642" s="1"/>
      <c r="H2642" s="161"/>
      <c r="I2642" s="37"/>
      <c r="J2642" s="135"/>
      <c r="K2642" s="112"/>
      <c r="L2642" s="37"/>
      <c r="M2642" s="37"/>
      <c r="N2642" s="37"/>
      <c r="O2642" s="130"/>
      <c r="P2642" s="132"/>
      <c r="Q2642" s="261"/>
      <c r="R2642" s="92"/>
    </row>
    <row r="2643" spans="3:18" x14ac:dyDescent="0.25">
      <c r="C2643" s="263"/>
      <c r="D2643" s="157"/>
      <c r="E2643" s="44"/>
      <c r="F2643" s="146"/>
      <c r="G2643" s="1"/>
      <c r="H2643" s="161"/>
      <c r="I2643" s="37"/>
      <c r="J2643" s="135"/>
      <c r="K2643" s="112"/>
      <c r="L2643" s="37"/>
      <c r="M2643" s="37"/>
      <c r="N2643" s="37"/>
      <c r="O2643" s="130"/>
      <c r="P2643" s="132"/>
      <c r="Q2643" s="261"/>
      <c r="R2643" s="92"/>
    </row>
    <row r="2644" spans="3:18" x14ac:dyDescent="0.25">
      <c r="C2644" s="263"/>
      <c r="D2644" s="157"/>
      <c r="E2644" s="44"/>
      <c r="F2644" s="146"/>
      <c r="G2644" s="1"/>
      <c r="H2644" s="161"/>
      <c r="I2644" s="37"/>
      <c r="J2644" s="135"/>
      <c r="K2644" s="112"/>
      <c r="L2644" s="37"/>
      <c r="M2644" s="37"/>
      <c r="N2644" s="37"/>
      <c r="O2644" s="130"/>
      <c r="P2644" s="132"/>
      <c r="Q2644" s="261"/>
      <c r="R2644" s="92"/>
    </row>
    <row r="2645" spans="3:18" x14ac:dyDescent="0.25">
      <c r="C2645" s="263"/>
      <c r="D2645" s="157"/>
      <c r="E2645" s="44"/>
      <c r="F2645" s="146"/>
      <c r="G2645" s="1"/>
      <c r="H2645" s="161"/>
      <c r="I2645" s="37"/>
      <c r="J2645" s="135"/>
      <c r="K2645" s="112"/>
      <c r="L2645" s="37"/>
      <c r="M2645" s="37"/>
      <c r="N2645" s="37"/>
      <c r="O2645" s="130"/>
      <c r="P2645" s="132"/>
      <c r="Q2645" s="261"/>
      <c r="R2645" s="92"/>
    </row>
    <row r="2646" spans="3:18" x14ac:dyDescent="0.25">
      <c r="C2646" s="263"/>
      <c r="D2646" s="157"/>
      <c r="E2646" s="44"/>
      <c r="F2646" s="146"/>
      <c r="G2646" s="1"/>
      <c r="H2646" s="161"/>
      <c r="I2646" s="37"/>
      <c r="J2646" s="135"/>
      <c r="K2646" s="112"/>
      <c r="L2646" s="37"/>
      <c r="M2646" s="37"/>
      <c r="N2646" s="37"/>
      <c r="O2646" s="130"/>
      <c r="P2646" s="132"/>
      <c r="Q2646" s="261"/>
      <c r="R2646" s="92"/>
    </row>
    <row r="2647" spans="3:18" x14ac:dyDescent="0.25">
      <c r="C2647" s="263"/>
      <c r="D2647" s="157"/>
      <c r="E2647" s="44"/>
      <c r="F2647" s="146"/>
      <c r="G2647" s="1"/>
      <c r="H2647" s="161"/>
      <c r="I2647" s="37"/>
      <c r="J2647" s="135"/>
      <c r="K2647" s="112"/>
      <c r="L2647" s="37"/>
      <c r="M2647" s="37"/>
      <c r="N2647" s="37"/>
      <c r="O2647" s="130"/>
      <c r="P2647" s="132"/>
      <c r="Q2647" s="261"/>
      <c r="R2647" s="92"/>
    </row>
    <row r="2648" spans="3:18" x14ac:dyDescent="0.25">
      <c r="C2648" s="263"/>
      <c r="D2648" s="157"/>
      <c r="E2648" s="44"/>
      <c r="F2648" s="146"/>
      <c r="G2648" s="1"/>
      <c r="H2648" s="161"/>
      <c r="I2648" s="37"/>
      <c r="J2648" s="135"/>
      <c r="K2648" s="112"/>
      <c r="L2648" s="37"/>
      <c r="M2648" s="37"/>
      <c r="N2648" s="37"/>
      <c r="O2648" s="130"/>
      <c r="P2648" s="132"/>
      <c r="Q2648" s="261"/>
      <c r="R2648" s="92"/>
    </row>
    <row r="2649" spans="3:18" x14ac:dyDescent="0.25">
      <c r="C2649" s="263"/>
      <c r="D2649" s="157"/>
      <c r="E2649" s="44"/>
      <c r="F2649" s="146"/>
      <c r="G2649" s="1"/>
      <c r="H2649" s="161"/>
      <c r="I2649" s="37"/>
      <c r="J2649" s="135"/>
      <c r="K2649" s="112"/>
      <c r="L2649" s="37"/>
      <c r="M2649" s="37"/>
      <c r="N2649" s="37"/>
      <c r="O2649" s="130"/>
      <c r="P2649" s="132"/>
      <c r="Q2649" s="261"/>
      <c r="R2649" s="92"/>
    </row>
    <row r="2650" spans="3:18" x14ac:dyDescent="0.25">
      <c r="C2650" s="263"/>
      <c r="D2650" s="157"/>
      <c r="E2650" s="44"/>
      <c r="F2650" s="146"/>
      <c r="G2650" s="1"/>
      <c r="H2650" s="161"/>
      <c r="I2650" s="37"/>
      <c r="J2650" s="135"/>
      <c r="K2650" s="112"/>
      <c r="L2650" s="37"/>
      <c r="M2650" s="37"/>
      <c r="N2650" s="37"/>
      <c r="O2650" s="130"/>
      <c r="P2650" s="132"/>
      <c r="Q2650" s="261"/>
      <c r="R2650" s="92"/>
    </row>
    <row r="2651" spans="3:18" x14ac:dyDescent="0.25">
      <c r="C2651" s="263"/>
      <c r="D2651" s="157"/>
      <c r="E2651" s="44"/>
      <c r="F2651" s="146"/>
      <c r="G2651" s="1"/>
      <c r="H2651" s="161"/>
      <c r="I2651" s="37"/>
      <c r="J2651" s="135"/>
      <c r="K2651" s="112"/>
      <c r="L2651" s="37"/>
      <c r="M2651" s="37"/>
      <c r="N2651" s="37"/>
      <c r="O2651" s="130"/>
      <c r="P2651" s="132"/>
      <c r="Q2651" s="261"/>
      <c r="R2651" s="92"/>
    </row>
    <row r="2652" spans="3:18" x14ac:dyDescent="0.25">
      <c r="C2652" s="263"/>
      <c r="D2652" s="157"/>
      <c r="E2652" s="44"/>
      <c r="F2652" s="146"/>
      <c r="G2652" s="1"/>
      <c r="H2652" s="161"/>
      <c r="I2652" s="37"/>
      <c r="J2652" s="135"/>
      <c r="K2652" s="112"/>
      <c r="L2652" s="37"/>
      <c r="M2652" s="37"/>
      <c r="N2652" s="37"/>
      <c r="O2652" s="130"/>
      <c r="P2652" s="132"/>
      <c r="Q2652" s="261"/>
      <c r="R2652" s="92"/>
    </row>
    <row r="2653" spans="3:18" x14ac:dyDescent="0.25">
      <c r="C2653" s="263"/>
      <c r="D2653" s="157"/>
      <c r="E2653" s="44"/>
      <c r="F2653" s="146"/>
      <c r="G2653" s="1"/>
      <c r="H2653" s="161"/>
      <c r="I2653" s="37"/>
      <c r="J2653" s="135"/>
      <c r="K2653" s="112"/>
      <c r="L2653" s="37"/>
      <c r="M2653" s="37"/>
      <c r="N2653" s="37"/>
      <c r="O2653" s="130"/>
      <c r="P2653" s="132"/>
      <c r="Q2653" s="261"/>
      <c r="R2653" s="92"/>
    </row>
    <row r="2654" spans="3:18" x14ac:dyDescent="0.25">
      <c r="C2654" s="263"/>
      <c r="D2654" s="157"/>
      <c r="E2654" s="44"/>
      <c r="F2654" s="146"/>
      <c r="G2654" s="1"/>
      <c r="H2654" s="161"/>
      <c r="I2654" s="37"/>
      <c r="J2654" s="135"/>
      <c r="K2654" s="112"/>
      <c r="L2654" s="37"/>
      <c r="M2654" s="37"/>
      <c r="N2654" s="37"/>
      <c r="O2654" s="130"/>
      <c r="P2654" s="132"/>
      <c r="Q2654" s="261"/>
      <c r="R2654" s="92"/>
    </row>
    <row r="2655" spans="3:18" x14ac:dyDescent="0.25">
      <c r="C2655" s="263"/>
      <c r="D2655" s="157"/>
      <c r="E2655" s="44"/>
      <c r="F2655" s="146"/>
      <c r="G2655" s="1"/>
      <c r="H2655" s="161"/>
      <c r="I2655" s="37"/>
      <c r="J2655" s="135"/>
      <c r="K2655" s="112"/>
      <c r="L2655" s="37"/>
      <c r="M2655" s="37"/>
      <c r="N2655" s="37"/>
      <c r="O2655" s="130"/>
      <c r="P2655" s="132"/>
      <c r="Q2655" s="261"/>
      <c r="R2655" s="92"/>
    </row>
    <row r="2656" spans="3:18" x14ac:dyDescent="0.25">
      <c r="C2656" s="263"/>
      <c r="D2656" s="157"/>
      <c r="E2656" s="44"/>
      <c r="F2656" s="146"/>
      <c r="G2656" s="1"/>
      <c r="H2656" s="161"/>
      <c r="I2656" s="37"/>
      <c r="J2656" s="135"/>
      <c r="K2656" s="112"/>
      <c r="L2656" s="37"/>
      <c r="M2656" s="37"/>
      <c r="N2656" s="37"/>
      <c r="O2656" s="130"/>
      <c r="P2656" s="132"/>
      <c r="Q2656" s="261"/>
      <c r="R2656" s="92"/>
    </row>
    <row r="2657" spans="3:18" x14ac:dyDescent="0.25">
      <c r="C2657" s="263"/>
      <c r="D2657" s="157"/>
      <c r="E2657" s="44"/>
      <c r="F2657" s="146"/>
      <c r="G2657" s="1"/>
      <c r="H2657" s="161"/>
      <c r="I2657" s="37"/>
      <c r="J2657" s="135"/>
      <c r="K2657" s="112"/>
      <c r="L2657" s="37"/>
      <c r="M2657" s="37"/>
      <c r="N2657" s="37"/>
      <c r="O2657" s="130"/>
      <c r="P2657" s="132"/>
      <c r="Q2657" s="261"/>
      <c r="R2657" s="92"/>
    </row>
    <row r="2658" spans="3:18" x14ac:dyDescent="0.25">
      <c r="C2658" s="263"/>
      <c r="D2658" s="157"/>
      <c r="E2658" s="44"/>
      <c r="F2658" s="146"/>
      <c r="G2658" s="1"/>
      <c r="H2658" s="161"/>
      <c r="I2658" s="37"/>
      <c r="J2658" s="135"/>
      <c r="K2658" s="112"/>
      <c r="L2658" s="37"/>
      <c r="M2658" s="37"/>
      <c r="N2658" s="37"/>
      <c r="O2658" s="130"/>
      <c r="P2658" s="132"/>
      <c r="Q2658" s="261"/>
      <c r="R2658" s="92"/>
    </row>
    <row r="2659" spans="3:18" x14ac:dyDescent="0.25">
      <c r="C2659" s="263"/>
      <c r="D2659" s="157"/>
      <c r="E2659" s="44"/>
      <c r="F2659" s="146"/>
      <c r="G2659" s="1"/>
      <c r="H2659" s="161"/>
      <c r="I2659" s="37"/>
      <c r="J2659" s="135"/>
      <c r="K2659" s="112"/>
      <c r="L2659" s="37"/>
      <c r="M2659" s="37"/>
      <c r="N2659" s="37"/>
      <c r="O2659" s="130"/>
      <c r="P2659" s="132"/>
      <c r="Q2659" s="261"/>
      <c r="R2659" s="92"/>
    </row>
    <row r="2660" spans="3:18" x14ac:dyDescent="0.25">
      <c r="C2660" s="263"/>
      <c r="D2660" s="157"/>
      <c r="E2660" s="44"/>
      <c r="F2660" s="146"/>
      <c r="G2660" s="1"/>
      <c r="H2660" s="161"/>
      <c r="I2660" s="37"/>
      <c r="J2660" s="135"/>
      <c r="K2660" s="112"/>
      <c r="L2660" s="37"/>
      <c r="M2660" s="37"/>
      <c r="N2660" s="37"/>
      <c r="O2660" s="130"/>
      <c r="P2660" s="132"/>
      <c r="Q2660" s="261"/>
      <c r="R2660" s="92"/>
    </row>
    <row r="2661" spans="3:18" x14ac:dyDescent="0.25">
      <c r="C2661" s="263"/>
      <c r="D2661" s="157"/>
      <c r="E2661" s="44"/>
      <c r="F2661" s="146"/>
      <c r="G2661" s="1"/>
      <c r="H2661" s="161"/>
      <c r="I2661" s="37"/>
      <c r="J2661" s="135"/>
      <c r="K2661" s="112"/>
      <c r="L2661" s="37"/>
      <c r="M2661" s="37"/>
      <c r="N2661" s="37"/>
      <c r="O2661" s="130"/>
      <c r="P2661" s="132"/>
      <c r="Q2661" s="261"/>
      <c r="R2661" s="92"/>
    </row>
    <row r="2662" spans="3:18" x14ac:dyDescent="0.25">
      <c r="C2662" s="263"/>
      <c r="D2662" s="157"/>
      <c r="E2662" s="44"/>
      <c r="F2662" s="146"/>
      <c r="G2662" s="1"/>
      <c r="H2662" s="161"/>
      <c r="I2662" s="37"/>
      <c r="J2662" s="135"/>
      <c r="K2662" s="112"/>
      <c r="L2662" s="37"/>
      <c r="M2662" s="37"/>
      <c r="N2662" s="37"/>
      <c r="O2662" s="130"/>
      <c r="P2662" s="132"/>
      <c r="Q2662" s="261"/>
      <c r="R2662" s="92"/>
    </row>
    <row r="2663" spans="3:18" x14ac:dyDescent="0.25">
      <c r="C2663" s="263"/>
      <c r="D2663" s="157"/>
      <c r="E2663" s="44"/>
      <c r="F2663" s="146"/>
      <c r="G2663" s="1"/>
      <c r="H2663" s="161"/>
      <c r="I2663" s="37"/>
      <c r="J2663" s="135"/>
      <c r="K2663" s="112"/>
      <c r="L2663" s="37"/>
      <c r="M2663" s="37"/>
      <c r="N2663" s="37"/>
      <c r="O2663" s="130"/>
      <c r="P2663" s="132"/>
      <c r="Q2663" s="261"/>
      <c r="R2663" s="92"/>
    </row>
    <row r="2664" spans="3:18" x14ac:dyDescent="0.25">
      <c r="C2664" s="263"/>
      <c r="D2664" s="157"/>
      <c r="E2664" s="44"/>
      <c r="F2664" s="146"/>
      <c r="G2664" s="1"/>
      <c r="H2664" s="161"/>
      <c r="I2664" s="37"/>
      <c r="J2664" s="135"/>
      <c r="K2664" s="112"/>
      <c r="L2664" s="37"/>
      <c r="M2664" s="37"/>
      <c r="N2664" s="37"/>
      <c r="O2664" s="130"/>
      <c r="P2664" s="132"/>
      <c r="Q2664" s="261"/>
      <c r="R2664" s="92"/>
    </row>
    <row r="2665" spans="3:18" x14ac:dyDescent="0.25">
      <c r="C2665" s="263"/>
      <c r="D2665" s="157"/>
      <c r="E2665" s="44"/>
      <c r="F2665" s="146"/>
      <c r="G2665" s="1"/>
      <c r="H2665" s="161"/>
      <c r="I2665" s="37"/>
      <c r="J2665" s="135"/>
      <c r="K2665" s="112"/>
      <c r="L2665" s="37"/>
      <c r="M2665" s="37"/>
      <c r="N2665" s="37"/>
      <c r="O2665" s="130"/>
      <c r="P2665" s="132"/>
      <c r="Q2665" s="261"/>
      <c r="R2665" s="92"/>
    </row>
    <row r="2666" spans="3:18" x14ac:dyDescent="0.25">
      <c r="C2666" s="263"/>
      <c r="D2666" s="157"/>
      <c r="E2666" s="44"/>
      <c r="F2666" s="146"/>
      <c r="G2666" s="1"/>
      <c r="H2666" s="161"/>
      <c r="I2666" s="37"/>
      <c r="J2666" s="135"/>
      <c r="K2666" s="112"/>
      <c r="L2666" s="37"/>
      <c r="M2666" s="37"/>
      <c r="N2666" s="37"/>
      <c r="O2666" s="130"/>
      <c r="P2666" s="132"/>
      <c r="Q2666" s="261"/>
      <c r="R2666" s="92"/>
    </row>
    <row r="2667" spans="3:18" x14ac:dyDescent="0.25">
      <c r="C2667" s="263"/>
      <c r="D2667" s="157"/>
      <c r="E2667" s="44"/>
      <c r="F2667" s="146"/>
      <c r="G2667" s="1"/>
      <c r="H2667" s="161"/>
      <c r="I2667" s="37"/>
      <c r="J2667" s="135"/>
      <c r="K2667" s="112"/>
      <c r="L2667" s="37"/>
      <c r="M2667" s="37"/>
      <c r="N2667" s="37"/>
      <c r="O2667" s="130"/>
      <c r="P2667" s="132"/>
      <c r="Q2667" s="261"/>
      <c r="R2667" s="92"/>
    </row>
    <row r="2668" spans="3:18" x14ac:dyDescent="0.25">
      <c r="C2668" s="263"/>
      <c r="D2668" s="157"/>
      <c r="E2668" s="44"/>
      <c r="F2668" s="146"/>
      <c r="G2668" s="1"/>
      <c r="H2668" s="161"/>
      <c r="I2668" s="37"/>
      <c r="J2668" s="135"/>
      <c r="K2668" s="112"/>
      <c r="L2668" s="37"/>
      <c r="M2668" s="37"/>
      <c r="N2668" s="37"/>
      <c r="O2668" s="130"/>
      <c r="P2668" s="132"/>
      <c r="Q2668" s="261"/>
      <c r="R2668" s="92"/>
    </row>
    <row r="2669" spans="3:18" x14ac:dyDescent="0.25">
      <c r="C2669" s="263"/>
      <c r="D2669" s="157"/>
      <c r="E2669" s="44"/>
      <c r="F2669" s="146"/>
      <c r="G2669" s="1"/>
      <c r="H2669" s="161"/>
      <c r="I2669" s="37"/>
      <c r="J2669" s="135"/>
      <c r="K2669" s="112"/>
      <c r="L2669" s="37"/>
      <c r="M2669" s="37"/>
      <c r="N2669" s="37"/>
      <c r="O2669" s="130"/>
      <c r="P2669" s="132"/>
      <c r="Q2669" s="261"/>
      <c r="R2669" s="92"/>
    </row>
    <row r="2670" spans="3:18" x14ac:dyDescent="0.25">
      <c r="C2670" s="263"/>
      <c r="D2670" s="157"/>
      <c r="E2670" s="44"/>
      <c r="F2670" s="146"/>
      <c r="G2670" s="1"/>
      <c r="H2670" s="161"/>
      <c r="I2670" s="37"/>
      <c r="J2670" s="135"/>
      <c r="K2670" s="112"/>
      <c r="L2670" s="37"/>
      <c r="M2670" s="37"/>
      <c r="N2670" s="37"/>
      <c r="O2670" s="130"/>
      <c r="P2670" s="132"/>
      <c r="Q2670" s="261"/>
      <c r="R2670" s="92"/>
    </row>
    <row r="2671" spans="3:18" x14ac:dyDescent="0.25">
      <c r="C2671" s="263"/>
      <c r="D2671" s="157"/>
      <c r="E2671" s="44"/>
      <c r="F2671" s="146"/>
      <c r="G2671" s="1"/>
      <c r="H2671" s="161"/>
      <c r="I2671" s="37"/>
      <c r="J2671" s="135"/>
      <c r="K2671" s="112"/>
      <c r="L2671" s="37"/>
      <c r="M2671" s="37"/>
      <c r="N2671" s="37"/>
      <c r="O2671" s="130"/>
      <c r="P2671" s="132"/>
      <c r="Q2671" s="261"/>
      <c r="R2671" s="92"/>
    </row>
    <row r="2672" spans="3:18" x14ac:dyDescent="0.25">
      <c r="C2672" s="263"/>
      <c r="D2672" s="157"/>
      <c r="E2672" s="44"/>
      <c r="F2672" s="146"/>
      <c r="G2672" s="1"/>
      <c r="H2672" s="161"/>
      <c r="I2672" s="37"/>
      <c r="J2672" s="135"/>
      <c r="K2672" s="112"/>
      <c r="L2672" s="37"/>
      <c r="M2672" s="37"/>
      <c r="N2672" s="37"/>
      <c r="O2672" s="130"/>
      <c r="P2672" s="132"/>
      <c r="Q2672" s="261"/>
      <c r="R2672" s="92"/>
    </row>
    <row r="2673" spans="3:18" x14ac:dyDescent="0.25">
      <c r="C2673" s="263"/>
      <c r="D2673" s="157"/>
      <c r="E2673" s="44"/>
      <c r="F2673" s="146"/>
      <c r="G2673" s="1"/>
      <c r="H2673" s="161"/>
      <c r="I2673" s="37"/>
      <c r="J2673" s="135"/>
      <c r="K2673" s="112"/>
      <c r="L2673" s="37"/>
      <c r="M2673" s="37"/>
      <c r="N2673" s="37"/>
      <c r="O2673" s="130"/>
      <c r="P2673" s="132"/>
      <c r="Q2673" s="261"/>
      <c r="R2673" s="92"/>
    </row>
    <row r="2674" spans="3:18" x14ac:dyDescent="0.25">
      <c r="C2674" s="263"/>
      <c r="D2674" s="157"/>
      <c r="E2674" s="44"/>
      <c r="F2674" s="146"/>
      <c r="G2674" s="1"/>
      <c r="H2674" s="161"/>
      <c r="I2674" s="37"/>
      <c r="J2674" s="135"/>
      <c r="K2674" s="112"/>
      <c r="L2674" s="37"/>
      <c r="M2674" s="37"/>
      <c r="N2674" s="37"/>
      <c r="O2674" s="130"/>
      <c r="P2674" s="132"/>
      <c r="Q2674" s="261"/>
      <c r="R2674" s="92"/>
    </row>
    <row r="2675" spans="3:18" x14ac:dyDescent="0.25">
      <c r="C2675" s="263"/>
      <c r="D2675" s="157"/>
      <c r="E2675" s="44"/>
      <c r="F2675" s="146"/>
      <c r="G2675" s="1"/>
      <c r="H2675" s="161"/>
      <c r="I2675" s="37"/>
      <c r="J2675" s="135"/>
      <c r="K2675" s="112"/>
      <c r="L2675" s="37"/>
      <c r="M2675" s="37"/>
      <c r="N2675" s="37"/>
      <c r="O2675" s="130"/>
      <c r="P2675" s="132"/>
      <c r="Q2675" s="261"/>
      <c r="R2675" s="92"/>
    </row>
    <row r="2676" spans="3:18" x14ac:dyDescent="0.25">
      <c r="C2676" s="263"/>
      <c r="D2676" s="157"/>
      <c r="E2676" s="44"/>
      <c r="F2676" s="146"/>
      <c r="G2676" s="1"/>
      <c r="H2676" s="161"/>
      <c r="I2676" s="37"/>
      <c r="J2676" s="135"/>
      <c r="K2676" s="112"/>
      <c r="L2676" s="37"/>
      <c r="M2676" s="37"/>
      <c r="N2676" s="37"/>
      <c r="O2676" s="130"/>
      <c r="P2676" s="132"/>
      <c r="Q2676" s="261"/>
      <c r="R2676" s="92"/>
    </row>
    <row r="2677" spans="3:18" x14ac:dyDescent="0.25">
      <c r="C2677" s="263"/>
      <c r="D2677" s="157"/>
      <c r="E2677" s="44"/>
      <c r="F2677" s="146"/>
      <c r="G2677" s="1"/>
      <c r="H2677" s="161"/>
      <c r="I2677" s="37"/>
      <c r="J2677" s="135"/>
      <c r="K2677" s="112"/>
      <c r="L2677" s="37"/>
      <c r="M2677" s="37"/>
      <c r="N2677" s="37"/>
      <c r="O2677" s="130"/>
      <c r="P2677" s="132"/>
      <c r="Q2677" s="261"/>
      <c r="R2677" s="92"/>
    </row>
    <row r="2678" spans="3:18" x14ac:dyDescent="0.25">
      <c r="C2678" s="263"/>
      <c r="D2678" s="157"/>
      <c r="E2678" s="44"/>
      <c r="F2678" s="146"/>
      <c r="G2678" s="1"/>
      <c r="H2678" s="161"/>
      <c r="I2678" s="37"/>
      <c r="J2678" s="135"/>
      <c r="K2678" s="112"/>
      <c r="L2678" s="37"/>
      <c r="M2678" s="37"/>
      <c r="N2678" s="37"/>
      <c r="O2678" s="130"/>
      <c r="P2678" s="132"/>
      <c r="Q2678" s="261"/>
      <c r="R2678" s="92"/>
    </row>
    <row r="2679" spans="3:18" x14ac:dyDescent="0.25">
      <c r="C2679" s="263"/>
      <c r="D2679" s="157"/>
      <c r="E2679" s="44"/>
      <c r="F2679" s="146"/>
      <c r="G2679" s="1"/>
      <c r="H2679" s="161"/>
      <c r="I2679" s="37"/>
      <c r="J2679" s="135"/>
      <c r="K2679" s="112"/>
      <c r="L2679" s="37"/>
      <c r="M2679" s="37"/>
      <c r="N2679" s="37"/>
      <c r="O2679" s="130"/>
      <c r="P2679" s="132"/>
      <c r="Q2679" s="261"/>
      <c r="R2679" s="92"/>
    </row>
    <row r="2680" spans="3:18" x14ac:dyDescent="0.25">
      <c r="C2680" s="263"/>
      <c r="D2680" s="157"/>
      <c r="E2680" s="44"/>
      <c r="F2680" s="146"/>
      <c r="G2680" s="1"/>
      <c r="H2680" s="161"/>
      <c r="I2680" s="37"/>
      <c r="J2680" s="135"/>
      <c r="K2680" s="112"/>
      <c r="L2680" s="37"/>
      <c r="M2680" s="37"/>
      <c r="N2680" s="37"/>
      <c r="O2680" s="130"/>
      <c r="P2680" s="132"/>
      <c r="Q2680" s="261"/>
      <c r="R2680" s="92"/>
    </row>
    <row r="2681" spans="3:18" x14ac:dyDescent="0.25">
      <c r="C2681" s="263"/>
      <c r="D2681" s="157"/>
      <c r="E2681" s="44"/>
      <c r="F2681" s="146"/>
      <c r="G2681" s="1"/>
      <c r="H2681" s="161"/>
      <c r="I2681" s="37"/>
      <c r="J2681" s="135"/>
      <c r="K2681" s="112"/>
      <c r="L2681" s="37"/>
      <c r="M2681" s="37"/>
      <c r="N2681" s="37"/>
      <c r="O2681" s="130"/>
      <c r="P2681" s="132"/>
      <c r="Q2681" s="261"/>
      <c r="R2681" s="92"/>
    </row>
    <row r="2682" spans="3:18" x14ac:dyDescent="0.25">
      <c r="C2682" s="263"/>
      <c r="D2682" s="157"/>
      <c r="E2682" s="44"/>
      <c r="F2682" s="146"/>
      <c r="G2682" s="1"/>
      <c r="H2682" s="161"/>
      <c r="I2682" s="37"/>
      <c r="J2682" s="135"/>
      <c r="K2682" s="112"/>
      <c r="L2682" s="37"/>
      <c r="M2682" s="37"/>
      <c r="N2682" s="37"/>
      <c r="O2682" s="130"/>
      <c r="P2682" s="132"/>
      <c r="Q2682" s="261"/>
      <c r="R2682" s="92"/>
    </row>
    <row r="2683" spans="3:18" x14ac:dyDescent="0.25">
      <c r="C2683" s="263"/>
      <c r="D2683" s="157"/>
      <c r="E2683" s="44"/>
      <c r="F2683" s="146"/>
      <c r="G2683" s="1"/>
      <c r="H2683" s="161"/>
      <c r="I2683" s="37"/>
      <c r="J2683" s="135"/>
      <c r="K2683" s="112"/>
      <c r="L2683" s="37"/>
      <c r="M2683" s="37"/>
      <c r="N2683" s="37"/>
      <c r="O2683" s="130"/>
      <c r="P2683" s="132"/>
      <c r="Q2683" s="261"/>
      <c r="R2683" s="92"/>
    </row>
    <row r="2684" spans="3:18" x14ac:dyDescent="0.25">
      <c r="C2684" s="263"/>
      <c r="D2684" s="157"/>
      <c r="E2684" s="44"/>
      <c r="F2684" s="146"/>
      <c r="G2684" s="1"/>
      <c r="H2684" s="161"/>
      <c r="I2684" s="37"/>
      <c r="J2684" s="135"/>
      <c r="K2684" s="112"/>
      <c r="L2684" s="37"/>
      <c r="M2684" s="37"/>
      <c r="N2684" s="37"/>
      <c r="O2684" s="130"/>
      <c r="P2684" s="132"/>
      <c r="Q2684" s="261"/>
      <c r="R2684" s="92"/>
    </row>
    <row r="2685" spans="3:18" x14ac:dyDescent="0.25">
      <c r="C2685" s="263"/>
      <c r="D2685" s="157"/>
      <c r="E2685" s="44"/>
      <c r="F2685" s="146"/>
      <c r="G2685" s="1"/>
      <c r="H2685" s="161"/>
      <c r="I2685" s="37"/>
      <c r="J2685" s="135"/>
      <c r="K2685" s="112"/>
      <c r="L2685" s="37"/>
      <c r="M2685" s="37"/>
      <c r="N2685" s="37"/>
      <c r="O2685" s="130"/>
      <c r="P2685" s="132"/>
      <c r="Q2685" s="261"/>
      <c r="R2685" s="92"/>
    </row>
    <row r="2686" spans="3:18" x14ac:dyDescent="0.25">
      <c r="C2686" s="263"/>
      <c r="D2686" s="157"/>
      <c r="E2686" s="44"/>
      <c r="F2686" s="146"/>
      <c r="G2686" s="1"/>
      <c r="H2686" s="161"/>
      <c r="I2686" s="37"/>
      <c r="J2686" s="135"/>
      <c r="K2686" s="112"/>
      <c r="L2686" s="37"/>
      <c r="M2686" s="37"/>
      <c r="N2686" s="37"/>
      <c r="O2686" s="130"/>
      <c r="P2686" s="132"/>
      <c r="Q2686" s="261"/>
      <c r="R2686" s="92"/>
    </row>
    <row r="2687" spans="3:18" x14ac:dyDescent="0.25">
      <c r="C2687" s="263"/>
      <c r="D2687" s="157"/>
      <c r="E2687" s="44"/>
      <c r="F2687" s="146"/>
      <c r="G2687" s="1"/>
      <c r="H2687" s="161"/>
      <c r="I2687" s="37"/>
      <c r="J2687" s="135"/>
      <c r="K2687" s="112"/>
      <c r="L2687" s="37"/>
      <c r="M2687" s="37"/>
      <c r="N2687" s="37"/>
      <c r="O2687" s="130"/>
      <c r="P2687" s="132"/>
      <c r="Q2687" s="261"/>
      <c r="R2687" s="92"/>
    </row>
    <row r="2688" spans="3:18" x14ac:dyDescent="0.25">
      <c r="C2688" s="263"/>
      <c r="D2688" s="157"/>
      <c r="E2688" s="44"/>
      <c r="F2688" s="146"/>
      <c r="G2688" s="1"/>
      <c r="H2688" s="161"/>
      <c r="I2688" s="37"/>
      <c r="J2688" s="135"/>
      <c r="K2688" s="112"/>
      <c r="L2688" s="37"/>
      <c r="M2688" s="37"/>
      <c r="N2688" s="37"/>
      <c r="O2688" s="130"/>
      <c r="P2688" s="132"/>
      <c r="Q2688" s="261"/>
      <c r="R2688" s="92"/>
    </row>
    <row r="2689" spans="3:18" x14ac:dyDescent="0.25">
      <c r="C2689" s="263"/>
      <c r="D2689" s="157"/>
      <c r="E2689" s="44"/>
      <c r="F2689" s="146"/>
      <c r="G2689" s="1"/>
      <c r="H2689" s="161"/>
      <c r="I2689" s="37"/>
      <c r="J2689" s="135"/>
      <c r="K2689" s="112"/>
      <c r="L2689" s="37"/>
      <c r="M2689" s="37"/>
      <c r="N2689" s="37"/>
      <c r="O2689" s="130"/>
      <c r="P2689" s="132"/>
      <c r="Q2689" s="261"/>
      <c r="R2689" s="92"/>
    </row>
    <row r="2690" spans="3:18" x14ac:dyDescent="0.25">
      <c r="C2690" s="263"/>
      <c r="D2690" s="157"/>
      <c r="E2690" s="44"/>
      <c r="F2690" s="146"/>
      <c r="G2690" s="1"/>
      <c r="H2690" s="161"/>
      <c r="I2690" s="37"/>
      <c r="J2690" s="135"/>
      <c r="K2690" s="112"/>
      <c r="L2690" s="37"/>
      <c r="M2690" s="37"/>
      <c r="N2690" s="37"/>
      <c r="O2690" s="130"/>
      <c r="P2690" s="132"/>
      <c r="Q2690" s="261"/>
      <c r="R2690" s="92"/>
    </row>
    <row r="2691" spans="3:18" x14ac:dyDescent="0.25">
      <c r="C2691" s="263"/>
      <c r="D2691" s="157"/>
      <c r="E2691" s="44"/>
      <c r="F2691" s="146"/>
      <c r="G2691" s="1"/>
      <c r="H2691" s="161"/>
      <c r="I2691" s="37"/>
      <c r="J2691" s="135"/>
      <c r="K2691" s="112"/>
      <c r="L2691" s="37"/>
      <c r="M2691" s="37"/>
      <c r="N2691" s="37"/>
      <c r="O2691" s="130"/>
      <c r="P2691" s="132"/>
      <c r="Q2691" s="261"/>
      <c r="R2691" s="92"/>
    </row>
    <row r="2692" spans="3:18" x14ac:dyDescent="0.25">
      <c r="C2692" s="263"/>
      <c r="D2692" s="157"/>
      <c r="E2692" s="44"/>
      <c r="F2692" s="146"/>
      <c r="G2692" s="1"/>
      <c r="H2692" s="161"/>
      <c r="I2692" s="37"/>
      <c r="J2692" s="135"/>
      <c r="K2692" s="112"/>
      <c r="L2692" s="37"/>
      <c r="M2692" s="37"/>
      <c r="N2692" s="37"/>
      <c r="O2692" s="130"/>
      <c r="P2692" s="132"/>
      <c r="Q2692" s="261"/>
      <c r="R2692" s="92"/>
    </row>
    <row r="2693" spans="3:18" x14ac:dyDescent="0.25">
      <c r="C2693" s="263"/>
      <c r="D2693" s="157"/>
      <c r="E2693" s="44"/>
      <c r="F2693" s="146"/>
      <c r="G2693" s="1"/>
      <c r="H2693" s="161"/>
      <c r="I2693" s="37"/>
      <c r="J2693" s="135"/>
      <c r="K2693" s="112"/>
      <c r="L2693" s="37"/>
      <c r="M2693" s="37"/>
      <c r="N2693" s="37"/>
      <c r="O2693" s="130"/>
      <c r="P2693" s="132"/>
      <c r="Q2693" s="261"/>
      <c r="R2693" s="92"/>
    </row>
    <row r="2694" spans="3:18" x14ac:dyDescent="0.25">
      <c r="C2694" s="263"/>
      <c r="D2694" s="157"/>
      <c r="E2694" s="44"/>
      <c r="F2694" s="146"/>
      <c r="G2694" s="1"/>
      <c r="H2694" s="161"/>
      <c r="I2694" s="37"/>
      <c r="J2694" s="135"/>
      <c r="K2694" s="112"/>
      <c r="L2694" s="37"/>
      <c r="M2694" s="37"/>
      <c r="N2694" s="37"/>
      <c r="O2694" s="130"/>
      <c r="P2694" s="132"/>
      <c r="Q2694" s="261"/>
      <c r="R2694" s="92"/>
    </row>
    <row r="2695" spans="3:18" x14ac:dyDescent="0.25">
      <c r="C2695" s="263"/>
      <c r="D2695" s="157"/>
      <c r="E2695" s="44"/>
      <c r="F2695" s="146"/>
      <c r="G2695" s="1"/>
      <c r="H2695" s="161"/>
      <c r="I2695" s="37"/>
      <c r="J2695" s="135"/>
      <c r="K2695" s="112"/>
      <c r="L2695" s="37"/>
      <c r="M2695" s="37"/>
      <c r="N2695" s="37"/>
      <c r="O2695" s="130"/>
      <c r="P2695" s="132"/>
      <c r="Q2695" s="261"/>
      <c r="R2695" s="92"/>
    </row>
    <row r="2696" spans="3:18" x14ac:dyDescent="0.25">
      <c r="C2696" s="263"/>
      <c r="D2696" s="157"/>
      <c r="E2696" s="44"/>
      <c r="F2696" s="146"/>
      <c r="G2696" s="1"/>
      <c r="H2696" s="161"/>
      <c r="I2696" s="37"/>
      <c r="J2696" s="135"/>
      <c r="K2696" s="112"/>
      <c r="L2696" s="37"/>
      <c r="M2696" s="37"/>
      <c r="N2696" s="37"/>
      <c r="O2696" s="130"/>
      <c r="P2696" s="132"/>
      <c r="Q2696" s="261"/>
      <c r="R2696" s="92"/>
    </row>
    <row r="2697" spans="3:18" x14ac:dyDescent="0.25">
      <c r="C2697" s="263"/>
      <c r="D2697" s="157"/>
      <c r="E2697" s="44"/>
      <c r="F2697" s="146"/>
      <c r="G2697" s="1"/>
      <c r="H2697" s="161"/>
      <c r="I2697" s="37"/>
      <c r="J2697" s="135"/>
      <c r="K2697" s="112"/>
      <c r="L2697" s="37"/>
      <c r="M2697" s="37"/>
      <c r="N2697" s="37"/>
      <c r="O2697" s="130"/>
      <c r="P2697" s="132"/>
      <c r="Q2697" s="261"/>
      <c r="R2697" s="92"/>
    </row>
    <row r="2698" spans="3:18" x14ac:dyDescent="0.25">
      <c r="C2698" s="263"/>
      <c r="D2698" s="157"/>
      <c r="E2698" s="44"/>
      <c r="F2698" s="146"/>
      <c r="G2698" s="1"/>
      <c r="H2698" s="161"/>
      <c r="I2698" s="37"/>
      <c r="J2698" s="135"/>
      <c r="K2698" s="112"/>
      <c r="L2698" s="37"/>
      <c r="M2698" s="37"/>
      <c r="N2698" s="37"/>
      <c r="O2698" s="130"/>
      <c r="P2698" s="132"/>
      <c r="Q2698" s="261"/>
      <c r="R2698" s="92"/>
    </row>
    <row r="2699" spans="3:18" x14ac:dyDescent="0.25">
      <c r="C2699" s="263"/>
      <c r="D2699" s="157"/>
      <c r="E2699" s="44"/>
      <c r="F2699" s="146"/>
      <c r="G2699" s="1"/>
      <c r="H2699" s="161"/>
      <c r="I2699" s="37"/>
      <c r="J2699" s="135"/>
      <c r="K2699" s="112"/>
      <c r="L2699" s="37"/>
      <c r="M2699" s="37"/>
      <c r="N2699" s="37"/>
      <c r="O2699" s="130"/>
      <c r="P2699" s="132"/>
      <c r="Q2699" s="261"/>
      <c r="R2699" s="92"/>
    </row>
    <row r="2700" spans="3:18" x14ac:dyDescent="0.25">
      <c r="C2700" s="263"/>
      <c r="D2700" s="157"/>
      <c r="E2700" s="44"/>
      <c r="F2700" s="146"/>
      <c r="G2700" s="1"/>
      <c r="H2700" s="161"/>
      <c r="I2700" s="37"/>
      <c r="J2700" s="135"/>
      <c r="K2700" s="112"/>
      <c r="L2700" s="37"/>
      <c r="M2700" s="37"/>
      <c r="N2700" s="37"/>
      <c r="O2700" s="130"/>
      <c r="P2700" s="132"/>
      <c r="Q2700" s="261"/>
      <c r="R2700" s="92"/>
    </row>
    <row r="2701" spans="3:18" x14ac:dyDescent="0.25">
      <c r="C2701" s="263"/>
      <c r="D2701" s="157"/>
      <c r="E2701" s="44"/>
      <c r="F2701" s="146"/>
      <c r="G2701" s="1"/>
      <c r="H2701" s="161"/>
      <c r="I2701" s="37"/>
      <c r="J2701" s="135"/>
      <c r="K2701" s="112"/>
      <c r="L2701" s="37"/>
      <c r="M2701" s="37"/>
      <c r="N2701" s="37"/>
      <c r="O2701" s="130"/>
      <c r="P2701" s="132"/>
      <c r="Q2701" s="261"/>
      <c r="R2701" s="92"/>
    </row>
    <row r="2702" spans="3:18" x14ac:dyDescent="0.25">
      <c r="C2702" s="263"/>
      <c r="D2702" s="157"/>
      <c r="E2702" s="44"/>
      <c r="F2702" s="146"/>
      <c r="G2702" s="1"/>
      <c r="H2702" s="161"/>
      <c r="I2702" s="37"/>
      <c r="J2702" s="135"/>
      <c r="K2702" s="112"/>
      <c r="L2702" s="37"/>
      <c r="M2702" s="37"/>
      <c r="N2702" s="37"/>
      <c r="O2702" s="130"/>
      <c r="P2702" s="132"/>
      <c r="Q2702" s="261"/>
      <c r="R2702" s="92"/>
    </row>
    <row r="2703" spans="3:18" x14ac:dyDescent="0.25">
      <c r="C2703" s="263"/>
      <c r="D2703" s="157"/>
      <c r="E2703" s="44"/>
      <c r="F2703" s="146"/>
      <c r="G2703" s="1"/>
      <c r="H2703" s="161"/>
      <c r="I2703" s="37"/>
      <c r="J2703" s="135"/>
      <c r="K2703" s="112"/>
      <c r="L2703" s="37"/>
      <c r="M2703" s="37"/>
      <c r="N2703" s="37"/>
      <c r="O2703" s="130"/>
      <c r="P2703" s="132"/>
      <c r="Q2703" s="261"/>
      <c r="R2703" s="92"/>
    </row>
    <row r="2704" spans="3:18" x14ac:dyDescent="0.25">
      <c r="C2704" s="263"/>
      <c r="D2704" s="157"/>
      <c r="E2704" s="44"/>
      <c r="F2704" s="146"/>
      <c r="G2704" s="1"/>
      <c r="H2704" s="161"/>
      <c r="I2704" s="37"/>
      <c r="J2704" s="135"/>
      <c r="K2704" s="112"/>
      <c r="L2704" s="37"/>
      <c r="M2704" s="37"/>
      <c r="N2704" s="37"/>
      <c r="O2704" s="130"/>
      <c r="P2704" s="132"/>
      <c r="Q2704" s="261"/>
      <c r="R2704" s="92"/>
    </row>
    <row r="2705" spans="3:18" x14ac:dyDescent="0.25">
      <c r="C2705" s="263"/>
      <c r="D2705" s="157"/>
      <c r="E2705" s="44"/>
      <c r="F2705" s="146"/>
      <c r="G2705" s="1"/>
      <c r="H2705" s="161"/>
      <c r="I2705" s="37"/>
      <c r="J2705" s="135"/>
      <c r="K2705" s="112"/>
      <c r="L2705" s="37"/>
      <c r="M2705" s="37"/>
      <c r="N2705" s="37"/>
      <c r="O2705" s="130"/>
      <c r="P2705" s="132"/>
      <c r="Q2705" s="261"/>
      <c r="R2705" s="92"/>
    </row>
    <row r="2706" spans="3:18" x14ac:dyDescent="0.25">
      <c r="C2706" s="263"/>
      <c r="D2706" s="157"/>
      <c r="E2706" s="44"/>
      <c r="F2706" s="146"/>
      <c r="G2706" s="1"/>
      <c r="H2706" s="161"/>
      <c r="I2706" s="37"/>
      <c r="J2706" s="135"/>
      <c r="K2706" s="112"/>
      <c r="L2706" s="37"/>
      <c r="M2706" s="37"/>
      <c r="N2706" s="37"/>
      <c r="O2706" s="130"/>
      <c r="P2706" s="132"/>
      <c r="Q2706" s="261"/>
      <c r="R2706" s="92"/>
    </row>
    <row r="2707" spans="3:18" x14ac:dyDescent="0.25">
      <c r="C2707" s="263"/>
      <c r="D2707" s="157"/>
      <c r="E2707" s="44"/>
      <c r="F2707" s="146"/>
      <c r="G2707" s="1"/>
      <c r="H2707" s="161"/>
      <c r="I2707" s="37"/>
      <c r="J2707" s="135"/>
      <c r="K2707" s="112"/>
      <c r="L2707" s="37"/>
      <c r="M2707" s="37"/>
      <c r="N2707" s="37"/>
      <c r="O2707" s="130"/>
      <c r="P2707" s="132"/>
      <c r="Q2707" s="261"/>
      <c r="R2707" s="92"/>
    </row>
    <row r="2708" spans="3:18" x14ac:dyDescent="0.25">
      <c r="C2708" s="263"/>
      <c r="D2708" s="157"/>
      <c r="E2708" s="44"/>
      <c r="F2708" s="146"/>
      <c r="G2708" s="1"/>
      <c r="H2708" s="161"/>
      <c r="I2708" s="37"/>
      <c r="J2708" s="135"/>
      <c r="K2708" s="112"/>
      <c r="L2708" s="37"/>
      <c r="M2708" s="37"/>
      <c r="N2708" s="37"/>
      <c r="O2708" s="130"/>
      <c r="P2708" s="132"/>
      <c r="Q2708" s="261"/>
      <c r="R2708" s="92"/>
    </row>
    <row r="2709" spans="3:18" x14ac:dyDescent="0.25">
      <c r="C2709" s="263"/>
      <c r="D2709" s="157"/>
      <c r="E2709" s="44"/>
      <c r="F2709" s="146"/>
      <c r="G2709" s="1"/>
      <c r="H2709" s="161"/>
      <c r="I2709" s="37"/>
      <c r="J2709" s="135"/>
      <c r="K2709" s="112"/>
      <c r="L2709" s="37"/>
      <c r="M2709" s="37"/>
      <c r="N2709" s="37"/>
      <c r="O2709" s="130"/>
      <c r="P2709" s="132"/>
      <c r="Q2709" s="261"/>
      <c r="R2709" s="92"/>
    </row>
    <row r="2710" spans="3:18" x14ac:dyDescent="0.25">
      <c r="C2710" s="263"/>
      <c r="D2710" s="157"/>
      <c r="E2710" s="44"/>
      <c r="F2710" s="146"/>
      <c r="G2710" s="1"/>
      <c r="H2710" s="161"/>
      <c r="I2710" s="37"/>
      <c r="J2710" s="135"/>
      <c r="K2710" s="112"/>
      <c r="L2710" s="37"/>
      <c r="M2710" s="37"/>
      <c r="N2710" s="37"/>
      <c r="O2710" s="130"/>
      <c r="P2710" s="132"/>
      <c r="Q2710" s="261"/>
      <c r="R2710" s="92"/>
    </row>
    <row r="2711" spans="3:18" x14ac:dyDescent="0.25">
      <c r="C2711" s="263"/>
      <c r="D2711" s="157"/>
      <c r="E2711" s="44"/>
      <c r="F2711" s="146"/>
      <c r="G2711" s="1"/>
      <c r="H2711" s="161"/>
      <c r="I2711" s="37"/>
      <c r="J2711" s="135"/>
      <c r="K2711" s="112"/>
      <c r="L2711" s="37"/>
      <c r="M2711" s="37"/>
      <c r="N2711" s="37"/>
      <c r="O2711" s="130"/>
      <c r="P2711" s="132"/>
      <c r="Q2711" s="261"/>
      <c r="R2711" s="92"/>
    </row>
    <row r="2712" spans="3:18" x14ac:dyDescent="0.25">
      <c r="C2712" s="263"/>
      <c r="D2712" s="157"/>
      <c r="E2712" s="44"/>
      <c r="F2712" s="146"/>
      <c r="G2712" s="1"/>
      <c r="H2712" s="161"/>
      <c r="I2712" s="37"/>
      <c r="J2712" s="135"/>
      <c r="K2712" s="112"/>
      <c r="L2712" s="37"/>
      <c r="M2712" s="37"/>
      <c r="N2712" s="37"/>
      <c r="O2712" s="130"/>
      <c r="P2712" s="132"/>
      <c r="Q2712" s="261"/>
      <c r="R2712" s="92"/>
    </row>
    <row r="2713" spans="3:18" x14ac:dyDescent="0.25">
      <c r="C2713" s="263"/>
      <c r="D2713" s="157"/>
      <c r="E2713" s="44"/>
      <c r="F2713" s="146"/>
      <c r="G2713" s="1"/>
      <c r="H2713" s="161"/>
      <c r="I2713" s="37"/>
      <c r="J2713" s="135"/>
      <c r="K2713" s="112"/>
      <c r="L2713" s="37"/>
      <c r="M2713" s="37"/>
      <c r="N2713" s="37"/>
      <c r="O2713" s="130"/>
      <c r="P2713" s="132"/>
      <c r="Q2713" s="261"/>
      <c r="R2713" s="92"/>
    </row>
    <row r="2714" spans="3:18" x14ac:dyDescent="0.25">
      <c r="C2714" s="263"/>
      <c r="D2714" s="157"/>
      <c r="E2714" s="44"/>
      <c r="F2714" s="146"/>
      <c r="G2714" s="1"/>
      <c r="H2714" s="161"/>
      <c r="I2714" s="37"/>
      <c r="J2714" s="135"/>
      <c r="K2714" s="112"/>
      <c r="L2714" s="37"/>
      <c r="M2714" s="37"/>
      <c r="N2714" s="37"/>
      <c r="O2714" s="130"/>
      <c r="P2714" s="132"/>
      <c r="Q2714" s="261"/>
      <c r="R2714" s="92"/>
    </row>
    <row r="2715" spans="3:18" x14ac:dyDescent="0.25">
      <c r="C2715" s="263"/>
      <c r="D2715" s="157"/>
      <c r="E2715" s="44"/>
      <c r="F2715" s="146"/>
      <c r="G2715" s="1"/>
      <c r="H2715" s="161"/>
      <c r="I2715" s="37"/>
      <c r="J2715" s="135"/>
      <c r="K2715" s="112"/>
      <c r="L2715" s="37"/>
      <c r="M2715" s="37"/>
      <c r="N2715" s="37"/>
      <c r="O2715" s="130"/>
      <c r="P2715" s="132"/>
      <c r="Q2715" s="261"/>
      <c r="R2715" s="92"/>
    </row>
    <row r="2716" spans="3:18" x14ac:dyDescent="0.25">
      <c r="C2716" s="263"/>
      <c r="D2716" s="157"/>
      <c r="E2716" s="44"/>
      <c r="F2716" s="146"/>
      <c r="G2716" s="1"/>
      <c r="H2716" s="161"/>
      <c r="I2716" s="37"/>
      <c r="J2716" s="135"/>
      <c r="K2716" s="112"/>
      <c r="L2716" s="37"/>
      <c r="M2716" s="37"/>
      <c r="N2716" s="37"/>
      <c r="O2716" s="130"/>
      <c r="P2716" s="132"/>
      <c r="Q2716" s="261"/>
      <c r="R2716" s="92"/>
    </row>
    <row r="2717" spans="3:18" x14ac:dyDescent="0.25">
      <c r="C2717" s="263"/>
      <c r="D2717" s="157"/>
      <c r="E2717" s="44"/>
      <c r="F2717" s="146"/>
      <c r="G2717" s="1"/>
      <c r="H2717" s="161"/>
      <c r="I2717" s="37"/>
      <c r="J2717" s="135"/>
      <c r="K2717" s="112"/>
      <c r="L2717" s="37"/>
      <c r="M2717" s="37"/>
      <c r="N2717" s="37"/>
      <c r="O2717" s="130"/>
      <c r="P2717" s="132"/>
      <c r="Q2717" s="261"/>
      <c r="R2717" s="92"/>
    </row>
    <row r="2718" spans="3:18" x14ac:dyDescent="0.25">
      <c r="C2718" s="263"/>
      <c r="D2718" s="157"/>
      <c r="E2718" s="44"/>
      <c r="F2718" s="146"/>
      <c r="G2718" s="1"/>
      <c r="H2718" s="161"/>
      <c r="I2718" s="37"/>
      <c r="J2718" s="135"/>
      <c r="K2718" s="112"/>
      <c r="L2718" s="37"/>
      <c r="M2718" s="37"/>
      <c r="N2718" s="37"/>
      <c r="O2718" s="130"/>
      <c r="P2718" s="132"/>
      <c r="Q2718" s="261"/>
      <c r="R2718" s="92"/>
    </row>
    <row r="2719" spans="3:18" x14ac:dyDescent="0.25">
      <c r="C2719" s="263"/>
      <c r="D2719" s="157"/>
      <c r="E2719" s="44"/>
      <c r="F2719" s="146"/>
      <c r="G2719" s="1"/>
      <c r="H2719" s="161"/>
      <c r="I2719" s="37"/>
      <c r="J2719" s="135"/>
      <c r="K2719" s="112"/>
      <c r="L2719" s="37"/>
      <c r="M2719" s="37"/>
      <c r="N2719" s="37"/>
      <c r="O2719" s="130"/>
      <c r="P2719" s="132"/>
      <c r="Q2719" s="261"/>
      <c r="R2719" s="92"/>
    </row>
    <row r="2720" spans="3:18" x14ac:dyDescent="0.25">
      <c r="C2720" s="263"/>
      <c r="D2720" s="157"/>
      <c r="E2720" s="44"/>
      <c r="F2720" s="146"/>
      <c r="G2720" s="1"/>
      <c r="H2720" s="161"/>
      <c r="I2720" s="37"/>
      <c r="J2720" s="135"/>
      <c r="K2720" s="112"/>
      <c r="L2720" s="37"/>
      <c r="M2720" s="37"/>
      <c r="N2720" s="37"/>
      <c r="O2720" s="130"/>
      <c r="P2720" s="132"/>
      <c r="Q2720" s="261"/>
      <c r="R2720" s="92"/>
    </row>
    <row r="2721" spans="3:18" x14ac:dyDescent="0.25">
      <c r="C2721" s="263"/>
      <c r="D2721" s="157"/>
      <c r="E2721" s="44"/>
      <c r="F2721" s="146"/>
      <c r="G2721" s="1"/>
      <c r="H2721" s="161"/>
      <c r="I2721" s="37"/>
      <c r="J2721" s="135"/>
      <c r="K2721" s="112"/>
      <c r="L2721" s="37"/>
      <c r="M2721" s="37"/>
      <c r="N2721" s="37"/>
      <c r="O2721" s="130"/>
      <c r="P2721" s="132"/>
      <c r="Q2721" s="261"/>
      <c r="R2721" s="92"/>
    </row>
    <row r="2722" spans="3:18" x14ac:dyDescent="0.25">
      <c r="C2722" s="263"/>
      <c r="D2722" s="157"/>
      <c r="E2722" s="44"/>
      <c r="F2722" s="146"/>
      <c r="G2722" s="1"/>
      <c r="H2722" s="161"/>
      <c r="I2722" s="37"/>
      <c r="J2722" s="135"/>
      <c r="K2722" s="112"/>
      <c r="L2722" s="37"/>
      <c r="M2722" s="37"/>
      <c r="N2722" s="37"/>
      <c r="O2722" s="130"/>
      <c r="P2722" s="132"/>
      <c r="Q2722" s="261"/>
      <c r="R2722" s="92"/>
    </row>
    <row r="2723" spans="3:18" x14ac:dyDescent="0.25">
      <c r="C2723" s="263"/>
      <c r="D2723" s="157"/>
      <c r="E2723" s="44"/>
      <c r="F2723" s="146"/>
      <c r="G2723" s="1"/>
      <c r="H2723" s="161"/>
      <c r="I2723" s="37"/>
      <c r="J2723" s="135"/>
      <c r="K2723" s="112"/>
      <c r="L2723" s="37"/>
      <c r="M2723" s="37"/>
      <c r="N2723" s="37"/>
      <c r="O2723" s="130"/>
      <c r="P2723" s="132"/>
      <c r="Q2723" s="261"/>
      <c r="R2723" s="92"/>
    </row>
    <row r="2724" spans="3:18" x14ac:dyDescent="0.25">
      <c r="C2724" s="263"/>
      <c r="D2724" s="157"/>
      <c r="E2724" s="44"/>
      <c r="F2724" s="146"/>
      <c r="G2724" s="1"/>
      <c r="H2724" s="161"/>
      <c r="I2724" s="37"/>
      <c r="J2724" s="135"/>
      <c r="K2724" s="112"/>
      <c r="L2724" s="37"/>
      <c r="M2724" s="37"/>
      <c r="N2724" s="37"/>
      <c r="O2724" s="130"/>
      <c r="P2724" s="132"/>
      <c r="Q2724" s="261"/>
      <c r="R2724" s="92"/>
    </row>
    <row r="2725" spans="3:18" x14ac:dyDescent="0.25">
      <c r="C2725" s="263"/>
      <c r="D2725" s="157"/>
      <c r="E2725" s="44"/>
      <c r="F2725" s="146"/>
      <c r="G2725" s="1"/>
      <c r="H2725" s="161"/>
      <c r="I2725" s="37"/>
      <c r="J2725" s="135"/>
      <c r="K2725" s="112"/>
      <c r="L2725" s="37"/>
      <c r="M2725" s="37"/>
      <c r="N2725" s="37"/>
      <c r="O2725" s="130"/>
      <c r="P2725" s="132"/>
      <c r="Q2725" s="261"/>
      <c r="R2725" s="92"/>
    </row>
    <row r="2726" spans="3:18" x14ac:dyDescent="0.25">
      <c r="C2726" s="263"/>
      <c r="D2726" s="157"/>
      <c r="E2726" s="44"/>
      <c r="F2726" s="146"/>
      <c r="G2726" s="1"/>
      <c r="H2726" s="161"/>
      <c r="I2726" s="37"/>
      <c r="J2726" s="135"/>
      <c r="K2726" s="112"/>
      <c r="L2726" s="37"/>
      <c r="M2726" s="37"/>
      <c r="N2726" s="37"/>
      <c r="O2726" s="130"/>
      <c r="P2726" s="132"/>
      <c r="Q2726" s="261"/>
      <c r="R2726" s="92"/>
    </row>
    <row r="2727" spans="3:18" x14ac:dyDescent="0.25">
      <c r="C2727" s="263"/>
      <c r="D2727" s="157"/>
      <c r="E2727" s="44"/>
      <c r="F2727" s="146"/>
      <c r="G2727" s="1"/>
      <c r="H2727" s="161"/>
      <c r="I2727" s="37"/>
      <c r="J2727" s="135"/>
      <c r="K2727" s="112"/>
      <c r="L2727" s="37"/>
      <c r="M2727" s="37"/>
      <c r="N2727" s="37"/>
      <c r="O2727" s="130"/>
      <c r="P2727" s="132"/>
      <c r="Q2727" s="261"/>
      <c r="R2727" s="92"/>
    </row>
    <row r="2728" spans="3:18" x14ac:dyDescent="0.25">
      <c r="C2728" s="263"/>
      <c r="D2728" s="157"/>
      <c r="E2728" s="44"/>
      <c r="F2728" s="146"/>
      <c r="G2728" s="1"/>
      <c r="H2728" s="161"/>
      <c r="I2728" s="37"/>
      <c r="J2728" s="135"/>
      <c r="K2728" s="112"/>
      <c r="L2728" s="37"/>
      <c r="M2728" s="37"/>
      <c r="N2728" s="37"/>
      <c r="O2728" s="130"/>
      <c r="P2728" s="132"/>
      <c r="Q2728" s="261"/>
      <c r="R2728" s="92"/>
    </row>
    <row r="2729" spans="3:18" x14ac:dyDescent="0.25">
      <c r="C2729" s="263"/>
      <c r="D2729" s="157"/>
      <c r="E2729" s="44"/>
      <c r="F2729" s="146"/>
      <c r="G2729" s="1"/>
      <c r="H2729" s="161"/>
      <c r="I2729" s="37"/>
      <c r="J2729" s="135"/>
      <c r="K2729" s="112"/>
      <c r="L2729" s="37"/>
      <c r="M2729" s="37"/>
      <c r="N2729" s="37"/>
      <c r="O2729" s="130"/>
      <c r="P2729" s="132"/>
      <c r="Q2729" s="261"/>
      <c r="R2729" s="92"/>
    </row>
    <row r="2730" spans="3:18" x14ac:dyDescent="0.25">
      <c r="C2730" s="263"/>
      <c r="D2730" s="157"/>
      <c r="E2730" s="44"/>
      <c r="F2730" s="146"/>
      <c r="G2730" s="1"/>
      <c r="H2730" s="161"/>
      <c r="I2730" s="37"/>
      <c r="J2730" s="135"/>
      <c r="K2730" s="112"/>
      <c r="L2730" s="37"/>
      <c r="M2730" s="37"/>
      <c r="N2730" s="37"/>
      <c r="O2730" s="130"/>
      <c r="P2730" s="132"/>
      <c r="Q2730" s="261"/>
      <c r="R2730" s="92"/>
    </row>
    <row r="2731" spans="3:18" x14ac:dyDescent="0.25">
      <c r="C2731" s="263"/>
      <c r="D2731" s="157"/>
      <c r="E2731" s="44"/>
      <c r="F2731" s="146"/>
      <c r="G2731" s="1"/>
      <c r="H2731" s="161"/>
      <c r="I2731" s="37"/>
      <c r="J2731" s="135"/>
      <c r="K2731" s="112"/>
      <c r="L2731" s="37"/>
      <c r="M2731" s="37"/>
      <c r="N2731" s="37"/>
      <c r="O2731" s="130"/>
      <c r="P2731" s="132"/>
      <c r="Q2731" s="261"/>
      <c r="R2731" s="92"/>
    </row>
    <row r="2732" spans="3:18" x14ac:dyDescent="0.25">
      <c r="C2732" s="263"/>
      <c r="D2732" s="157"/>
      <c r="E2732" s="44"/>
      <c r="F2732" s="146"/>
      <c r="G2732" s="1"/>
      <c r="H2732" s="161"/>
      <c r="I2732" s="37"/>
      <c r="J2732" s="135"/>
      <c r="K2732" s="112"/>
      <c r="L2732" s="37"/>
      <c r="M2732" s="37"/>
      <c r="N2732" s="37"/>
      <c r="O2732" s="130"/>
      <c r="P2732" s="132"/>
      <c r="Q2732" s="261"/>
      <c r="R2732" s="92"/>
    </row>
    <row r="2733" spans="3:18" x14ac:dyDescent="0.25">
      <c r="C2733" s="263"/>
      <c r="D2733" s="157"/>
      <c r="E2733" s="44"/>
      <c r="F2733" s="146"/>
      <c r="G2733" s="1"/>
      <c r="H2733" s="161"/>
      <c r="I2733" s="37"/>
      <c r="J2733" s="135"/>
      <c r="K2733" s="112"/>
      <c r="L2733" s="37"/>
      <c r="M2733" s="37"/>
      <c r="N2733" s="37"/>
      <c r="O2733" s="130"/>
      <c r="P2733" s="132"/>
      <c r="Q2733" s="261"/>
      <c r="R2733" s="92"/>
    </row>
    <row r="2734" spans="3:18" x14ac:dyDescent="0.25">
      <c r="C2734" s="263"/>
      <c r="D2734" s="157"/>
      <c r="E2734" s="44"/>
      <c r="F2734" s="146"/>
      <c r="G2734" s="1"/>
      <c r="H2734" s="161"/>
      <c r="I2734" s="37"/>
      <c r="J2734" s="135"/>
      <c r="K2734" s="112"/>
      <c r="L2734" s="37"/>
      <c r="M2734" s="37"/>
      <c r="N2734" s="37"/>
      <c r="O2734" s="130"/>
      <c r="P2734" s="132"/>
      <c r="Q2734" s="261"/>
      <c r="R2734" s="92"/>
    </row>
    <row r="2735" spans="3:18" x14ac:dyDescent="0.25">
      <c r="C2735" s="263"/>
      <c r="D2735" s="157"/>
      <c r="E2735" s="44"/>
      <c r="F2735" s="146"/>
      <c r="G2735" s="1"/>
      <c r="H2735" s="161"/>
      <c r="I2735" s="37"/>
      <c r="J2735" s="135"/>
      <c r="K2735" s="112"/>
      <c r="L2735" s="37"/>
      <c r="M2735" s="37"/>
      <c r="N2735" s="37"/>
      <c r="O2735" s="130"/>
      <c r="P2735" s="132"/>
      <c r="Q2735" s="261"/>
      <c r="R2735" s="92"/>
    </row>
    <row r="2736" spans="3:18" x14ac:dyDescent="0.25">
      <c r="C2736" s="263"/>
      <c r="D2736" s="157"/>
      <c r="E2736" s="44"/>
      <c r="F2736" s="146"/>
      <c r="G2736" s="1"/>
      <c r="H2736" s="161"/>
      <c r="I2736" s="37"/>
      <c r="J2736" s="135"/>
      <c r="K2736" s="112"/>
      <c r="L2736" s="37"/>
      <c r="M2736" s="37"/>
      <c r="N2736" s="37"/>
      <c r="O2736" s="130"/>
      <c r="P2736" s="132"/>
      <c r="Q2736" s="261"/>
      <c r="R2736" s="92"/>
    </row>
    <row r="2737" spans="3:18" x14ac:dyDescent="0.25">
      <c r="C2737" s="263"/>
      <c r="D2737" s="157"/>
      <c r="E2737" s="44"/>
      <c r="F2737" s="146"/>
      <c r="G2737" s="1"/>
      <c r="H2737" s="161"/>
      <c r="I2737" s="37"/>
      <c r="J2737" s="135"/>
      <c r="K2737" s="112"/>
      <c r="L2737" s="37"/>
      <c r="M2737" s="37"/>
      <c r="N2737" s="37"/>
      <c r="O2737" s="130"/>
      <c r="P2737" s="132"/>
      <c r="Q2737" s="261"/>
      <c r="R2737" s="92"/>
    </row>
    <row r="2738" spans="3:18" x14ac:dyDescent="0.25">
      <c r="C2738" s="263"/>
      <c r="D2738" s="157"/>
      <c r="E2738" s="44"/>
      <c r="F2738" s="146"/>
      <c r="G2738" s="1"/>
      <c r="H2738" s="161"/>
      <c r="I2738" s="37"/>
      <c r="J2738" s="135"/>
      <c r="K2738" s="112"/>
      <c r="L2738" s="37"/>
      <c r="M2738" s="37"/>
      <c r="N2738" s="37"/>
      <c r="O2738" s="130"/>
      <c r="P2738" s="132"/>
      <c r="Q2738" s="261"/>
      <c r="R2738" s="92"/>
    </row>
    <row r="2739" spans="3:18" x14ac:dyDescent="0.25">
      <c r="C2739" s="263"/>
      <c r="D2739" s="157"/>
      <c r="E2739" s="44"/>
      <c r="F2739" s="146"/>
      <c r="G2739" s="1"/>
      <c r="H2739" s="161"/>
      <c r="I2739" s="37"/>
      <c r="J2739" s="135"/>
      <c r="K2739" s="112"/>
      <c r="L2739" s="37"/>
      <c r="M2739" s="37"/>
      <c r="N2739" s="37"/>
      <c r="O2739" s="130"/>
      <c r="P2739" s="132"/>
      <c r="Q2739" s="261"/>
      <c r="R2739" s="92"/>
    </row>
    <row r="2740" spans="3:18" x14ac:dyDescent="0.25">
      <c r="C2740" s="263"/>
      <c r="D2740" s="157"/>
      <c r="E2740" s="44"/>
      <c r="F2740" s="146"/>
      <c r="G2740" s="1"/>
      <c r="H2740" s="161"/>
      <c r="I2740" s="37"/>
      <c r="J2740" s="135"/>
      <c r="K2740" s="112"/>
      <c r="L2740" s="37"/>
      <c r="M2740" s="37"/>
      <c r="N2740" s="37"/>
      <c r="O2740" s="130"/>
      <c r="P2740" s="132"/>
      <c r="Q2740" s="261"/>
      <c r="R2740" s="92"/>
    </row>
    <row r="2741" spans="3:18" x14ac:dyDescent="0.25">
      <c r="C2741" s="263"/>
      <c r="D2741" s="157"/>
      <c r="E2741" s="44"/>
      <c r="F2741" s="146"/>
      <c r="G2741" s="1"/>
      <c r="H2741" s="161"/>
      <c r="I2741" s="37"/>
      <c r="J2741" s="135"/>
      <c r="K2741" s="112"/>
      <c r="L2741" s="37"/>
      <c r="M2741" s="37"/>
      <c r="N2741" s="37"/>
      <c r="O2741" s="130"/>
      <c r="P2741" s="132"/>
      <c r="Q2741" s="261"/>
      <c r="R2741" s="92"/>
    </row>
    <row r="2742" spans="3:18" x14ac:dyDescent="0.25">
      <c r="C2742" s="263"/>
      <c r="D2742" s="157"/>
      <c r="E2742" s="44"/>
      <c r="F2742" s="146"/>
      <c r="G2742" s="1"/>
      <c r="H2742" s="161"/>
      <c r="I2742" s="37"/>
      <c r="J2742" s="135"/>
      <c r="K2742" s="112"/>
      <c r="L2742" s="37"/>
      <c r="M2742" s="37"/>
      <c r="N2742" s="37"/>
      <c r="O2742" s="130"/>
      <c r="P2742" s="132"/>
      <c r="Q2742" s="261"/>
      <c r="R2742" s="92"/>
    </row>
    <row r="2743" spans="3:18" x14ac:dyDescent="0.25">
      <c r="C2743" s="263"/>
      <c r="D2743" s="157"/>
      <c r="E2743" s="44"/>
      <c r="F2743" s="146"/>
      <c r="G2743" s="1"/>
      <c r="H2743" s="161"/>
      <c r="I2743" s="37"/>
      <c r="J2743" s="135"/>
      <c r="K2743" s="112"/>
      <c r="L2743" s="37"/>
      <c r="M2743" s="37"/>
      <c r="N2743" s="37"/>
      <c r="O2743" s="130"/>
      <c r="P2743" s="132"/>
      <c r="Q2743" s="261"/>
      <c r="R2743" s="92"/>
    </row>
    <row r="2744" spans="3:18" x14ac:dyDescent="0.25">
      <c r="C2744" s="263"/>
      <c r="D2744" s="157"/>
      <c r="E2744" s="44"/>
      <c r="F2744" s="146"/>
      <c r="G2744" s="1"/>
      <c r="H2744" s="161"/>
      <c r="I2744" s="37"/>
      <c r="J2744" s="135"/>
      <c r="K2744" s="112"/>
      <c r="L2744" s="37"/>
      <c r="M2744" s="37"/>
      <c r="N2744" s="37"/>
      <c r="O2744" s="130"/>
      <c r="P2744" s="132"/>
      <c r="Q2744" s="261"/>
      <c r="R2744" s="92"/>
    </row>
    <row r="2745" spans="3:18" x14ac:dyDescent="0.25">
      <c r="C2745" s="263"/>
      <c r="D2745" s="157"/>
      <c r="E2745" s="44"/>
      <c r="F2745" s="146"/>
      <c r="G2745" s="1"/>
      <c r="H2745" s="161"/>
      <c r="I2745" s="37"/>
      <c r="J2745" s="135"/>
      <c r="K2745" s="112"/>
      <c r="L2745" s="37"/>
      <c r="M2745" s="37"/>
      <c r="N2745" s="37"/>
      <c r="O2745" s="130"/>
      <c r="P2745" s="132"/>
      <c r="Q2745" s="261"/>
      <c r="R2745" s="92"/>
    </row>
    <row r="2746" spans="3:18" x14ac:dyDescent="0.25">
      <c r="C2746" s="263"/>
      <c r="D2746" s="157"/>
      <c r="E2746" s="44"/>
      <c r="F2746" s="146"/>
      <c r="G2746" s="1"/>
      <c r="H2746" s="161"/>
      <c r="I2746" s="37"/>
      <c r="J2746" s="135"/>
      <c r="K2746" s="112"/>
      <c r="L2746" s="37"/>
      <c r="M2746" s="37"/>
      <c r="N2746" s="37"/>
      <c r="O2746" s="130"/>
      <c r="P2746" s="132"/>
      <c r="Q2746" s="261"/>
      <c r="R2746" s="92"/>
    </row>
    <row r="2747" spans="3:18" x14ac:dyDescent="0.25">
      <c r="C2747" s="263"/>
      <c r="D2747" s="157"/>
      <c r="E2747" s="44"/>
      <c r="F2747" s="146"/>
      <c r="G2747" s="1"/>
      <c r="H2747" s="161"/>
      <c r="I2747" s="37"/>
      <c r="J2747" s="135"/>
      <c r="K2747" s="112"/>
      <c r="L2747" s="37"/>
      <c r="M2747" s="37"/>
      <c r="N2747" s="37"/>
      <c r="O2747" s="130"/>
      <c r="P2747" s="132"/>
      <c r="Q2747" s="261"/>
      <c r="R2747" s="92"/>
    </row>
    <row r="2748" spans="3:18" x14ac:dyDescent="0.25">
      <c r="C2748" s="263"/>
      <c r="D2748" s="157"/>
      <c r="E2748" s="44"/>
      <c r="F2748" s="146"/>
      <c r="G2748" s="1"/>
      <c r="H2748" s="161"/>
      <c r="I2748" s="37"/>
      <c r="J2748" s="135"/>
      <c r="K2748" s="112"/>
      <c r="L2748" s="37"/>
      <c r="M2748" s="37"/>
      <c r="N2748" s="37"/>
      <c r="O2748" s="130"/>
      <c r="P2748" s="132"/>
      <c r="Q2748" s="261"/>
      <c r="R2748" s="92"/>
    </row>
    <row r="2749" spans="3:18" x14ac:dyDescent="0.25">
      <c r="C2749" s="263"/>
      <c r="D2749" s="157"/>
      <c r="E2749" s="44"/>
      <c r="F2749" s="146"/>
      <c r="G2749" s="1"/>
      <c r="H2749" s="161"/>
      <c r="I2749" s="37"/>
      <c r="J2749" s="135"/>
      <c r="K2749" s="112"/>
      <c r="L2749" s="37"/>
      <c r="M2749" s="37"/>
      <c r="N2749" s="37"/>
      <c r="O2749" s="130"/>
      <c r="P2749" s="132"/>
      <c r="Q2749" s="261"/>
      <c r="R2749" s="92"/>
    </row>
    <row r="2750" spans="3:18" x14ac:dyDescent="0.25">
      <c r="C2750" s="263"/>
      <c r="D2750" s="157"/>
      <c r="E2750" s="44"/>
      <c r="F2750" s="146"/>
      <c r="G2750" s="1"/>
      <c r="H2750" s="161"/>
      <c r="I2750" s="37"/>
      <c r="J2750" s="135"/>
      <c r="K2750" s="112"/>
      <c r="L2750" s="37"/>
      <c r="M2750" s="37"/>
      <c r="N2750" s="37"/>
      <c r="O2750" s="130"/>
      <c r="P2750" s="132"/>
      <c r="Q2750" s="261"/>
      <c r="R2750" s="92"/>
    </row>
    <row r="2751" spans="3:18" x14ac:dyDescent="0.25">
      <c r="C2751" s="263"/>
      <c r="D2751" s="157"/>
      <c r="E2751" s="44"/>
      <c r="F2751" s="146"/>
      <c r="G2751" s="1"/>
      <c r="H2751" s="161"/>
      <c r="I2751" s="37"/>
      <c r="J2751" s="135"/>
      <c r="K2751" s="112"/>
      <c r="L2751" s="37"/>
      <c r="M2751" s="37"/>
      <c r="N2751" s="37"/>
      <c r="O2751" s="130"/>
      <c r="P2751" s="132"/>
      <c r="Q2751" s="261"/>
      <c r="R2751" s="92"/>
    </row>
    <row r="2752" spans="3:18" x14ac:dyDescent="0.25">
      <c r="C2752" s="263"/>
      <c r="D2752" s="157"/>
      <c r="E2752" s="44"/>
      <c r="F2752" s="146"/>
      <c r="G2752" s="1"/>
      <c r="H2752" s="161"/>
      <c r="I2752" s="37"/>
      <c r="J2752" s="135"/>
      <c r="K2752" s="112"/>
      <c r="L2752" s="37"/>
      <c r="M2752" s="37"/>
      <c r="N2752" s="37"/>
      <c r="O2752" s="130"/>
      <c r="P2752" s="132"/>
      <c r="Q2752" s="261"/>
      <c r="R2752" s="92"/>
    </row>
    <row r="2753" spans="3:18" x14ac:dyDescent="0.25">
      <c r="C2753" s="263"/>
      <c r="D2753" s="157"/>
      <c r="E2753" s="44"/>
      <c r="F2753" s="146"/>
      <c r="G2753" s="1"/>
      <c r="H2753" s="161"/>
      <c r="I2753" s="37"/>
      <c r="J2753" s="135"/>
      <c r="K2753" s="112"/>
      <c r="L2753" s="37"/>
      <c r="M2753" s="37"/>
      <c r="N2753" s="37"/>
      <c r="O2753" s="130"/>
      <c r="P2753" s="132"/>
      <c r="Q2753" s="261"/>
      <c r="R2753" s="92"/>
    </row>
    <row r="2754" spans="3:18" x14ac:dyDescent="0.25">
      <c r="C2754" s="263"/>
      <c r="D2754" s="157"/>
      <c r="E2754" s="44"/>
      <c r="F2754" s="146"/>
      <c r="G2754" s="1"/>
      <c r="H2754" s="161"/>
      <c r="I2754" s="37"/>
      <c r="J2754" s="135"/>
      <c r="K2754" s="112"/>
      <c r="L2754" s="37"/>
      <c r="M2754" s="37"/>
      <c r="N2754" s="37"/>
      <c r="O2754" s="130"/>
      <c r="P2754" s="132"/>
      <c r="Q2754" s="261"/>
      <c r="R2754" s="92"/>
    </row>
    <row r="2755" spans="3:18" x14ac:dyDescent="0.25">
      <c r="C2755" s="263"/>
      <c r="D2755" s="157"/>
      <c r="E2755" s="44"/>
      <c r="F2755" s="146"/>
      <c r="G2755" s="1"/>
      <c r="H2755" s="161"/>
      <c r="I2755" s="37"/>
      <c r="J2755" s="135"/>
      <c r="K2755" s="112"/>
      <c r="L2755" s="37"/>
      <c r="M2755" s="37"/>
      <c r="N2755" s="37"/>
      <c r="O2755" s="130"/>
      <c r="P2755" s="132"/>
      <c r="Q2755" s="261"/>
      <c r="R2755" s="92"/>
    </row>
    <row r="2756" spans="3:18" x14ac:dyDescent="0.25">
      <c r="C2756" s="263"/>
      <c r="D2756" s="157"/>
      <c r="E2756" s="44"/>
      <c r="F2756" s="146"/>
      <c r="G2756" s="1"/>
      <c r="H2756" s="161"/>
      <c r="I2756" s="37"/>
      <c r="J2756" s="135"/>
      <c r="K2756" s="112"/>
      <c r="L2756" s="37"/>
      <c r="M2756" s="37"/>
      <c r="N2756" s="37"/>
      <c r="O2756" s="130"/>
      <c r="P2756" s="132"/>
      <c r="Q2756" s="261"/>
      <c r="R2756" s="92"/>
    </row>
    <row r="2757" spans="3:18" x14ac:dyDescent="0.25">
      <c r="C2757" s="263"/>
      <c r="D2757" s="157"/>
      <c r="E2757" s="44"/>
      <c r="F2757" s="146"/>
      <c r="G2757" s="1"/>
      <c r="H2757" s="161"/>
      <c r="I2757" s="37"/>
      <c r="J2757" s="135"/>
      <c r="K2757" s="112"/>
      <c r="L2757" s="37"/>
      <c r="M2757" s="37"/>
      <c r="N2757" s="37"/>
      <c r="O2757" s="130"/>
      <c r="P2757" s="132"/>
      <c r="Q2757" s="261"/>
      <c r="R2757" s="92"/>
    </row>
    <row r="2758" spans="3:18" x14ac:dyDescent="0.25">
      <c r="C2758" s="263"/>
      <c r="D2758" s="157"/>
      <c r="E2758" s="44"/>
      <c r="F2758" s="146"/>
      <c r="G2758" s="1"/>
      <c r="H2758" s="161"/>
      <c r="I2758" s="37"/>
      <c r="J2758" s="135"/>
      <c r="K2758" s="112"/>
      <c r="L2758" s="37"/>
      <c r="M2758" s="37"/>
      <c r="N2758" s="37"/>
      <c r="O2758" s="130"/>
      <c r="P2758" s="132"/>
      <c r="Q2758" s="261"/>
      <c r="R2758" s="92"/>
    </row>
    <row r="2759" spans="3:18" x14ac:dyDescent="0.25">
      <c r="C2759" s="263"/>
      <c r="D2759" s="157"/>
      <c r="E2759" s="44"/>
      <c r="F2759" s="146"/>
      <c r="G2759" s="1"/>
      <c r="H2759" s="161"/>
      <c r="I2759" s="37"/>
      <c r="J2759" s="135"/>
      <c r="K2759" s="112"/>
      <c r="L2759" s="37"/>
      <c r="M2759" s="37"/>
      <c r="N2759" s="37"/>
      <c r="O2759" s="130"/>
      <c r="P2759" s="132"/>
      <c r="Q2759" s="261"/>
      <c r="R2759" s="92"/>
    </row>
    <row r="2760" spans="3:18" x14ac:dyDescent="0.25">
      <c r="C2760" s="263"/>
      <c r="D2760" s="157"/>
      <c r="E2760" s="44"/>
      <c r="F2760" s="146"/>
      <c r="G2760" s="1"/>
      <c r="H2760" s="161"/>
      <c r="I2760" s="37"/>
      <c r="J2760" s="135"/>
      <c r="K2760" s="112"/>
      <c r="L2760" s="37"/>
      <c r="M2760" s="37"/>
      <c r="N2760" s="37"/>
      <c r="O2760" s="130"/>
      <c r="P2760" s="132"/>
      <c r="Q2760" s="261"/>
      <c r="R2760" s="92"/>
    </row>
    <row r="2761" spans="3:18" x14ac:dyDescent="0.25">
      <c r="C2761" s="263"/>
      <c r="D2761" s="157"/>
      <c r="E2761" s="44"/>
      <c r="F2761" s="146"/>
      <c r="G2761" s="1"/>
      <c r="H2761" s="161"/>
      <c r="I2761" s="37"/>
      <c r="J2761" s="135"/>
      <c r="K2761" s="112"/>
      <c r="L2761" s="37"/>
      <c r="M2761" s="37"/>
      <c r="N2761" s="37"/>
      <c r="O2761" s="130"/>
      <c r="P2761" s="132"/>
      <c r="Q2761" s="261"/>
      <c r="R2761" s="92"/>
    </row>
    <row r="2762" spans="3:18" x14ac:dyDescent="0.25">
      <c r="C2762" s="263"/>
      <c r="D2762" s="157"/>
      <c r="E2762" s="44"/>
      <c r="F2762" s="146"/>
      <c r="G2762" s="1"/>
      <c r="H2762" s="161"/>
      <c r="I2762" s="37"/>
      <c r="J2762" s="135"/>
      <c r="K2762" s="112"/>
      <c r="L2762" s="37"/>
      <c r="M2762" s="37"/>
      <c r="N2762" s="37"/>
      <c r="O2762" s="130"/>
      <c r="P2762" s="132"/>
      <c r="Q2762" s="261"/>
      <c r="R2762" s="92"/>
    </row>
    <row r="2763" spans="3:18" x14ac:dyDescent="0.25">
      <c r="C2763" s="263"/>
      <c r="D2763" s="157"/>
      <c r="E2763" s="44"/>
      <c r="F2763" s="146"/>
      <c r="G2763" s="1"/>
      <c r="H2763" s="161"/>
      <c r="I2763" s="37"/>
      <c r="J2763" s="135"/>
      <c r="K2763" s="112"/>
      <c r="L2763" s="37"/>
      <c r="M2763" s="37"/>
      <c r="N2763" s="37"/>
      <c r="O2763" s="130"/>
      <c r="P2763" s="132"/>
      <c r="Q2763" s="261"/>
      <c r="R2763" s="92"/>
    </row>
    <row r="2764" spans="3:18" x14ac:dyDescent="0.25">
      <c r="C2764" s="263"/>
      <c r="D2764" s="157"/>
      <c r="E2764" s="44"/>
      <c r="F2764" s="146"/>
      <c r="G2764" s="1"/>
      <c r="H2764" s="161"/>
      <c r="I2764" s="37"/>
      <c r="J2764" s="135"/>
      <c r="K2764" s="112"/>
      <c r="L2764" s="37"/>
      <c r="M2764" s="37"/>
      <c r="N2764" s="37"/>
      <c r="O2764" s="130"/>
      <c r="P2764" s="132"/>
      <c r="Q2764" s="261"/>
      <c r="R2764" s="92"/>
    </row>
    <row r="2765" spans="3:18" x14ac:dyDescent="0.25">
      <c r="C2765" s="263"/>
      <c r="D2765" s="157"/>
      <c r="E2765" s="44"/>
      <c r="F2765" s="146"/>
      <c r="G2765" s="1"/>
      <c r="H2765" s="161"/>
      <c r="I2765" s="37"/>
      <c r="J2765" s="135"/>
      <c r="K2765" s="112"/>
      <c r="L2765" s="37"/>
      <c r="M2765" s="37"/>
      <c r="N2765" s="37"/>
      <c r="O2765" s="130"/>
      <c r="P2765" s="132"/>
      <c r="Q2765" s="261"/>
      <c r="R2765" s="92"/>
    </row>
    <row r="2766" spans="3:18" x14ac:dyDescent="0.25">
      <c r="C2766" s="263"/>
      <c r="D2766" s="157"/>
      <c r="E2766" s="44"/>
      <c r="F2766" s="146"/>
      <c r="G2766" s="1"/>
      <c r="H2766" s="161"/>
      <c r="I2766" s="37"/>
      <c r="J2766" s="135"/>
      <c r="K2766" s="112"/>
      <c r="L2766" s="37"/>
      <c r="M2766" s="37"/>
      <c r="N2766" s="37"/>
      <c r="O2766" s="130"/>
      <c r="P2766" s="132"/>
      <c r="Q2766" s="261"/>
      <c r="R2766" s="92"/>
    </row>
    <row r="2767" spans="3:18" x14ac:dyDescent="0.25">
      <c r="C2767" s="263"/>
      <c r="D2767" s="157"/>
      <c r="E2767" s="44"/>
      <c r="F2767" s="146"/>
      <c r="G2767" s="1"/>
      <c r="H2767" s="161"/>
      <c r="I2767" s="37"/>
      <c r="J2767" s="135"/>
      <c r="K2767" s="112"/>
      <c r="L2767" s="37"/>
      <c r="M2767" s="37"/>
      <c r="N2767" s="37"/>
      <c r="O2767" s="130"/>
      <c r="P2767" s="132"/>
      <c r="Q2767" s="261"/>
      <c r="R2767" s="92"/>
    </row>
    <row r="2768" spans="3:18" x14ac:dyDescent="0.25">
      <c r="C2768" s="263"/>
      <c r="D2768" s="157"/>
      <c r="E2768" s="44"/>
      <c r="F2768" s="146"/>
      <c r="G2768" s="1"/>
      <c r="H2768" s="161"/>
      <c r="I2768" s="37"/>
      <c r="J2768" s="135"/>
      <c r="K2768" s="112"/>
      <c r="L2768" s="37"/>
      <c r="M2768" s="37"/>
      <c r="N2768" s="37"/>
      <c r="O2768" s="130"/>
      <c r="P2768" s="132"/>
      <c r="Q2768" s="261"/>
      <c r="R2768" s="92"/>
    </row>
    <row r="2769" spans="3:18" x14ac:dyDescent="0.25">
      <c r="C2769" s="263"/>
      <c r="D2769" s="157"/>
      <c r="E2769" s="44"/>
      <c r="F2769" s="146"/>
      <c r="G2769" s="1"/>
      <c r="H2769" s="161"/>
      <c r="I2769" s="37"/>
      <c r="J2769" s="135"/>
      <c r="K2769" s="112"/>
      <c r="L2769" s="37"/>
      <c r="M2769" s="37"/>
      <c r="N2769" s="37"/>
      <c r="O2769" s="130"/>
      <c r="P2769" s="132"/>
      <c r="Q2769" s="261"/>
      <c r="R2769" s="92"/>
    </row>
    <row r="2770" spans="3:18" x14ac:dyDescent="0.25">
      <c r="C2770" s="263"/>
      <c r="D2770" s="157"/>
      <c r="E2770" s="44"/>
      <c r="F2770" s="146"/>
      <c r="G2770" s="1"/>
      <c r="H2770" s="161"/>
      <c r="I2770" s="37"/>
      <c r="J2770" s="135"/>
      <c r="K2770" s="112"/>
      <c r="L2770" s="37"/>
      <c r="M2770" s="37"/>
      <c r="N2770" s="37"/>
      <c r="O2770" s="130"/>
      <c r="P2770" s="132"/>
      <c r="Q2770" s="261"/>
      <c r="R2770" s="92"/>
    </row>
    <row r="2771" spans="3:18" x14ac:dyDescent="0.25">
      <c r="C2771" s="263"/>
      <c r="D2771" s="157"/>
      <c r="E2771" s="44"/>
      <c r="F2771" s="146"/>
      <c r="G2771" s="1"/>
      <c r="H2771" s="161"/>
      <c r="I2771" s="37"/>
      <c r="J2771" s="135"/>
      <c r="K2771" s="112"/>
      <c r="L2771" s="37"/>
      <c r="M2771" s="37"/>
      <c r="N2771" s="37"/>
      <c r="O2771" s="130"/>
      <c r="P2771" s="132"/>
      <c r="Q2771" s="261"/>
      <c r="R2771" s="92"/>
    </row>
    <row r="2772" spans="3:18" x14ac:dyDescent="0.25">
      <c r="C2772" s="263"/>
      <c r="D2772" s="157"/>
      <c r="E2772" s="44"/>
      <c r="F2772" s="146"/>
      <c r="G2772" s="1"/>
      <c r="H2772" s="161"/>
      <c r="I2772" s="37"/>
      <c r="J2772" s="135"/>
      <c r="K2772" s="112"/>
      <c r="L2772" s="37"/>
      <c r="M2772" s="37"/>
      <c r="N2772" s="37"/>
      <c r="O2772" s="130"/>
      <c r="P2772" s="132"/>
      <c r="Q2772" s="261"/>
      <c r="R2772" s="92"/>
    </row>
    <row r="2773" spans="3:18" x14ac:dyDescent="0.25">
      <c r="C2773" s="263"/>
      <c r="D2773" s="157"/>
      <c r="E2773" s="44"/>
      <c r="F2773" s="146"/>
      <c r="G2773" s="1"/>
      <c r="H2773" s="161"/>
      <c r="I2773" s="37"/>
      <c r="J2773" s="135"/>
      <c r="K2773" s="112"/>
      <c r="L2773" s="37"/>
      <c r="M2773" s="37"/>
      <c r="N2773" s="37"/>
      <c r="O2773" s="130"/>
      <c r="P2773" s="132"/>
      <c r="Q2773" s="261"/>
      <c r="R2773" s="92"/>
    </row>
    <row r="2774" spans="3:18" x14ac:dyDescent="0.25">
      <c r="C2774" s="263"/>
      <c r="D2774" s="157"/>
      <c r="E2774" s="44"/>
      <c r="F2774" s="146"/>
      <c r="G2774" s="1"/>
      <c r="H2774" s="161"/>
      <c r="I2774" s="37"/>
      <c r="J2774" s="135"/>
      <c r="K2774" s="112"/>
      <c r="L2774" s="37"/>
      <c r="M2774" s="37"/>
      <c r="N2774" s="37"/>
      <c r="O2774" s="130"/>
      <c r="P2774" s="132"/>
      <c r="Q2774" s="261"/>
      <c r="R2774" s="92"/>
    </row>
    <row r="2775" spans="3:18" x14ac:dyDescent="0.25">
      <c r="C2775" s="263"/>
      <c r="D2775" s="157"/>
      <c r="E2775" s="44"/>
      <c r="F2775" s="146"/>
      <c r="G2775" s="1"/>
      <c r="H2775" s="161"/>
      <c r="I2775" s="37"/>
      <c r="J2775" s="135"/>
      <c r="K2775" s="112"/>
      <c r="L2775" s="37"/>
      <c r="M2775" s="37"/>
      <c r="N2775" s="37"/>
      <c r="O2775" s="130"/>
      <c r="P2775" s="132"/>
      <c r="Q2775" s="261"/>
      <c r="R2775" s="92"/>
    </row>
    <row r="2776" spans="3:18" x14ac:dyDescent="0.25">
      <c r="C2776" s="263"/>
      <c r="D2776" s="157"/>
      <c r="E2776" s="44"/>
      <c r="F2776" s="146"/>
      <c r="G2776" s="1"/>
      <c r="H2776" s="161"/>
      <c r="I2776" s="37"/>
      <c r="J2776" s="135"/>
      <c r="K2776" s="112"/>
      <c r="L2776" s="37"/>
      <c r="M2776" s="37"/>
      <c r="N2776" s="37"/>
      <c r="O2776" s="130"/>
      <c r="P2776" s="132"/>
      <c r="Q2776" s="261"/>
      <c r="R2776" s="92"/>
    </row>
    <row r="2777" spans="3:18" x14ac:dyDescent="0.25">
      <c r="C2777" s="263"/>
      <c r="D2777" s="157"/>
      <c r="E2777" s="44"/>
      <c r="F2777" s="146"/>
      <c r="G2777" s="1"/>
      <c r="H2777" s="161"/>
      <c r="I2777" s="37"/>
      <c r="J2777" s="135"/>
      <c r="K2777" s="112"/>
      <c r="L2777" s="37"/>
      <c r="M2777" s="37"/>
      <c r="N2777" s="37"/>
      <c r="O2777" s="130"/>
      <c r="P2777" s="132"/>
      <c r="Q2777" s="261"/>
      <c r="R2777" s="92"/>
    </row>
    <row r="2778" spans="3:18" x14ac:dyDescent="0.25">
      <c r="C2778" s="263"/>
      <c r="D2778" s="157"/>
      <c r="E2778" s="44"/>
      <c r="F2778" s="146"/>
      <c r="G2778" s="1"/>
      <c r="H2778" s="161"/>
      <c r="I2778" s="37"/>
      <c r="J2778" s="135"/>
      <c r="K2778" s="112"/>
      <c r="L2778" s="37"/>
      <c r="M2778" s="37"/>
      <c r="N2778" s="37"/>
      <c r="O2778" s="130"/>
      <c r="P2778" s="132"/>
      <c r="Q2778" s="261"/>
      <c r="R2778" s="92"/>
    </row>
    <row r="2779" spans="3:18" x14ac:dyDescent="0.25">
      <c r="C2779" s="263"/>
      <c r="D2779" s="157"/>
      <c r="E2779" s="44"/>
      <c r="F2779" s="146"/>
      <c r="G2779" s="1"/>
      <c r="H2779" s="161"/>
      <c r="I2779" s="37"/>
      <c r="J2779" s="135"/>
      <c r="K2779" s="112"/>
      <c r="L2779" s="37"/>
      <c r="M2779" s="37"/>
      <c r="N2779" s="37"/>
      <c r="O2779" s="130"/>
      <c r="P2779" s="132"/>
      <c r="Q2779" s="261"/>
      <c r="R2779" s="92"/>
    </row>
    <row r="2780" spans="3:18" x14ac:dyDescent="0.25">
      <c r="C2780" s="263"/>
      <c r="D2780" s="157"/>
      <c r="E2780" s="44"/>
      <c r="F2780" s="146"/>
      <c r="G2780" s="1"/>
      <c r="H2780" s="161"/>
      <c r="I2780" s="37"/>
      <c r="J2780" s="135"/>
      <c r="K2780" s="112"/>
      <c r="L2780" s="37"/>
      <c r="M2780" s="37"/>
      <c r="N2780" s="37"/>
      <c r="O2780" s="130"/>
      <c r="P2780" s="132"/>
      <c r="Q2780" s="261"/>
      <c r="R2780" s="92"/>
    </row>
    <row r="2781" spans="3:18" x14ac:dyDescent="0.25">
      <c r="C2781" s="263"/>
      <c r="D2781" s="157"/>
      <c r="E2781" s="44"/>
      <c r="F2781" s="146"/>
      <c r="G2781" s="1"/>
      <c r="H2781" s="161"/>
      <c r="I2781" s="37"/>
      <c r="J2781" s="135"/>
      <c r="K2781" s="112"/>
      <c r="L2781" s="37"/>
      <c r="M2781" s="37"/>
      <c r="N2781" s="37"/>
      <c r="O2781" s="130"/>
      <c r="P2781" s="132"/>
      <c r="Q2781" s="261"/>
      <c r="R2781" s="92"/>
    </row>
    <row r="2782" spans="3:18" x14ac:dyDescent="0.25">
      <c r="C2782" s="263"/>
      <c r="D2782" s="157"/>
      <c r="E2782" s="44"/>
      <c r="F2782" s="146"/>
      <c r="G2782" s="1"/>
      <c r="H2782" s="161"/>
      <c r="I2782" s="37"/>
      <c r="J2782" s="135"/>
      <c r="K2782" s="112"/>
      <c r="L2782" s="37"/>
      <c r="M2782" s="37"/>
      <c r="N2782" s="37"/>
      <c r="O2782" s="130"/>
      <c r="P2782" s="132"/>
      <c r="Q2782" s="261"/>
      <c r="R2782" s="92"/>
    </row>
    <row r="2783" spans="3:18" x14ac:dyDescent="0.25">
      <c r="C2783" s="263"/>
      <c r="D2783" s="157"/>
      <c r="E2783" s="44"/>
      <c r="F2783" s="146"/>
      <c r="G2783" s="1"/>
      <c r="H2783" s="161"/>
      <c r="I2783" s="37"/>
      <c r="J2783" s="135"/>
      <c r="K2783" s="112"/>
      <c r="L2783" s="37"/>
      <c r="M2783" s="37"/>
      <c r="N2783" s="37"/>
      <c r="O2783" s="130"/>
      <c r="P2783" s="132"/>
      <c r="Q2783" s="261"/>
      <c r="R2783" s="92"/>
    </row>
    <row r="2784" spans="3:18" x14ac:dyDescent="0.25">
      <c r="C2784" s="263"/>
      <c r="D2784" s="157"/>
      <c r="E2784" s="44"/>
      <c r="F2784" s="146"/>
      <c r="G2784" s="1"/>
      <c r="H2784" s="161"/>
      <c r="I2784" s="37"/>
      <c r="J2784" s="135"/>
      <c r="K2784" s="112"/>
      <c r="L2784" s="37"/>
      <c r="M2784" s="37"/>
      <c r="N2784" s="37"/>
      <c r="O2784" s="130"/>
      <c r="P2784" s="132"/>
      <c r="Q2784" s="261"/>
      <c r="R2784" s="92"/>
    </row>
    <row r="2785" spans="3:18" x14ac:dyDescent="0.25">
      <c r="C2785" s="263"/>
      <c r="D2785" s="157"/>
      <c r="E2785" s="44"/>
      <c r="F2785" s="146"/>
      <c r="G2785" s="1"/>
      <c r="H2785" s="161"/>
      <c r="I2785" s="37"/>
      <c r="J2785" s="135"/>
      <c r="K2785" s="112"/>
      <c r="L2785" s="37"/>
      <c r="M2785" s="37"/>
      <c r="N2785" s="37"/>
      <c r="O2785" s="130"/>
      <c r="P2785" s="132"/>
      <c r="Q2785" s="261"/>
      <c r="R2785" s="92"/>
    </row>
    <row r="2786" spans="3:18" x14ac:dyDescent="0.25">
      <c r="C2786" s="263"/>
      <c r="D2786" s="157"/>
      <c r="E2786" s="44"/>
      <c r="F2786" s="146"/>
      <c r="G2786" s="1"/>
      <c r="H2786" s="161"/>
      <c r="I2786" s="37"/>
      <c r="J2786" s="135"/>
      <c r="K2786" s="112"/>
      <c r="L2786" s="37"/>
      <c r="M2786" s="37"/>
      <c r="N2786" s="37"/>
      <c r="O2786" s="130"/>
      <c r="P2786" s="132"/>
      <c r="Q2786" s="261"/>
      <c r="R2786" s="92"/>
    </row>
    <row r="2787" spans="3:18" x14ac:dyDescent="0.25">
      <c r="C2787" s="263"/>
      <c r="D2787" s="157"/>
      <c r="E2787" s="44"/>
      <c r="F2787" s="146"/>
      <c r="G2787" s="1"/>
      <c r="H2787" s="161"/>
      <c r="I2787" s="37"/>
      <c r="J2787" s="135"/>
      <c r="K2787" s="112"/>
      <c r="L2787" s="37"/>
      <c r="M2787" s="37"/>
      <c r="N2787" s="37"/>
      <c r="O2787" s="130"/>
      <c r="P2787" s="132"/>
      <c r="Q2787" s="261"/>
      <c r="R2787" s="92"/>
    </row>
    <row r="2788" spans="3:18" x14ac:dyDescent="0.25">
      <c r="C2788" s="263"/>
      <c r="D2788" s="157"/>
      <c r="E2788" s="44"/>
      <c r="F2788" s="146"/>
      <c r="G2788" s="1"/>
      <c r="H2788" s="161"/>
      <c r="I2788" s="37"/>
      <c r="J2788" s="135"/>
      <c r="K2788" s="112"/>
      <c r="L2788" s="37"/>
      <c r="M2788" s="37"/>
      <c r="N2788" s="37"/>
      <c r="O2788" s="130"/>
      <c r="P2788" s="132"/>
      <c r="Q2788" s="261"/>
      <c r="R2788" s="92"/>
    </row>
    <row r="2789" spans="3:18" x14ac:dyDescent="0.25">
      <c r="C2789" s="263"/>
      <c r="D2789" s="157"/>
      <c r="E2789" s="44"/>
      <c r="F2789" s="146"/>
      <c r="G2789" s="1"/>
      <c r="H2789" s="161"/>
      <c r="I2789" s="37"/>
      <c r="J2789" s="135"/>
      <c r="K2789" s="112"/>
      <c r="L2789" s="37"/>
      <c r="M2789" s="37"/>
      <c r="N2789" s="37"/>
      <c r="O2789" s="130"/>
      <c r="P2789" s="132"/>
      <c r="Q2789" s="261"/>
      <c r="R2789" s="92"/>
    </row>
    <row r="2790" spans="3:18" x14ac:dyDescent="0.25">
      <c r="C2790" s="263"/>
      <c r="D2790" s="157"/>
      <c r="E2790" s="44"/>
      <c r="F2790" s="146"/>
      <c r="G2790" s="1"/>
      <c r="H2790" s="161"/>
      <c r="I2790" s="37"/>
      <c r="J2790" s="135"/>
      <c r="K2790" s="112"/>
      <c r="L2790" s="37"/>
      <c r="M2790" s="37"/>
      <c r="N2790" s="37"/>
      <c r="O2790" s="130"/>
      <c r="P2790" s="132"/>
      <c r="Q2790" s="261"/>
      <c r="R2790" s="92"/>
    </row>
    <row r="2791" spans="3:18" x14ac:dyDescent="0.25">
      <c r="C2791" s="263"/>
      <c r="D2791" s="157"/>
      <c r="E2791" s="44"/>
      <c r="F2791" s="146"/>
      <c r="G2791" s="1"/>
      <c r="H2791" s="161"/>
      <c r="I2791" s="37"/>
      <c r="J2791" s="135"/>
      <c r="K2791" s="112"/>
      <c r="L2791" s="37"/>
      <c r="M2791" s="37"/>
      <c r="N2791" s="37"/>
      <c r="O2791" s="130"/>
      <c r="P2791" s="132"/>
      <c r="Q2791" s="261"/>
      <c r="R2791" s="92"/>
    </row>
    <row r="2792" spans="3:18" x14ac:dyDescent="0.25">
      <c r="C2792" s="263"/>
      <c r="D2792" s="157"/>
      <c r="E2792" s="44"/>
      <c r="F2792" s="146"/>
      <c r="G2792" s="1"/>
      <c r="H2792" s="161"/>
      <c r="I2792" s="37"/>
      <c r="J2792" s="135"/>
      <c r="K2792" s="112"/>
      <c r="L2792" s="37"/>
      <c r="M2792" s="37"/>
      <c r="N2792" s="37"/>
      <c r="O2792" s="130"/>
      <c r="P2792" s="132"/>
      <c r="Q2792" s="261"/>
      <c r="R2792" s="92"/>
    </row>
    <row r="2793" spans="3:18" x14ac:dyDescent="0.25">
      <c r="C2793" s="263"/>
      <c r="D2793" s="157"/>
      <c r="E2793" s="44"/>
      <c r="F2793" s="146"/>
      <c r="G2793" s="1"/>
      <c r="H2793" s="161"/>
      <c r="I2793" s="37"/>
      <c r="J2793" s="135"/>
      <c r="K2793" s="112"/>
      <c r="L2793" s="37"/>
      <c r="M2793" s="37"/>
      <c r="N2793" s="37"/>
      <c r="O2793" s="130"/>
      <c r="P2793" s="132"/>
      <c r="Q2793" s="261"/>
      <c r="R2793" s="92"/>
    </row>
    <row r="2794" spans="3:18" x14ac:dyDescent="0.25">
      <c r="C2794" s="263"/>
      <c r="D2794" s="157"/>
      <c r="E2794" s="44"/>
      <c r="F2794" s="146"/>
      <c r="G2794" s="1"/>
      <c r="H2794" s="161"/>
      <c r="I2794" s="37"/>
      <c r="J2794" s="135"/>
      <c r="K2794" s="112"/>
      <c r="L2794" s="37"/>
      <c r="M2794" s="37"/>
      <c r="N2794" s="37"/>
      <c r="O2794" s="130"/>
      <c r="P2794" s="132"/>
      <c r="Q2794" s="261"/>
      <c r="R2794" s="92"/>
    </row>
    <row r="2795" spans="3:18" x14ac:dyDescent="0.25">
      <c r="C2795" s="263"/>
      <c r="D2795" s="157"/>
      <c r="E2795" s="44"/>
      <c r="F2795" s="146"/>
      <c r="G2795" s="1"/>
      <c r="H2795" s="161"/>
      <c r="I2795" s="37"/>
      <c r="J2795" s="135"/>
      <c r="K2795" s="112"/>
      <c r="L2795" s="37"/>
      <c r="M2795" s="37"/>
      <c r="N2795" s="37"/>
      <c r="O2795" s="130"/>
      <c r="P2795" s="132"/>
      <c r="Q2795" s="261"/>
      <c r="R2795" s="92"/>
    </row>
    <row r="2796" spans="3:18" x14ac:dyDescent="0.25">
      <c r="C2796" s="263"/>
      <c r="D2796" s="157"/>
      <c r="E2796" s="44"/>
      <c r="F2796" s="146"/>
      <c r="G2796" s="1"/>
      <c r="H2796" s="161"/>
      <c r="I2796" s="37"/>
      <c r="J2796" s="135"/>
      <c r="K2796" s="112"/>
      <c r="L2796" s="37"/>
      <c r="M2796" s="37"/>
      <c r="N2796" s="37"/>
      <c r="O2796" s="130"/>
      <c r="P2796" s="132"/>
      <c r="Q2796" s="261"/>
      <c r="R2796" s="92"/>
    </row>
    <row r="2797" spans="3:18" x14ac:dyDescent="0.25">
      <c r="C2797" s="263"/>
      <c r="D2797" s="157"/>
      <c r="E2797" s="44"/>
      <c r="F2797" s="146"/>
      <c r="G2797" s="1"/>
      <c r="H2797" s="161"/>
      <c r="I2797" s="37"/>
      <c r="J2797" s="135"/>
      <c r="K2797" s="112"/>
      <c r="L2797" s="37"/>
      <c r="M2797" s="37"/>
      <c r="N2797" s="37"/>
      <c r="O2797" s="130"/>
      <c r="P2797" s="132"/>
      <c r="Q2797" s="261"/>
      <c r="R2797" s="92"/>
    </row>
    <row r="2798" spans="3:18" x14ac:dyDescent="0.25">
      <c r="C2798" s="263"/>
      <c r="D2798" s="157"/>
      <c r="E2798" s="44"/>
      <c r="F2798" s="146"/>
      <c r="G2798" s="1"/>
      <c r="H2798" s="161"/>
      <c r="I2798" s="37"/>
      <c r="J2798" s="135"/>
      <c r="K2798" s="112"/>
      <c r="L2798" s="37"/>
      <c r="M2798" s="37"/>
      <c r="N2798" s="37"/>
      <c r="O2798" s="130"/>
      <c r="P2798" s="132"/>
      <c r="Q2798" s="261"/>
      <c r="R2798" s="92"/>
    </row>
    <row r="2799" spans="3:18" x14ac:dyDescent="0.25">
      <c r="C2799" s="263"/>
      <c r="D2799" s="157"/>
      <c r="E2799" s="44"/>
      <c r="F2799" s="146"/>
      <c r="G2799" s="1"/>
      <c r="H2799" s="161"/>
      <c r="I2799" s="37"/>
      <c r="J2799" s="135"/>
      <c r="K2799" s="112"/>
      <c r="L2799" s="37"/>
      <c r="M2799" s="37"/>
      <c r="N2799" s="37"/>
      <c r="O2799" s="130"/>
      <c r="P2799" s="132"/>
      <c r="Q2799" s="261"/>
      <c r="R2799" s="92"/>
    </row>
    <row r="2800" spans="3:18" x14ac:dyDescent="0.25">
      <c r="C2800" s="263"/>
      <c r="D2800" s="157"/>
      <c r="E2800" s="44"/>
      <c r="F2800" s="146"/>
      <c r="G2800" s="1"/>
      <c r="H2800" s="161"/>
      <c r="I2800" s="37"/>
      <c r="J2800" s="135"/>
      <c r="K2800" s="112"/>
      <c r="L2800" s="37"/>
      <c r="M2800" s="37"/>
      <c r="N2800" s="37"/>
      <c r="O2800" s="130"/>
      <c r="P2800" s="132"/>
      <c r="Q2800" s="261"/>
      <c r="R2800" s="92"/>
    </row>
    <row r="2801" spans="3:18" x14ac:dyDescent="0.25">
      <c r="C2801" s="263"/>
      <c r="D2801" s="157"/>
      <c r="E2801" s="44"/>
      <c r="F2801" s="146"/>
      <c r="G2801" s="1"/>
      <c r="H2801" s="161"/>
      <c r="I2801" s="37"/>
      <c r="J2801" s="135"/>
      <c r="K2801" s="112"/>
      <c r="L2801" s="37"/>
      <c r="M2801" s="37"/>
      <c r="N2801" s="37"/>
      <c r="O2801" s="130"/>
      <c r="P2801" s="132"/>
      <c r="Q2801" s="261"/>
      <c r="R2801" s="92"/>
    </row>
    <row r="2802" spans="3:18" x14ac:dyDescent="0.25">
      <c r="C2802" s="263"/>
      <c r="D2802" s="157"/>
      <c r="E2802" s="44"/>
      <c r="F2802" s="146"/>
      <c r="G2802" s="1"/>
      <c r="H2802" s="161"/>
      <c r="I2802" s="37"/>
      <c r="J2802" s="135"/>
      <c r="K2802" s="112"/>
      <c r="L2802" s="37"/>
      <c r="M2802" s="37"/>
      <c r="N2802" s="37"/>
      <c r="O2802" s="130"/>
      <c r="P2802" s="132"/>
      <c r="Q2802" s="261"/>
      <c r="R2802" s="92"/>
    </row>
    <row r="2803" spans="3:18" x14ac:dyDescent="0.25">
      <c r="C2803" s="263"/>
      <c r="D2803" s="157"/>
      <c r="E2803" s="44"/>
      <c r="F2803" s="146"/>
      <c r="G2803" s="1"/>
      <c r="H2803" s="161"/>
      <c r="I2803" s="37"/>
      <c r="J2803" s="135"/>
      <c r="K2803" s="112"/>
      <c r="L2803" s="37"/>
      <c r="M2803" s="37"/>
      <c r="N2803" s="37"/>
      <c r="O2803" s="130"/>
      <c r="P2803" s="132"/>
      <c r="Q2803" s="261"/>
      <c r="R2803" s="92"/>
    </row>
    <row r="2804" spans="3:18" x14ac:dyDescent="0.25">
      <c r="C2804" s="263"/>
      <c r="D2804" s="157"/>
      <c r="E2804" s="44"/>
      <c r="F2804" s="146"/>
      <c r="G2804" s="1"/>
      <c r="H2804" s="161"/>
      <c r="I2804" s="37"/>
      <c r="J2804" s="135"/>
      <c r="K2804" s="112"/>
      <c r="L2804" s="37"/>
      <c r="M2804" s="37"/>
      <c r="N2804" s="37"/>
      <c r="O2804" s="130"/>
      <c r="P2804" s="132"/>
      <c r="Q2804" s="261"/>
      <c r="R2804" s="92"/>
    </row>
    <row r="2805" spans="3:18" x14ac:dyDescent="0.25">
      <c r="C2805" s="263"/>
      <c r="D2805" s="157"/>
      <c r="E2805" s="44"/>
      <c r="F2805" s="146"/>
      <c r="G2805" s="1"/>
      <c r="H2805" s="161"/>
      <c r="I2805" s="37"/>
      <c r="J2805" s="135"/>
      <c r="K2805" s="112"/>
      <c r="L2805" s="37"/>
      <c r="M2805" s="37"/>
      <c r="N2805" s="37"/>
      <c r="O2805" s="130"/>
      <c r="P2805" s="132"/>
      <c r="Q2805" s="261"/>
      <c r="R2805" s="92"/>
    </row>
    <row r="2806" spans="3:18" x14ac:dyDescent="0.25">
      <c r="C2806" s="263"/>
      <c r="D2806" s="157"/>
      <c r="E2806" s="44"/>
      <c r="F2806" s="146"/>
      <c r="G2806" s="1"/>
      <c r="H2806" s="161"/>
      <c r="I2806" s="37"/>
      <c r="J2806" s="135"/>
      <c r="K2806" s="112"/>
      <c r="L2806" s="37"/>
      <c r="M2806" s="37"/>
      <c r="N2806" s="37"/>
      <c r="O2806" s="130"/>
      <c r="P2806" s="132"/>
      <c r="Q2806" s="261"/>
      <c r="R2806" s="92"/>
    </row>
    <row r="2807" spans="3:18" x14ac:dyDescent="0.25">
      <c r="C2807" s="263"/>
      <c r="D2807" s="157"/>
      <c r="E2807" s="44"/>
      <c r="F2807" s="146"/>
      <c r="G2807" s="1"/>
      <c r="H2807" s="161"/>
      <c r="I2807" s="37"/>
      <c r="J2807" s="135"/>
      <c r="K2807" s="112"/>
      <c r="L2807" s="37"/>
      <c r="M2807" s="37"/>
      <c r="N2807" s="37"/>
      <c r="O2807" s="130"/>
      <c r="P2807" s="132"/>
      <c r="Q2807" s="261"/>
      <c r="R2807" s="92"/>
    </row>
    <row r="2808" spans="3:18" x14ac:dyDescent="0.25">
      <c r="C2808" s="263"/>
      <c r="D2808" s="157"/>
      <c r="E2808" s="44"/>
      <c r="F2808" s="146"/>
      <c r="G2808" s="1"/>
      <c r="H2808" s="161"/>
      <c r="I2808" s="37"/>
      <c r="J2808" s="135"/>
      <c r="K2808" s="112"/>
      <c r="L2808" s="37"/>
      <c r="M2808" s="37"/>
      <c r="N2808" s="37"/>
      <c r="O2808" s="130"/>
      <c r="P2808" s="132"/>
      <c r="Q2808" s="261"/>
      <c r="R2808" s="92"/>
    </row>
    <row r="2809" spans="3:18" x14ac:dyDescent="0.25">
      <c r="C2809" s="263"/>
      <c r="D2809" s="157"/>
      <c r="E2809" s="44"/>
      <c r="F2809" s="146"/>
      <c r="G2809" s="1"/>
      <c r="H2809" s="161"/>
      <c r="I2809" s="37"/>
      <c r="J2809" s="135"/>
      <c r="K2809" s="112"/>
      <c r="L2809" s="37"/>
      <c r="M2809" s="37"/>
      <c r="N2809" s="37"/>
      <c r="O2809" s="130"/>
      <c r="P2809" s="132"/>
      <c r="Q2809" s="261"/>
      <c r="R2809" s="92"/>
    </row>
    <row r="2810" spans="3:18" x14ac:dyDescent="0.25">
      <c r="C2810" s="263"/>
      <c r="D2810" s="157"/>
      <c r="E2810" s="44"/>
      <c r="F2810" s="146"/>
      <c r="G2810" s="1"/>
      <c r="H2810" s="161"/>
      <c r="I2810" s="37"/>
      <c r="J2810" s="135"/>
      <c r="K2810" s="112"/>
      <c r="L2810" s="37"/>
      <c r="M2810" s="37"/>
      <c r="N2810" s="37"/>
      <c r="O2810" s="130"/>
      <c r="P2810" s="132"/>
      <c r="Q2810" s="261"/>
      <c r="R2810" s="92"/>
    </row>
    <row r="2811" spans="3:18" x14ac:dyDescent="0.25">
      <c r="C2811" s="263"/>
      <c r="D2811" s="157"/>
      <c r="E2811" s="44"/>
      <c r="F2811" s="146"/>
      <c r="G2811" s="1"/>
      <c r="H2811" s="161"/>
      <c r="I2811" s="37"/>
      <c r="J2811" s="135"/>
      <c r="K2811" s="112"/>
      <c r="L2811" s="37"/>
      <c r="M2811" s="37"/>
      <c r="N2811" s="37"/>
      <c r="O2811" s="130"/>
      <c r="P2811" s="132"/>
      <c r="Q2811" s="261"/>
      <c r="R2811" s="92"/>
    </row>
    <row r="2812" spans="3:18" x14ac:dyDescent="0.25">
      <c r="C2812" s="263"/>
      <c r="D2812" s="157"/>
      <c r="E2812" s="44"/>
      <c r="F2812" s="146"/>
      <c r="G2812" s="1"/>
      <c r="H2812" s="161"/>
      <c r="I2812" s="37"/>
      <c r="J2812" s="135"/>
      <c r="K2812" s="112"/>
      <c r="L2812" s="37"/>
      <c r="M2812" s="37"/>
      <c r="N2812" s="37"/>
      <c r="O2812" s="130"/>
      <c r="P2812" s="132"/>
      <c r="Q2812" s="261"/>
      <c r="R2812" s="92"/>
    </row>
    <row r="2813" spans="3:18" x14ac:dyDescent="0.25">
      <c r="C2813" s="263"/>
      <c r="D2813" s="157"/>
      <c r="E2813" s="44"/>
      <c r="F2813" s="146"/>
      <c r="G2813" s="1"/>
      <c r="H2813" s="161"/>
      <c r="I2813" s="37"/>
      <c r="J2813" s="135"/>
      <c r="K2813" s="112"/>
      <c r="L2813" s="37"/>
      <c r="M2813" s="37"/>
      <c r="N2813" s="37"/>
      <c r="O2813" s="130"/>
      <c r="P2813" s="132"/>
      <c r="Q2813" s="261"/>
      <c r="R2813" s="92"/>
    </row>
    <row r="2814" spans="3:18" x14ac:dyDescent="0.25">
      <c r="C2814" s="263"/>
      <c r="D2814" s="157"/>
      <c r="E2814" s="44"/>
      <c r="F2814" s="146"/>
      <c r="G2814" s="1"/>
      <c r="H2814" s="161"/>
      <c r="I2814" s="37"/>
      <c r="J2814" s="135"/>
      <c r="K2814" s="112"/>
      <c r="L2814" s="37"/>
      <c r="M2814" s="37"/>
      <c r="N2814" s="37"/>
      <c r="O2814" s="130"/>
      <c r="P2814" s="132"/>
      <c r="Q2814" s="261"/>
      <c r="R2814" s="92"/>
    </row>
    <row r="2815" spans="3:18" x14ac:dyDescent="0.25">
      <c r="C2815" s="263"/>
      <c r="D2815" s="157"/>
      <c r="E2815" s="44"/>
      <c r="F2815" s="146"/>
      <c r="G2815" s="1"/>
      <c r="H2815" s="161"/>
      <c r="I2815" s="37"/>
      <c r="J2815" s="135"/>
      <c r="K2815" s="112"/>
      <c r="L2815" s="37"/>
      <c r="M2815" s="37"/>
      <c r="N2815" s="37"/>
      <c r="O2815" s="130"/>
      <c r="P2815" s="132"/>
      <c r="Q2815" s="261"/>
      <c r="R2815" s="92"/>
    </row>
    <row r="2816" spans="3:18" x14ac:dyDescent="0.25">
      <c r="C2816" s="263"/>
      <c r="D2816" s="157"/>
      <c r="E2816" s="44"/>
      <c r="F2816" s="146"/>
      <c r="G2816" s="1"/>
      <c r="H2816" s="161"/>
      <c r="I2816" s="37"/>
      <c r="J2816" s="135"/>
      <c r="K2816" s="112"/>
      <c r="L2816" s="37"/>
      <c r="M2816" s="37"/>
      <c r="N2816" s="37"/>
      <c r="O2816" s="130"/>
      <c r="P2816" s="132"/>
      <c r="Q2816" s="261"/>
      <c r="R2816" s="92"/>
    </row>
    <row r="2817" spans="3:18" x14ac:dyDescent="0.25">
      <c r="C2817" s="263"/>
      <c r="D2817" s="157"/>
      <c r="E2817" s="44"/>
      <c r="F2817" s="146"/>
      <c r="G2817" s="1"/>
      <c r="H2817" s="161"/>
      <c r="I2817" s="37"/>
      <c r="J2817" s="135"/>
      <c r="K2817" s="112"/>
      <c r="L2817" s="37"/>
      <c r="M2817" s="37"/>
      <c r="N2817" s="37"/>
      <c r="O2817" s="130"/>
      <c r="P2817" s="132"/>
      <c r="Q2817" s="261"/>
      <c r="R2817" s="92"/>
    </row>
    <row r="2818" spans="3:18" x14ac:dyDescent="0.25">
      <c r="C2818" s="263"/>
      <c r="D2818" s="157"/>
      <c r="E2818" s="44"/>
      <c r="F2818" s="146"/>
      <c r="G2818" s="1"/>
      <c r="H2818" s="161"/>
      <c r="I2818" s="37"/>
      <c r="J2818" s="135"/>
      <c r="K2818" s="112"/>
      <c r="L2818" s="37"/>
      <c r="M2818" s="37"/>
      <c r="N2818" s="37"/>
      <c r="O2818" s="130"/>
      <c r="P2818" s="132"/>
      <c r="Q2818" s="261"/>
      <c r="R2818" s="92"/>
    </row>
    <row r="2819" spans="3:18" x14ac:dyDescent="0.25">
      <c r="C2819" s="263"/>
      <c r="D2819" s="157"/>
      <c r="E2819" s="44"/>
      <c r="F2819" s="146"/>
      <c r="G2819" s="1"/>
      <c r="H2819" s="161"/>
      <c r="I2819" s="37"/>
      <c r="J2819" s="135"/>
      <c r="K2819" s="112"/>
      <c r="L2819" s="37"/>
      <c r="M2819" s="37"/>
      <c r="N2819" s="37"/>
      <c r="O2819" s="130"/>
      <c r="P2819" s="132"/>
      <c r="Q2819" s="261"/>
      <c r="R2819" s="92"/>
    </row>
    <row r="2820" spans="3:18" x14ac:dyDescent="0.25">
      <c r="C2820" s="263"/>
      <c r="D2820" s="157"/>
      <c r="E2820" s="44"/>
      <c r="F2820" s="146"/>
      <c r="G2820" s="1"/>
      <c r="H2820" s="161"/>
      <c r="I2820" s="37"/>
      <c r="J2820" s="135"/>
      <c r="K2820" s="112"/>
      <c r="L2820" s="37"/>
      <c r="M2820" s="37"/>
      <c r="N2820" s="37"/>
      <c r="O2820" s="130"/>
      <c r="P2820" s="132"/>
      <c r="Q2820" s="261"/>
      <c r="R2820" s="92"/>
    </row>
    <row r="2821" spans="3:18" x14ac:dyDescent="0.25">
      <c r="C2821" s="263"/>
      <c r="D2821" s="157"/>
      <c r="E2821" s="44"/>
      <c r="F2821" s="146"/>
      <c r="G2821" s="1"/>
      <c r="H2821" s="161"/>
      <c r="I2821" s="37"/>
      <c r="J2821" s="135"/>
      <c r="K2821" s="112"/>
      <c r="L2821" s="37"/>
      <c r="M2821" s="37"/>
      <c r="N2821" s="37"/>
      <c r="O2821" s="130"/>
      <c r="P2821" s="132"/>
      <c r="Q2821" s="261"/>
      <c r="R2821" s="92"/>
    </row>
    <row r="2822" spans="3:18" x14ac:dyDescent="0.25">
      <c r="C2822" s="263"/>
      <c r="D2822" s="157"/>
      <c r="E2822" s="44"/>
      <c r="F2822" s="146"/>
      <c r="G2822" s="1"/>
      <c r="H2822" s="161"/>
      <c r="I2822" s="37"/>
      <c r="J2822" s="135"/>
      <c r="K2822" s="112"/>
      <c r="L2822" s="37"/>
      <c r="M2822" s="37"/>
      <c r="N2822" s="37"/>
      <c r="O2822" s="130"/>
      <c r="P2822" s="132"/>
      <c r="Q2822" s="261"/>
      <c r="R2822" s="92"/>
    </row>
    <row r="2823" spans="3:18" x14ac:dyDescent="0.25">
      <c r="C2823" s="263"/>
      <c r="D2823" s="157"/>
      <c r="E2823" s="44"/>
      <c r="F2823" s="146"/>
      <c r="G2823" s="1"/>
      <c r="H2823" s="161"/>
      <c r="I2823" s="37"/>
      <c r="J2823" s="135"/>
      <c r="K2823" s="112"/>
      <c r="L2823" s="37"/>
      <c r="M2823" s="37"/>
      <c r="N2823" s="37"/>
      <c r="O2823" s="130"/>
      <c r="P2823" s="132"/>
      <c r="Q2823" s="261"/>
      <c r="R2823" s="92"/>
    </row>
    <row r="2824" spans="3:18" x14ac:dyDescent="0.25">
      <c r="C2824" s="263"/>
      <c r="D2824" s="157"/>
      <c r="E2824" s="44"/>
      <c r="F2824" s="146"/>
      <c r="G2824" s="1"/>
      <c r="H2824" s="161"/>
      <c r="I2824" s="37"/>
      <c r="J2824" s="135"/>
      <c r="K2824" s="112"/>
      <c r="L2824" s="37"/>
      <c r="M2824" s="37"/>
      <c r="N2824" s="37"/>
      <c r="O2824" s="130"/>
      <c r="P2824" s="132"/>
      <c r="Q2824" s="261"/>
      <c r="R2824" s="92"/>
    </row>
    <row r="2825" spans="3:18" x14ac:dyDescent="0.25">
      <c r="C2825" s="263"/>
      <c r="D2825" s="157"/>
      <c r="E2825" s="44"/>
      <c r="F2825" s="146"/>
      <c r="G2825" s="1"/>
      <c r="H2825" s="161"/>
      <c r="I2825" s="37"/>
      <c r="J2825" s="135"/>
      <c r="K2825" s="112"/>
      <c r="L2825" s="37"/>
      <c r="M2825" s="37"/>
      <c r="N2825" s="37"/>
      <c r="O2825" s="130"/>
      <c r="P2825" s="132"/>
      <c r="Q2825" s="261"/>
      <c r="R2825" s="92"/>
    </row>
    <row r="2826" spans="3:18" x14ac:dyDescent="0.25">
      <c r="C2826" s="263"/>
      <c r="D2826" s="157"/>
      <c r="E2826" s="44"/>
      <c r="F2826" s="146"/>
      <c r="G2826" s="1"/>
      <c r="H2826" s="161"/>
      <c r="I2826" s="37"/>
      <c r="J2826" s="135"/>
      <c r="K2826" s="112"/>
      <c r="L2826" s="37"/>
      <c r="M2826" s="37"/>
      <c r="N2826" s="37"/>
      <c r="O2826" s="130"/>
      <c r="P2826" s="132"/>
      <c r="Q2826" s="261"/>
      <c r="R2826" s="92"/>
    </row>
    <row r="2827" spans="3:18" x14ac:dyDescent="0.25">
      <c r="C2827" s="263"/>
      <c r="D2827" s="157"/>
      <c r="E2827" s="44"/>
      <c r="F2827" s="146"/>
      <c r="G2827" s="1"/>
      <c r="H2827" s="161"/>
      <c r="I2827" s="37"/>
      <c r="J2827" s="135"/>
      <c r="K2827" s="112"/>
      <c r="L2827" s="37"/>
      <c r="M2827" s="37"/>
      <c r="N2827" s="37"/>
      <c r="O2827" s="130"/>
      <c r="P2827" s="132"/>
      <c r="Q2827" s="261"/>
      <c r="R2827" s="92"/>
    </row>
    <row r="2828" spans="3:18" x14ac:dyDescent="0.25">
      <c r="C2828" s="263"/>
      <c r="D2828" s="157"/>
      <c r="E2828" s="44"/>
      <c r="F2828" s="146"/>
      <c r="G2828" s="1"/>
      <c r="H2828" s="161"/>
      <c r="I2828" s="37"/>
      <c r="J2828" s="135"/>
      <c r="K2828" s="112"/>
      <c r="L2828" s="37"/>
      <c r="M2828" s="37"/>
      <c r="N2828" s="37"/>
      <c r="O2828" s="130"/>
      <c r="P2828" s="132"/>
      <c r="Q2828" s="261"/>
      <c r="R2828" s="92"/>
    </row>
    <row r="2829" spans="3:18" x14ac:dyDescent="0.25">
      <c r="C2829" s="263"/>
      <c r="D2829" s="157"/>
      <c r="E2829" s="44"/>
      <c r="F2829" s="146"/>
      <c r="G2829" s="1"/>
      <c r="H2829" s="161"/>
      <c r="I2829" s="37"/>
      <c r="J2829" s="135"/>
      <c r="K2829" s="112"/>
      <c r="L2829" s="37"/>
      <c r="M2829" s="37"/>
      <c r="N2829" s="37"/>
      <c r="O2829" s="130"/>
      <c r="P2829" s="132"/>
      <c r="Q2829" s="261"/>
      <c r="R2829" s="92"/>
    </row>
    <row r="2830" spans="3:18" x14ac:dyDescent="0.25">
      <c r="C2830" s="263"/>
      <c r="D2830" s="157"/>
      <c r="E2830" s="44"/>
      <c r="F2830" s="146"/>
      <c r="G2830" s="1"/>
      <c r="H2830" s="161"/>
      <c r="I2830" s="37"/>
      <c r="J2830" s="135"/>
      <c r="K2830" s="112"/>
      <c r="L2830" s="37"/>
      <c r="M2830" s="37"/>
      <c r="N2830" s="37"/>
      <c r="O2830" s="130"/>
      <c r="P2830" s="132"/>
      <c r="Q2830" s="261"/>
      <c r="R2830" s="92"/>
    </row>
    <row r="2831" spans="3:18" x14ac:dyDescent="0.25">
      <c r="C2831" s="263"/>
      <c r="D2831" s="157"/>
      <c r="E2831" s="44"/>
      <c r="F2831" s="146"/>
      <c r="G2831" s="1"/>
      <c r="H2831" s="161"/>
      <c r="I2831" s="37"/>
      <c r="J2831" s="135"/>
      <c r="K2831" s="112"/>
      <c r="L2831" s="37"/>
      <c r="M2831" s="37"/>
      <c r="N2831" s="37"/>
      <c r="O2831" s="130"/>
      <c r="P2831" s="132"/>
      <c r="Q2831" s="261"/>
      <c r="R2831" s="92"/>
    </row>
    <row r="2832" spans="3:18" x14ac:dyDescent="0.25">
      <c r="C2832" s="263"/>
      <c r="D2832" s="157"/>
      <c r="E2832" s="44"/>
      <c r="F2832" s="146"/>
      <c r="G2832" s="1"/>
      <c r="H2832" s="161"/>
      <c r="I2832" s="37"/>
      <c r="J2832" s="135"/>
      <c r="K2832" s="112"/>
      <c r="L2832" s="37"/>
      <c r="M2832" s="37"/>
      <c r="N2832" s="37"/>
      <c r="O2832" s="130"/>
      <c r="P2832" s="132"/>
      <c r="Q2832" s="261"/>
      <c r="R2832" s="92"/>
    </row>
    <row r="2833" spans="3:18" x14ac:dyDescent="0.25">
      <c r="C2833" s="263"/>
      <c r="D2833" s="157"/>
      <c r="E2833" s="44"/>
      <c r="F2833" s="146"/>
      <c r="G2833" s="1"/>
      <c r="H2833" s="161"/>
      <c r="I2833" s="37"/>
      <c r="J2833" s="135"/>
      <c r="K2833" s="112"/>
      <c r="L2833" s="37"/>
      <c r="M2833" s="37"/>
      <c r="N2833" s="37"/>
      <c r="O2833" s="130"/>
      <c r="P2833" s="132"/>
      <c r="Q2833" s="261"/>
      <c r="R2833" s="92"/>
    </row>
    <row r="2834" spans="3:18" x14ac:dyDescent="0.25">
      <c r="C2834" s="263"/>
      <c r="D2834" s="157"/>
      <c r="E2834" s="44"/>
      <c r="F2834" s="146"/>
      <c r="G2834" s="1"/>
      <c r="H2834" s="161"/>
      <c r="I2834" s="37"/>
      <c r="J2834" s="135"/>
      <c r="K2834" s="112"/>
      <c r="L2834" s="37"/>
      <c r="M2834" s="37"/>
      <c r="N2834" s="37"/>
      <c r="O2834" s="130"/>
      <c r="P2834" s="132"/>
      <c r="Q2834" s="261"/>
      <c r="R2834" s="92"/>
    </row>
    <row r="2835" spans="3:18" x14ac:dyDescent="0.25">
      <c r="C2835" s="263"/>
      <c r="D2835" s="157"/>
      <c r="E2835" s="44"/>
      <c r="F2835" s="146"/>
      <c r="G2835" s="1"/>
      <c r="H2835" s="161"/>
      <c r="I2835" s="37"/>
      <c r="J2835" s="135"/>
      <c r="K2835" s="112"/>
      <c r="L2835" s="37"/>
      <c r="M2835" s="37"/>
      <c r="N2835" s="37"/>
      <c r="O2835" s="130"/>
      <c r="P2835" s="132"/>
      <c r="Q2835" s="261"/>
      <c r="R2835" s="92"/>
    </row>
    <row r="2836" spans="3:18" x14ac:dyDescent="0.25">
      <c r="C2836" s="263"/>
      <c r="D2836" s="157"/>
      <c r="E2836" s="44"/>
      <c r="F2836" s="146"/>
      <c r="G2836" s="1"/>
      <c r="H2836" s="161"/>
      <c r="I2836" s="37"/>
      <c r="J2836" s="135"/>
      <c r="K2836" s="112"/>
      <c r="L2836" s="37"/>
      <c r="M2836" s="37"/>
      <c r="N2836" s="37"/>
      <c r="O2836" s="130"/>
      <c r="P2836" s="132"/>
      <c r="Q2836" s="261"/>
      <c r="R2836" s="92"/>
    </row>
    <row r="2837" spans="3:18" x14ac:dyDescent="0.25">
      <c r="C2837" s="263"/>
      <c r="D2837" s="157"/>
      <c r="E2837" s="44"/>
      <c r="F2837" s="146"/>
      <c r="G2837" s="1"/>
      <c r="H2837" s="161"/>
      <c r="I2837" s="37"/>
      <c r="J2837" s="135"/>
      <c r="K2837" s="112"/>
      <c r="L2837" s="37"/>
      <c r="M2837" s="37"/>
      <c r="N2837" s="37"/>
      <c r="O2837" s="130"/>
      <c r="P2837" s="132"/>
      <c r="Q2837" s="261"/>
      <c r="R2837" s="92"/>
    </row>
    <row r="2838" spans="3:18" x14ac:dyDescent="0.25">
      <c r="C2838" s="263"/>
      <c r="D2838" s="157"/>
      <c r="E2838" s="44"/>
      <c r="F2838" s="146"/>
      <c r="G2838" s="1"/>
      <c r="H2838" s="161"/>
      <c r="I2838" s="37"/>
      <c r="J2838" s="135"/>
      <c r="K2838" s="112"/>
      <c r="L2838" s="37"/>
      <c r="M2838" s="37"/>
      <c r="N2838" s="37"/>
      <c r="O2838" s="130"/>
      <c r="P2838" s="132"/>
      <c r="Q2838" s="261"/>
      <c r="R2838" s="92"/>
    </row>
    <row r="2839" spans="3:18" x14ac:dyDescent="0.25">
      <c r="C2839" s="263"/>
      <c r="D2839" s="157"/>
      <c r="E2839" s="44"/>
      <c r="F2839" s="146"/>
      <c r="G2839" s="1"/>
      <c r="H2839" s="161"/>
      <c r="I2839" s="37"/>
      <c r="J2839" s="135"/>
      <c r="K2839" s="112"/>
      <c r="L2839" s="37"/>
      <c r="M2839" s="37"/>
      <c r="N2839" s="37"/>
      <c r="O2839" s="130"/>
      <c r="P2839" s="132"/>
      <c r="Q2839" s="261"/>
      <c r="R2839" s="92"/>
    </row>
    <row r="2840" spans="3:18" x14ac:dyDescent="0.25">
      <c r="C2840" s="263"/>
      <c r="D2840" s="157"/>
      <c r="E2840" s="44"/>
      <c r="F2840" s="146"/>
      <c r="G2840" s="1"/>
      <c r="H2840" s="161"/>
      <c r="I2840" s="37"/>
      <c r="J2840" s="135"/>
      <c r="K2840" s="112"/>
      <c r="L2840" s="37"/>
      <c r="M2840" s="37"/>
      <c r="N2840" s="37"/>
      <c r="O2840" s="130"/>
      <c r="P2840" s="132"/>
      <c r="Q2840" s="261"/>
      <c r="R2840" s="92"/>
    </row>
    <row r="2841" spans="3:18" x14ac:dyDescent="0.25">
      <c r="C2841" s="263"/>
      <c r="D2841" s="157"/>
      <c r="E2841" s="44"/>
      <c r="F2841" s="146"/>
      <c r="G2841" s="1"/>
      <c r="H2841" s="161"/>
      <c r="I2841" s="37"/>
      <c r="J2841" s="135"/>
      <c r="K2841" s="112"/>
      <c r="L2841" s="37"/>
      <c r="M2841" s="37"/>
      <c r="N2841" s="37"/>
      <c r="O2841" s="130"/>
      <c r="P2841" s="132"/>
      <c r="Q2841" s="261"/>
      <c r="R2841" s="92"/>
    </row>
    <row r="2842" spans="3:18" x14ac:dyDescent="0.25">
      <c r="C2842" s="263"/>
      <c r="D2842" s="157"/>
      <c r="E2842" s="44"/>
      <c r="F2842" s="146"/>
      <c r="G2842" s="1"/>
      <c r="H2842" s="161"/>
      <c r="I2842" s="37"/>
      <c r="J2842" s="135"/>
      <c r="K2842" s="112"/>
      <c r="L2842" s="37"/>
      <c r="M2842" s="37"/>
      <c r="N2842" s="37"/>
      <c r="O2842" s="130"/>
      <c r="P2842" s="132"/>
      <c r="Q2842" s="261"/>
      <c r="R2842" s="92"/>
    </row>
    <row r="2843" spans="3:18" x14ac:dyDescent="0.25">
      <c r="C2843" s="263"/>
      <c r="D2843" s="157"/>
      <c r="E2843" s="44"/>
      <c r="F2843" s="146"/>
      <c r="G2843" s="1"/>
      <c r="H2843" s="161"/>
      <c r="I2843" s="37"/>
      <c r="J2843" s="135"/>
      <c r="K2843" s="112"/>
      <c r="L2843" s="37"/>
      <c r="M2843" s="37"/>
      <c r="N2843" s="37"/>
      <c r="O2843" s="130"/>
      <c r="P2843" s="132"/>
      <c r="Q2843" s="261"/>
      <c r="R2843" s="92"/>
    </row>
    <row r="2844" spans="3:18" x14ac:dyDescent="0.25">
      <c r="C2844" s="263"/>
      <c r="D2844" s="157"/>
      <c r="E2844" s="44"/>
      <c r="F2844" s="146"/>
      <c r="G2844" s="1"/>
      <c r="H2844" s="161"/>
      <c r="I2844" s="37"/>
      <c r="J2844" s="135"/>
      <c r="K2844" s="112"/>
      <c r="L2844" s="37"/>
      <c r="M2844" s="37"/>
      <c r="N2844" s="37"/>
      <c r="O2844" s="130"/>
      <c r="P2844" s="132"/>
      <c r="Q2844" s="261"/>
      <c r="R2844" s="92"/>
    </row>
    <row r="2845" spans="3:18" x14ac:dyDescent="0.25">
      <c r="C2845" s="263"/>
      <c r="D2845" s="157"/>
      <c r="E2845" s="44"/>
      <c r="F2845" s="146"/>
      <c r="G2845" s="1"/>
      <c r="H2845" s="161"/>
      <c r="I2845" s="37"/>
      <c r="J2845" s="135"/>
      <c r="K2845" s="112"/>
      <c r="L2845" s="37"/>
      <c r="M2845" s="37"/>
      <c r="N2845" s="37"/>
      <c r="O2845" s="130"/>
      <c r="P2845" s="132"/>
      <c r="Q2845" s="261"/>
      <c r="R2845" s="92"/>
    </row>
    <row r="2846" spans="3:18" x14ac:dyDescent="0.25">
      <c r="C2846" s="263"/>
      <c r="D2846" s="157"/>
      <c r="E2846" s="44"/>
      <c r="F2846" s="146"/>
      <c r="G2846" s="1"/>
      <c r="H2846" s="161"/>
      <c r="I2846" s="37"/>
      <c r="J2846" s="135"/>
      <c r="K2846" s="112"/>
      <c r="L2846" s="37"/>
      <c r="M2846" s="37"/>
      <c r="N2846" s="37"/>
      <c r="O2846" s="130"/>
      <c r="P2846" s="132"/>
      <c r="Q2846" s="261"/>
      <c r="R2846" s="92"/>
    </row>
    <row r="2847" spans="3:18" x14ac:dyDescent="0.25">
      <c r="C2847" s="263"/>
      <c r="D2847" s="157"/>
      <c r="E2847" s="44"/>
      <c r="F2847" s="146"/>
      <c r="G2847" s="1"/>
      <c r="H2847" s="161"/>
      <c r="I2847" s="37"/>
      <c r="J2847" s="135"/>
      <c r="K2847" s="112"/>
      <c r="L2847" s="37"/>
      <c r="M2847" s="37"/>
      <c r="N2847" s="37"/>
      <c r="O2847" s="130"/>
      <c r="P2847" s="132"/>
      <c r="Q2847" s="261"/>
      <c r="R2847" s="92"/>
    </row>
    <row r="2848" spans="3:18" x14ac:dyDescent="0.25">
      <c r="C2848" s="263"/>
      <c r="D2848" s="157"/>
      <c r="E2848" s="44"/>
      <c r="F2848" s="146"/>
      <c r="G2848" s="1"/>
      <c r="H2848" s="161"/>
      <c r="I2848" s="37"/>
      <c r="J2848" s="135"/>
      <c r="K2848" s="112"/>
      <c r="L2848" s="37"/>
      <c r="M2848" s="37"/>
      <c r="N2848" s="37"/>
      <c r="O2848" s="130"/>
      <c r="P2848" s="132"/>
      <c r="Q2848" s="261"/>
      <c r="R2848" s="92"/>
    </row>
    <row r="2849" spans="3:18" x14ac:dyDescent="0.25">
      <c r="C2849" s="263"/>
      <c r="D2849" s="157"/>
      <c r="E2849" s="44"/>
      <c r="F2849" s="146"/>
      <c r="G2849" s="1"/>
      <c r="H2849" s="161"/>
      <c r="I2849" s="37"/>
      <c r="J2849" s="135"/>
      <c r="K2849" s="112"/>
      <c r="L2849" s="37"/>
      <c r="M2849" s="37"/>
      <c r="N2849" s="37"/>
      <c r="O2849" s="130"/>
      <c r="P2849" s="132"/>
      <c r="Q2849" s="261"/>
      <c r="R2849" s="92"/>
    </row>
    <row r="2850" spans="3:18" x14ac:dyDescent="0.25">
      <c r="C2850" s="263"/>
      <c r="D2850" s="157"/>
      <c r="E2850" s="44"/>
      <c r="F2850" s="146"/>
      <c r="G2850" s="1"/>
      <c r="H2850" s="161"/>
      <c r="I2850" s="37"/>
      <c r="J2850" s="135"/>
      <c r="K2850" s="112"/>
      <c r="L2850" s="37"/>
      <c r="M2850" s="37"/>
      <c r="N2850" s="37"/>
      <c r="O2850" s="130"/>
      <c r="P2850" s="132"/>
      <c r="Q2850" s="261"/>
      <c r="R2850" s="92"/>
    </row>
    <row r="2851" spans="3:18" x14ac:dyDescent="0.25">
      <c r="C2851" s="263"/>
      <c r="D2851" s="157"/>
      <c r="E2851" s="44"/>
      <c r="F2851" s="146"/>
      <c r="G2851" s="1"/>
      <c r="H2851" s="161"/>
      <c r="I2851" s="37"/>
      <c r="J2851" s="135"/>
      <c r="K2851" s="112"/>
      <c r="L2851" s="37"/>
      <c r="M2851" s="37"/>
      <c r="N2851" s="37"/>
      <c r="O2851" s="130"/>
      <c r="P2851" s="132"/>
      <c r="Q2851" s="261"/>
      <c r="R2851" s="92"/>
    </row>
    <row r="2852" spans="3:18" x14ac:dyDescent="0.25">
      <c r="C2852" s="263"/>
      <c r="D2852" s="157"/>
      <c r="E2852" s="44"/>
      <c r="F2852" s="146"/>
      <c r="G2852" s="1"/>
      <c r="H2852" s="161"/>
      <c r="I2852" s="37"/>
      <c r="J2852" s="135"/>
      <c r="K2852" s="112"/>
      <c r="L2852" s="37"/>
      <c r="M2852" s="37"/>
      <c r="N2852" s="37"/>
      <c r="O2852" s="130"/>
      <c r="P2852" s="132"/>
      <c r="Q2852" s="261"/>
      <c r="R2852" s="92"/>
    </row>
    <row r="2853" spans="3:18" x14ac:dyDescent="0.25">
      <c r="C2853" s="263"/>
      <c r="D2853" s="157"/>
      <c r="E2853" s="44"/>
      <c r="F2853" s="146"/>
      <c r="G2853" s="1"/>
      <c r="H2853" s="161"/>
      <c r="I2853" s="37"/>
      <c r="J2853" s="135"/>
      <c r="K2853" s="112"/>
      <c r="L2853" s="37"/>
      <c r="M2853" s="37"/>
      <c r="N2853" s="37"/>
      <c r="O2853" s="130"/>
      <c r="P2853" s="132"/>
      <c r="Q2853" s="261"/>
      <c r="R2853" s="92"/>
    </row>
    <row r="2854" spans="3:18" x14ac:dyDescent="0.25">
      <c r="C2854" s="263"/>
      <c r="D2854" s="157"/>
      <c r="E2854" s="44"/>
      <c r="F2854" s="146"/>
      <c r="G2854" s="1"/>
      <c r="H2854" s="161"/>
      <c r="I2854" s="37"/>
      <c r="J2854" s="135"/>
      <c r="K2854" s="112"/>
      <c r="L2854" s="37"/>
      <c r="M2854" s="37"/>
      <c r="N2854" s="37"/>
      <c r="O2854" s="130"/>
      <c r="P2854" s="132"/>
      <c r="Q2854" s="261"/>
      <c r="R2854" s="92"/>
    </row>
    <row r="2855" spans="3:18" x14ac:dyDescent="0.25">
      <c r="C2855" s="263"/>
      <c r="D2855" s="157"/>
      <c r="E2855" s="44"/>
      <c r="F2855" s="146"/>
      <c r="G2855" s="1"/>
      <c r="H2855" s="161"/>
      <c r="I2855" s="37"/>
      <c r="J2855" s="135"/>
      <c r="K2855" s="112"/>
      <c r="L2855" s="37"/>
      <c r="M2855" s="37"/>
      <c r="N2855" s="37"/>
      <c r="O2855" s="130"/>
      <c r="P2855" s="132"/>
      <c r="Q2855" s="261"/>
      <c r="R2855" s="92"/>
    </row>
    <row r="2856" spans="3:18" x14ac:dyDescent="0.25">
      <c r="C2856" s="263"/>
      <c r="D2856" s="157"/>
      <c r="E2856" s="44"/>
      <c r="F2856" s="146"/>
      <c r="G2856" s="1"/>
      <c r="H2856" s="161"/>
      <c r="I2856" s="37"/>
      <c r="J2856" s="135"/>
      <c r="K2856" s="112"/>
      <c r="L2856" s="37"/>
      <c r="M2856" s="37"/>
      <c r="N2856" s="37"/>
      <c r="O2856" s="130"/>
      <c r="P2856" s="132"/>
      <c r="Q2856" s="261"/>
      <c r="R2856" s="92"/>
    </row>
    <row r="2857" spans="3:18" x14ac:dyDescent="0.25">
      <c r="C2857" s="263"/>
      <c r="D2857" s="157"/>
      <c r="E2857" s="44"/>
      <c r="F2857" s="146"/>
      <c r="G2857" s="1"/>
      <c r="H2857" s="161"/>
      <c r="I2857" s="37"/>
      <c r="J2857" s="135"/>
      <c r="K2857" s="112"/>
      <c r="L2857" s="37"/>
      <c r="M2857" s="37"/>
      <c r="N2857" s="37"/>
      <c r="O2857" s="130"/>
      <c r="P2857" s="132"/>
      <c r="Q2857" s="261"/>
      <c r="R2857" s="92"/>
    </row>
    <row r="2858" spans="3:18" x14ac:dyDescent="0.25">
      <c r="C2858" s="263"/>
      <c r="D2858" s="157"/>
      <c r="E2858" s="44"/>
      <c r="F2858" s="146"/>
      <c r="G2858" s="1"/>
      <c r="H2858" s="161"/>
      <c r="I2858" s="37"/>
      <c r="J2858" s="135"/>
      <c r="K2858" s="112"/>
      <c r="L2858" s="37"/>
      <c r="M2858" s="37"/>
      <c r="N2858" s="37"/>
      <c r="O2858" s="130"/>
      <c r="P2858" s="132"/>
      <c r="Q2858" s="261"/>
      <c r="R2858" s="92"/>
    </row>
    <row r="2859" spans="3:18" x14ac:dyDescent="0.25">
      <c r="C2859" s="263"/>
      <c r="D2859" s="157"/>
      <c r="E2859" s="44"/>
      <c r="F2859" s="146"/>
      <c r="G2859" s="1"/>
      <c r="H2859" s="161"/>
      <c r="I2859" s="37"/>
      <c r="J2859" s="135"/>
      <c r="K2859" s="112"/>
      <c r="L2859" s="37"/>
      <c r="M2859" s="37"/>
      <c r="N2859" s="37"/>
      <c r="O2859" s="130"/>
      <c r="P2859" s="132"/>
      <c r="Q2859" s="261"/>
      <c r="R2859" s="92"/>
    </row>
    <row r="2860" spans="3:18" x14ac:dyDescent="0.25">
      <c r="C2860" s="263"/>
      <c r="D2860" s="157"/>
      <c r="E2860" s="44"/>
      <c r="F2860" s="146"/>
      <c r="G2860" s="1"/>
      <c r="H2860" s="161"/>
      <c r="I2860" s="37"/>
      <c r="J2860" s="135"/>
      <c r="K2860" s="112"/>
      <c r="L2860" s="37"/>
      <c r="M2860" s="37"/>
      <c r="N2860" s="37"/>
      <c r="O2860" s="130"/>
      <c r="P2860" s="132"/>
      <c r="Q2860" s="261"/>
      <c r="R2860" s="92"/>
    </row>
    <row r="2861" spans="3:18" x14ac:dyDescent="0.25">
      <c r="C2861" s="263"/>
      <c r="D2861" s="157"/>
      <c r="E2861" s="44"/>
      <c r="F2861" s="146"/>
      <c r="G2861" s="1"/>
      <c r="H2861" s="161"/>
      <c r="I2861" s="37"/>
      <c r="J2861" s="135"/>
      <c r="K2861" s="112"/>
      <c r="L2861" s="37"/>
      <c r="M2861" s="37"/>
      <c r="N2861" s="37"/>
      <c r="O2861" s="130"/>
      <c r="P2861" s="132"/>
      <c r="Q2861" s="261"/>
      <c r="R2861" s="92"/>
    </row>
    <row r="2862" spans="3:18" x14ac:dyDescent="0.25">
      <c r="C2862" s="263"/>
      <c r="D2862" s="157"/>
      <c r="E2862" s="44"/>
      <c r="F2862" s="146"/>
      <c r="G2862" s="1"/>
      <c r="H2862" s="161"/>
      <c r="I2862" s="37"/>
      <c r="J2862" s="135"/>
      <c r="K2862" s="112"/>
      <c r="L2862" s="37"/>
      <c r="M2862" s="37"/>
      <c r="N2862" s="37"/>
      <c r="O2862" s="130"/>
      <c r="P2862" s="132"/>
      <c r="Q2862" s="261"/>
      <c r="R2862" s="92"/>
    </row>
    <row r="2863" spans="3:18" x14ac:dyDescent="0.25">
      <c r="C2863" s="263"/>
      <c r="D2863" s="157"/>
      <c r="E2863" s="44"/>
      <c r="F2863" s="146"/>
      <c r="G2863" s="1"/>
      <c r="H2863" s="161"/>
      <c r="I2863" s="37"/>
      <c r="J2863" s="135"/>
      <c r="K2863" s="112"/>
      <c r="L2863" s="37"/>
      <c r="M2863" s="37"/>
      <c r="N2863" s="37"/>
      <c r="O2863" s="130"/>
      <c r="P2863" s="132"/>
      <c r="Q2863" s="261"/>
      <c r="R2863" s="92"/>
    </row>
    <row r="2864" spans="3:18" x14ac:dyDescent="0.25">
      <c r="C2864" s="263"/>
      <c r="D2864" s="157"/>
      <c r="E2864" s="44"/>
      <c r="F2864" s="146"/>
      <c r="G2864" s="1"/>
      <c r="H2864" s="161"/>
      <c r="I2864" s="37"/>
      <c r="J2864" s="135"/>
      <c r="K2864" s="112"/>
      <c r="L2864" s="37"/>
      <c r="M2864" s="37"/>
      <c r="N2864" s="37"/>
      <c r="O2864" s="130"/>
      <c r="P2864" s="132"/>
      <c r="Q2864" s="261"/>
      <c r="R2864" s="92"/>
    </row>
    <row r="2865" spans="3:18" x14ac:dyDescent="0.25">
      <c r="C2865" s="263"/>
      <c r="D2865" s="157"/>
      <c r="E2865" s="44"/>
      <c r="F2865" s="146"/>
      <c r="G2865" s="1"/>
      <c r="H2865" s="161"/>
      <c r="I2865" s="37"/>
      <c r="J2865" s="135"/>
      <c r="K2865" s="112"/>
      <c r="L2865" s="37"/>
      <c r="M2865" s="37"/>
      <c r="N2865" s="37"/>
      <c r="O2865" s="130"/>
      <c r="P2865" s="132"/>
      <c r="Q2865" s="261"/>
      <c r="R2865" s="92"/>
    </row>
    <row r="2866" spans="3:18" x14ac:dyDescent="0.25">
      <c r="C2866" s="263"/>
      <c r="D2866" s="157"/>
      <c r="E2866" s="44"/>
      <c r="F2866" s="146"/>
      <c r="G2866" s="1"/>
      <c r="H2866" s="161"/>
      <c r="I2866" s="37"/>
      <c r="J2866" s="135"/>
      <c r="K2866" s="112"/>
      <c r="L2866" s="37"/>
      <c r="M2866" s="37"/>
      <c r="N2866" s="37"/>
      <c r="O2866" s="130"/>
      <c r="P2866" s="132"/>
      <c r="Q2866" s="261"/>
      <c r="R2866" s="92"/>
    </row>
    <row r="2867" spans="3:18" x14ac:dyDescent="0.25">
      <c r="C2867" s="263"/>
      <c r="D2867" s="157"/>
      <c r="E2867" s="44"/>
      <c r="F2867" s="146"/>
      <c r="G2867" s="1"/>
      <c r="H2867" s="161"/>
      <c r="I2867" s="37"/>
      <c r="J2867" s="135"/>
      <c r="K2867" s="112"/>
      <c r="L2867" s="37"/>
      <c r="M2867" s="37"/>
      <c r="N2867" s="37"/>
      <c r="O2867" s="130"/>
      <c r="P2867" s="132"/>
      <c r="Q2867" s="261"/>
      <c r="R2867" s="92"/>
    </row>
    <row r="2868" spans="3:18" x14ac:dyDescent="0.25">
      <c r="C2868" s="263"/>
      <c r="D2868" s="157"/>
      <c r="E2868" s="44"/>
      <c r="F2868" s="146"/>
      <c r="G2868" s="1"/>
      <c r="H2868" s="161"/>
      <c r="I2868" s="37"/>
      <c r="J2868" s="135"/>
      <c r="K2868" s="112"/>
      <c r="L2868" s="37"/>
      <c r="M2868" s="37"/>
      <c r="N2868" s="37"/>
      <c r="O2868" s="130"/>
      <c r="P2868" s="132"/>
      <c r="Q2868" s="261"/>
      <c r="R2868" s="92"/>
    </row>
    <row r="2869" spans="3:18" x14ac:dyDescent="0.25">
      <c r="C2869" s="263"/>
      <c r="D2869" s="157"/>
      <c r="E2869" s="44"/>
      <c r="F2869" s="146"/>
      <c r="G2869" s="1"/>
      <c r="H2869" s="161"/>
      <c r="I2869" s="37"/>
      <c r="J2869" s="135"/>
      <c r="K2869" s="112"/>
      <c r="L2869" s="37"/>
      <c r="M2869" s="37"/>
      <c r="N2869" s="37"/>
      <c r="O2869" s="130"/>
      <c r="P2869" s="132"/>
      <c r="Q2869" s="261"/>
      <c r="R2869" s="92"/>
    </row>
    <row r="2870" spans="3:18" x14ac:dyDescent="0.25">
      <c r="C2870" s="263"/>
      <c r="D2870" s="157"/>
      <c r="E2870" s="44"/>
      <c r="F2870" s="146"/>
      <c r="G2870" s="1"/>
      <c r="H2870" s="161"/>
      <c r="I2870" s="37"/>
      <c r="J2870" s="135"/>
      <c r="K2870" s="112"/>
      <c r="L2870" s="37"/>
      <c r="M2870" s="37"/>
      <c r="N2870" s="37"/>
      <c r="O2870" s="130"/>
      <c r="P2870" s="132"/>
      <c r="Q2870" s="261"/>
      <c r="R2870" s="92"/>
    </row>
    <row r="2871" spans="3:18" x14ac:dyDescent="0.25">
      <c r="C2871" s="263"/>
      <c r="D2871" s="157"/>
      <c r="E2871" s="44"/>
      <c r="F2871" s="146"/>
      <c r="G2871" s="1"/>
      <c r="H2871" s="161"/>
      <c r="I2871" s="37"/>
      <c r="J2871" s="135"/>
      <c r="K2871" s="112"/>
      <c r="L2871" s="37"/>
      <c r="M2871" s="37"/>
      <c r="N2871" s="37"/>
      <c r="O2871" s="130"/>
      <c r="P2871" s="132"/>
      <c r="Q2871" s="261"/>
      <c r="R2871" s="92"/>
    </row>
    <row r="2872" spans="3:18" x14ac:dyDescent="0.25">
      <c r="C2872" s="263"/>
      <c r="D2872" s="157"/>
      <c r="E2872" s="44"/>
      <c r="F2872" s="146"/>
      <c r="G2872" s="1"/>
      <c r="H2872" s="161"/>
      <c r="I2872" s="37"/>
      <c r="J2872" s="135"/>
      <c r="K2872" s="112"/>
      <c r="L2872" s="37"/>
      <c r="M2872" s="37"/>
      <c r="N2872" s="37"/>
      <c r="O2872" s="130"/>
      <c r="P2872" s="132"/>
      <c r="Q2872" s="261"/>
      <c r="R2872" s="92"/>
    </row>
    <row r="2873" spans="3:18" x14ac:dyDescent="0.25">
      <c r="C2873" s="263"/>
      <c r="D2873" s="157"/>
      <c r="E2873" s="44"/>
      <c r="F2873" s="146"/>
      <c r="G2873" s="1"/>
      <c r="H2873" s="161"/>
      <c r="I2873" s="37"/>
      <c r="J2873" s="135"/>
      <c r="K2873" s="112"/>
      <c r="L2873" s="37"/>
      <c r="M2873" s="37"/>
      <c r="N2873" s="37"/>
      <c r="O2873" s="130"/>
      <c r="P2873" s="132"/>
      <c r="Q2873" s="261"/>
      <c r="R2873" s="92"/>
    </row>
    <row r="2874" spans="3:18" x14ac:dyDescent="0.25">
      <c r="C2874" s="263"/>
      <c r="D2874" s="157"/>
      <c r="E2874" s="44"/>
      <c r="F2874" s="146"/>
      <c r="G2874" s="1"/>
      <c r="H2874" s="161"/>
      <c r="I2874" s="37"/>
      <c r="J2874" s="135"/>
      <c r="K2874" s="112"/>
      <c r="L2874" s="37"/>
      <c r="M2874" s="37"/>
      <c r="N2874" s="37"/>
      <c r="O2874" s="130"/>
      <c r="P2874" s="132"/>
      <c r="Q2874" s="261"/>
      <c r="R2874" s="92"/>
    </row>
    <row r="2875" spans="3:18" x14ac:dyDescent="0.25">
      <c r="C2875" s="263"/>
      <c r="D2875" s="157"/>
      <c r="E2875" s="44"/>
      <c r="F2875" s="146"/>
      <c r="G2875" s="1"/>
      <c r="H2875" s="161"/>
      <c r="I2875" s="37"/>
      <c r="J2875" s="135"/>
      <c r="K2875" s="112"/>
      <c r="L2875" s="37"/>
      <c r="M2875" s="37"/>
      <c r="N2875" s="37"/>
      <c r="O2875" s="130"/>
      <c r="P2875" s="132"/>
      <c r="Q2875" s="261"/>
      <c r="R2875" s="92"/>
    </row>
    <row r="2876" spans="3:18" x14ac:dyDescent="0.25">
      <c r="C2876" s="263"/>
      <c r="D2876" s="157"/>
      <c r="E2876" s="44"/>
      <c r="F2876" s="146"/>
      <c r="G2876" s="1"/>
      <c r="H2876" s="161"/>
      <c r="I2876" s="37"/>
      <c r="J2876" s="135"/>
      <c r="K2876" s="112"/>
      <c r="L2876" s="37"/>
      <c r="M2876" s="37"/>
      <c r="N2876" s="37"/>
      <c r="O2876" s="130"/>
      <c r="P2876" s="132"/>
      <c r="Q2876" s="261"/>
      <c r="R2876" s="92"/>
    </row>
    <row r="2877" spans="3:18" x14ac:dyDescent="0.25">
      <c r="C2877" s="263"/>
      <c r="D2877" s="157"/>
      <c r="E2877" s="44"/>
      <c r="F2877" s="146"/>
      <c r="G2877" s="1"/>
      <c r="H2877" s="161"/>
      <c r="I2877" s="37"/>
      <c r="J2877" s="135"/>
      <c r="K2877" s="112"/>
      <c r="L2877" s="37"/>
      <c r="M2877" s="37"/>
      <c r="N2877" s="37"/>
      <c r="O2877" s="130"/>
      <c r="P2877" s="132"/>
      <c r="Q2877" s="261"/>
      <c r="R2877" s="92"/>
    </row>
    <row r="2878" spans="3:18" x14ac:dyDescent="0.25">
      <c r="C2878" s="263"/>
      <c r="D2878" s="157"/>
      <c r="E2878" s="44"/>
      <c r="F2878" s="146"/>
      <c r="G2878" s="1"/>
      <c r="H2878" s="161"/>
      <c r="I2878" s="37"/>
      <c r="J2878" s="135"/>
      <c r="K2878" s="112"/>
      <c r="L2878" s="37"/>
      <c r="M2878" s="37"/>
      <c r="N2878" s="37"/>
      <c r="O2878" s="130"/>
      <c r="P2878" s="132"/>
      <c r="Q2878" s="261"/>
      <c r="R2878" s="92"/>
    </row>
    <row r="2879" spans="3:18" x14ac:dyDescent="0.25">
      <c r="C2879" s="263"/>
      <c r="D2879" s="157"/>
      <c r="E2879" s="44"/>
      <c r="F2879" s="146"/>
      <c r="G2879" s="1"/>
      <c r="H2879" s="161"/>
      <c r="I2879" s="37"/>
      <c r="J2879" s="135"/>
      <c r="K2879" s="112"/>
      <c r="L2879" s="37"/>
      <c r="M2879" s="37"/>
      <c r="N2879" s="37"/>
      <c r="O2879" s="130"/>
      <c r="P2879" s="132"/>
      <c r="Q2879" s="261"/>
      <c r="R2879" s="92"/>
    </row>
    <row r="2880" spans="3:18" x14ac:dyDescent="0.25">
      <c r="C2880" s="263"/>
      <c r="D2880" s="157"/>
      <c r="E2880" s="44"/>
      <c r="F2880" s="146"/>
      <c r="G2880" s="1"/>
      <c r="H2880" s="161"/>
      <c r="I2880" s="37"/>
      <c r="J2880" s="135"/>
      <c r="K2880" s="112"/>
      <c r="L2880" s="37"/>
      <c r="M2880" s="37"/>
      <c r="N2880" s="37"/>
      <c r="O2880" s="130"/>
      <c r="P2880" s="132"/>
      <c r="Q2880" s="261"/>
      <c r="R2880" s="92"/>
    </row>
    <row r="2881" spans="3:18" x14ac:dyDescent="0.25">
      <c r="C2881" s="263"/>
      <c r="D2881" s="157"/>
      <c r="E2881" s="44"/>
      <c r="F2881" s="146"/>
      <c r="G2881" s="1"/>
      <c r="H2881" s="161"/>
      <c r="I2881" s="37"/>
      <c r="J2881" s="135"/>
      <c r="K2881" s="112"/>
      <c r="L2881" s="37"/>
      <c r="M2881" s="37"/>
      <c r="N2881" s="37"/>
      <c r="O2881" s="130"/>
      <c r="P2881" s="132"/>
      <c r="Q2881" s="261"/>
      <c r="R2881" s="92"/>
    </row>
    <row r="2882" spans="3:18" x14ac:dyDescent="0.25">
      <c r="C2882" s="263"/>
      <c r="D2882" s="157"/>
      <c r="E2882" s="44"/>
      <c r="F2882" s="146"/>
      <c r="G2882" s="1"/>
      <c r="H2882" s="161"/>
      <c r="I2882" s="37"/>
      <c r="J2882" s="135"/>
      <c r="K2882" s="112"/>
      <c r="L2882" s="37"/>
      <c r="M2882" s="37"/>
      <c r="N2882" s="37"/>
      <c r="O2882" s="130"/>
      <c r="P2882" s="132"/>
      <c r="Q2882" s="261"/>
      <c r="R2882" s="92"/>
    </row>
    <row r="2883" spans="3:18" x14ac:dyDescent="0.25">
      <c r="C2883" s="263"/>
      <c r="D2883" s="157"/>
      <c r="E2883" s="44"/>
      <c r="F2883" s="146"/>
      <c r="G2883" s="1"/>
      <c r="H2883" s="161"/>
      <c r="I2883" s="37"/>
      <c r="J2883" s="135"/>
      <c r="K2883" s="112"/>
      <c r="L2883" s="37"/>
      <c r="M2883" s="37"/>
      <c r="N2883" s="37"/>
      <c r="O2883" s="130"/>
      <c r="P2883" s="132"/>
      <c r="Q2883" s="261"/>
      <c r="R2883" s="92"/>
    </row>
    <row r="2884" spans="3:18" x14ac:dyDescent="0.25">
      <c r="C2884" s="263"/>
      <c r="D2884" s="157"/>
      <c r="E2884" s="44"/>
      <c r="F2884" s="146"/>
      <c r="G2884" s="1"/>
      <c r="H2884" s="161"/>
      <c r="I2884" s="37"/>
      <c r="J2884" s="135"/>
      <c r="K2884" s="112"/>
      <c r="L2884" s="37"/>
      <c r="M2884" s="37"/>
      <c r="N2884" s="37"/>
      <c r="O2884" s="130"/>
      <c r="P2884" s="132"/>
      <c r="Q2884" s="261"/>
      <c r="R2884" s="92"/>
    </row>
    <row r="2885" spans="3:18" x14ac:dyDescent="0.25">
      <c r="C2885" s="263"/>
      <c r="D2885" s="157"/>
      <c r="E2885" s="44"/>
      <c r="F2885" s="146"/>
      <c r="G2885" s="1"/>
      <c r="H2885" s="161"/>
      <c r="I2885" s="37"/>
      <c r="J2885" s="135"/>
      <c r="K2885" s="112"/>
      <c r="L2885" s="37"/>
      <c r="M2885" s="37"/>
      <c r="N2885" s="37"/>
      <c r="O2885" s="130"/>
      <c r="P2885" s="132"/>
      <c r="Q2885" s="261"/>
      <c r="R2885" s="92"/>
    </row>
    <row r="2886" spans="3:18" x14ac:dyDescent="0.25">
      <c r="C2886" s="263"/>
      <c r="D2886" s="157"/>
      <c r="E2886" s="44"/>
      <c r="F2886" s="146"/>
      <c r="G2886" s="1"/>
      <c r="H2886" s="161"/>
      <c r="I2886" s="37"/>
      <c r="J2886" s="135"/>
      <c r="K2886" s="112"/>
      <c r="L2886" s="37"/>
      <c r="M2886" s="37"/>
      <c r="N2886" s="37"/>
      <c r="O2886" s="130"/>
      <c r="P2886" s="132"/>
      <c r="Q2886" s="261"/>
      <c r="R2886" s="92"/>
    </row>
    <row r="2887" spans="3:18" x14ac:dyDescent="0.25">
      <c r="C2887" s="263"/>
      <c r="D2887" s="157"/>
      <c r="E2887" s="44"/>
      <c r="F2887" s="146"/>
      <c r="G2887" s="1"/>
      <c r="H2887" s="161"/>
      <c r="I2887" s="37"/>
      <c r="J2887" s="135"/>
      <c r="K2887" s="112"/>
      <c r="L2887" s="37"/>
      <c r="M2887" s="37"/>
      <c r="N2887" s="37"/>
      <c r="O2887" s="130"/>
      <c r="P2887" s="132"/>
      <c r="Q2887" s="261"/>
      <c r="R2887" s="92"/>
    </row>
    <row r="2888" spans="3:18" x14ac:dyDescent="0.25">
      <c r="C2888" s="263"/>
      <c r="D2888" s="157"/>
      <c r="E2888" s="44"/>
      <c r="F2888" s="146"/>
      <c r="G2888" s="1"/>
      <c r="H2888" s="161"/>
      <c r="I2888" s="37"/>
      <c r="J2888" s="135"/>
      <c r="K2888" s="112"/>
      <c r="L2888" s="37"/>
      <c r="M2888" s="37"/>
      <c r="N2888" s="37"/>
      <c r="O2888" s="130"/>
      <c r="P2888" s="132"/>
      <c r="Q2888" s="261"/>
      <c r="R2888" s="92"/>
    </row>
    <row r="2889" spans="3:18" x14ac:dyDescent="0.25">
      <c r="C2889" s="263"/>
      <c r="D2889" s="157"/>
      <c r="E2889" s="44"/>
      <c r="F2889" s="146"/>
      <c r="G2889" s="1"/>
      <c r="H2889" s="161"/>
      <c r="I2889" s="37"/>
      <c r="J2889" s="135"/>
      <c r="K2889" s="112"/>
      <c r="L2889" s="37"/>
      <c r="M2889" s="37"/>
      <c r="N2889" s="37"/>
      <c r="O2889" s="130"/>
      <c r="P2889" s="132"/>
      <c r="Q2889" s="261"/>
      <c r="R2889" s="92"/>
    </row>
    <row r="2890" spans="3:18" x14ac:dyDescent="0.25">
      <c r="C2890" s="263"/>
      <c r="D2890" s="157"/>
      <c r="E2890" s="44"/>
      <c r="F2890" s="146"/>
      <c r="G2890" s="1"/>
      <c r="H2890" s="161"/>
      <c r="I2890" s="37"/>
      <c r="J2890" s="135"/>
      <c r="K2890" s="112"/>
      <c r="L2890" s="37"/>
      <c r="M2890" s="37"/>
      <c r="N2890" s="37"/>
      <c r="O2890" s="130"/>
      <c r="P2890" s="132"/>
      <c r="Q2890" s="261"/>
      <c r="R2890" s="92"/>
    </row>
    <row r="2891" spans="3:18" x14ac:dyDescent="0.25">
      <c r="C2891" s="263"/>
      <c r="D2891" s="157"/>
      <c r="E2891" s="44"/>
      <c r="F2891" s="146"/>
      <c r="G2891" s="1"/>
      <c r="H2891" s="161"/>
      <c r="I2891" s="37"/>
      <c r="J2891" s="135"/>
      <c r="K2891" s="112"/>
      <c r="L2891" s="37"/>
      <c r="M2891" s="37"/>
      <c r="N2891" s="37"/>
      <c r="O2891" s="130"/>
      <c r="P2891" s="132"/>
      <c r="Q2891" s="261"/>
      <c r="R2891" s="92"/>
    </row>
    <row r="2892" spans="3:18" x14ac:dyDescent="0.25">
      <c r="C2892" s="263"/>
      <c r="D2892" s="157"/>
      <c r="E2892" s="44"/>
      <c r="F2892" s="146"/>
      <c r="G2892" s="1"/>
      <c r="H2892" s="161"/>
      <c r="I2892" s="37"/>
      <c r="J2892" s="135"/>
      <c r="K2892" s="112"/>
      <c r="L2892" s="37"/>
      <c r="M2892" s="37"/>
      <c r="N2892" s="37"/>
      <c r="O2892" s="130"/>
      <c r="P2892" s="132"/>
      <c r="Q2892" s="261"/>
      <c r="R2892" s="92"/>
    </row>
    <row r="2893" spans="3:18" x14ac:dyDescent="0.25">
      <c r="C2893" s="263"/>
      <c r="D2893" s="157"/>
      <c r="E2893" s="44"/>
      <c r="F2893" s="146"/>
      <c r="G2893" s="1"/>
      <c r="H2893" s="161"/>
      <c r="I2893" s="37"/>
      <c r="J2893" s="135"/>
      <c r="K2893" s="112"/>
      <c r="L2893" s="37"/>
      <c r="M2893" s="37"/>
      <c r="N2893" s="37"/>
      <c r="O2893" s="130"/>
      <c r="P2893" s="132"/>
      <c r="Q2893" s="261"/>
      <c r="R2893" s="92"/>
    </row>
    <row r="2894" spans="3:18" x14ac:dyDescent="0.25">
      <c r="C2894" s="263"/>
      <c r="D2894" s="157"/>
      <c r="E2894" s="44"/>
      <c r="F2894" s="146"/>
      <c r="G2894" s="1"/>
      <c r="H2894" s="161"/>
      <c r="I2894" s="37"/>
      <c r="J2894" s="135"/>
      <c r="K2894" s="112"/>
      <c r="L2894" s="37"/>
      <c r="M2894" s="37"/>
      <c r="N2894" s="37"/>
      <c r="O2894" s="130"/>
      <c r="P2894" s="132"/>
      <c r="Q2894" s="261"/>
      <c r="R2894" s="92"/>
    </row>
    <row r="2895" spans="3:18" x14ac:dyDescent="0.25">
      <c r="C2895" s="263"/>
      <c r="D2895" s="157"/>
      <c r="E2895" s="44"/>
      <c r="F2895" s="146"/>
      <c r="G2895" s="1"/>
      <c r="H2895" s="161"/>
      <c r="I2895" s="37"/>
      <c r="J2895" s="135"/>
      <c r="K2895" s="112"/>
      <c r="L2895" s="37"/>
      <c r="M2895" s="37"/>
      <c r="N2895" s="37"/>
      <c r="O2895" s="130"/>
      <c r="P2895" s="132"/>
      <c r="Q2895" s="261"/>
      <c r="R2895" s="92"/>
    </row>
    <row r="2896" spans="3:18" x14ac:dyDescent="0.25">
      <c r="C2896" s="263"/>
      <c r="D2896" s="157"/>
      <c r="E2896" s="44"/>
      <c r="F2896" s="146"/>
      <c r="G2896" s="1"/>
      <c r="H2896" s="161"/>
      <c r="I2896" s="37"/>
      <c r="J2896" s="135"/>
      <c r="K2896" s="112"/>
      <c r="L2896" s="37"/>
      <c r="M2896" s="37"/>
      <c r="N2896" s="37"/>
      <c r="O2896" s="130"/>
      <c r="P2896" s="132"/>
      <c r="Q2896" s="261"/>
      <c r="R2896" s="92"/>
    </row>
    <row r="2897" spans="3:18" x14ac:dyDescent="0.25">
      <c r="C2897" s="263"/>
      <c r="D2897" s="157"/>
      <c r="E2897" s="44"/>
      <c r="F2897" s="146"/>
      <c r="G2897" s="1"/>
      <c r="H2897" s="161"/>
      <c r="I2897" s="37"/>
      <c r="J2897" s="135"/>
      <c r="K2897" s="112"/>
      <c r="L2897" s="37"/>
      <c r="M2897" s="37"/>
      <c r="N2897" s="37"/>
      <c r="O2897" s="130"/>
      <c r="P2897" s="132"/>
      <c r="Q2897" s="261"/>
      <c r="R2897" s="92"/>
    </row>
    <row r="2898" spans="3:18" x14ac:dyDescent="0.25">
      <c r="C2898" s="263"/>
      <c r="D2898" s="157"/>
      <c r="E2898" s="44"/>
      <c r="F2898" s="146"/>
      <c r="G2898" s="1"/>
      <c r="H2898" s="161"/>
      <c r="I2898" s="37"/>
      <c r="J2898" s="135"/>
      <c r="K2898" s="112"/>
      <c r="L2898" s="37"/>
      <c r="M2898" s="37"/>
      <c r="N2898" s="37"/>
      <c r="O2898" s="130"/>
      <c r="P2898" s="132"/>
      <c r="Q2898" s="261"/>
      <c r="R2898" s="92"/>
    </row>
    <row r="2899" spans="3:18" x14ac:dyDescent="0.25">
      <c r="C2899" s="263"/>
      <c r="D2899" s="157"/>
      <c r="E2899" s="44"/>
      <c r="F2899" s="146"/>
      <c r="G2899" s="1"/>
      <c r="H2899" s="161"/>
      <c r="I2899" s="37"/>
      <c r="J2899" s="135"/>
      <c r="K2899" s="112"/>
      <c r="L2899" s="37"/>
      <c r="M2899" s="37"/>
      <c r="N2899" s="37"/>
      <c r="O2899" s="130"/>
      <c r="P2899" s="132"/>
      <c r="Q2899" s="261"/>
      <c r="R2899" s="92"/>
    </row>
    <row r="2900" spans="3:18" x14ac:dyDescent="0.25">
      <c r="C2900" s="263"/>
      <c r="D2900" s="157"/>
      <c r="E2900" s="44"/>
      <c r="F2900" s="146"/>
      <c r="G2900" s="1"/>
      <c r="H2900" s="161"/>
      <c r="I2900" s="37"/>
      <c r="J2900" s="135"/>
      <c r="K2900" s="112"/>
      <c r="L2900" s="37"/>
      <c r="M2900" s="37"/>
      <c r="N2900" s="37"/>
      <c r="O2900" s="130"/>
      <c r="P2900" s="132"/>
      <c r="Q2900" s="261"/>
      <c r="R2900" s="92"/>
    </row>
    <row r="2901" spans="3:18" x14ac:dyDescent="0.25">
      <c r="C2901" s="263"/>
      <c r="D2901" s="157"/>
      <c r="E2901" s="44"/>
      <c r="F2901" s="146"/>
      <c r="G2901" s="1"/>
      <c r="H2901" s="161"/>
      <c r="I2901" s="37"/>
      <c r="J2901" s="135"/>
      <c r="K2901" s="112"/>
      <c r="L2901" s="37"/>
      <c r="M2901" s="37"/>
      <c r="N2901" s="37"/>
      <c r="O2901" s="130"/>
      <c r="P2901" s="132"/>
      <c r="Q2901" s="261"/>
      <c r="R2901" s="92"/>
    </row>
    <row r="2902" spans="3:18" x14ac:dyDescent="0.25">
      <c r="C2902" s="263"/>
      <c r="D2902" s="157"/>
      <c r="E2902" s="44"/>
      <c r="F2902" s="146"/>
      <c r="G2902" s="1"/>
      <c r="H2902" s="161"/>
      <c r="I2902" s="37"/>
      <c r="J2902" s="135"/>
      <c r="K2902" s="112"/>
      <c r="L2902" s="37"/>
      <c r="M2902" s="37"/>
      <c r="N2902" s="37"/>
      <c r="O2902" s="130"/>
      <c r="P2902" s="132"/>
      <c r="Q2902" s="261"/>
      <c r="R2902" s="92"/>
    </row>
    <row r="2903" spans="3:18" x14ac:dyDescent="0.25">
      <c r="C2903" s="263"/>
      <c r="D2903" s="157"/>
      <c r="E2903" s="44"/>
      <c r="F2903" s="146"/>
      <c r="G2903" s="1"/>
      <c r="H2903" s="161"/>
      <c r="I2903" s="37"/>
      <c r="J2903" s="135"/>
      <c r="K2903" s="112"/>
      <c r="L2903" s="37"/>
      <c r="M2903" s="37"/>
      <c r="N2903" s="37"/>
      <c r="O2903" s="130"/>
      <c r="P2903" s="132"/>
      <c r="Q2903" s="261"/>
      <c r="R2903" s="92"/>
    </row>
    <row r="2904" spans="3:18" x14ac:dyDescent="0.25">
      <c r="C2904" s="263"/>
      <c r="D2904" s="157"/>
      <c r="E2904" s="44"/>
      <c r="F2904" s="146"/>
      <c r="G2904" s="1"/>
      <c r="H2904" s="161"/>
      <c r="I2904" s="37"/>
      <c r="J2904" s="135"/>
      <c r="K2904" s="112"/>
      <c r="L2904" s="37"/>
      <c r="M2904" s="37"/>
      <c r="N2904" s="37"/>
      <c r="O2904" s="130"/>
      <c r="P2904" s="132"/>
      <c r="Q2904" s="261"/>
      <c r="R2904" s="92"/>
    </row>
    <row r="2905" spans="3:18" x14ac:dyDescent="0.25">
      <c r="C2905" s="263"/>
      <c r="D2905" s="157"/>
      <c r="E2905" s="44"/>
      <c r="F2905" s="146"/>
      <c r="G2905" s="1"/>
      <c r="H2905" s="161"/>
      <c r="I2905" s="37"/>
      <c r="J2905" s="135"/>
      <c r="K2905" s="112"/>
      <c r="L2905" s="37"/>
      <c r="M2905" s="37"/>
      <c r="N2905" s="37"/>
      <c r="O2905" s="130"/>
      <c r="P2905" s="132"/>
      <c r="Q2905" s="261"/>
      <c r="R2905" s="92"/>
    </row>
    <row r="2906" spans="3:18" x14ac:dyDescent="0.25">
      <c r="C2906" s="263"/>
      <c r="D2906" s="157"/>
      <c r="E2906" s="44"/>
      <c r="F2906" s="146"/>
      <c r="G2906" s="1"/>
      <c r="H2906" s="161"/>
      <c r="I2906" s="37"/>
      <c r="J2906" s="135"/>
      <c r="K2906" s="112"/>
      <c r="L2906" s="37"/>
      <c r="M2906" s="37"/>
      <c r="N2906" s="37"/>
      <c r="O2906" s="130"/>
      <c r="P2906" s="132"/>
      <c r="Q2906" s="261"/>
      <c r="R2906" s="92"/>
    </row>
    <row r="2907" spans="3:18" x14ac:dyDescent="0.25">
      <c r="C2907" s="263"/>
      <c r="D2907" s="157"/>
      <c r="E2907" s="44"/>
      <c r="F2907" s="146"/>
      <c r="G2907" s="1"/>
      <c r="H2907" s="161"/>
      <c r="I2907" s="37"/>
      <c r="J2907" s="135"/>
      <c r="K2907" s="112"/>
      <c r="L2907" s="37"/>
      <c r="M2907" s="37"/>
      <c r="N2907" s="37"/>
      <c r="O2907" s="130"/>
      <c r="P2907" s="132"/>
      <c r="Q2907" s="261"/>
      <c r="R2907" s="92"/>
    </row>
    <row r="2908" spans="3:18" x14ac:dyDescent="0.25">
      <c r="C2908" s="263"/>
      <c r="D2908" s="157"/>
      <c r="E2908" s="44"/>
      <c r="F2908" s="146"/>
      <c r="G2908" s="1"/>
      <c r="H2908" s="161"/>
      <c r="I2908" s="37"/>
      <c r="J2908" s="135"/>
      <c r="K2908" s="112"/>
      <c r="L2908" s="37"/>
      <c r="M2908" s="37"/>
      <c r="N2908" s="37"/>
      <c r="O2908" s="130"/>
      <c r="P2908" s="132"/>
      <c r="Q2908" s="261"/>
      <c r="R2908" s="92"/>
    </row>
    <row r="2909" spans="3:18" x14ac:dyDescent="0.25">
      <c r="C2909" s="263"/>
      <c r="D2909" s="157"/>
      <c r="E2909" s="44"/>
      <c r="F2909" s="146"/>
      <c r="G2909" s="1"/>
      <c r="H2909" s="161"/>
      <c r="I2909" s="37"/>
      <c r="J2909" s="135"/>
      <c r="K2909" s="112"/>
      <c r="L2909" s="37"/>
      <c r="M2909" s="37"/>
      <c r="N2909" s="37"/>
      <c r="O2909" s="130"/>
      <c r="P2909" s="132"/>
      <c r="Q2909" s="261"/>
      <c r="R2909" s="92"/>
    </row>
    <row r="2910" spans="3:18" x14ac:dyDescent="0.25">
      <c r="C2910" s="263"/>
      <c r="D2910" s="157"/>
      <c r="E2910" s="44"/>
      <c r="F2910" s="146"/>
      <c r="G2910" s="1"/>
      <c r="H2910" s="161"/>
      <c r="I2910" s="37"/>
      <c r="J2910" s="135"/>
      <c r="K2910" s="112"/>
      <c r="L2910" s="37"/>
      <c r="M2910" s="37"/>
      <c r="N2910" s="37"/>
      <c r="O2910" s="130"/>
      <c r="P2910" s="132"/>
      <c r="Q2910" s="261"/>
      <c r="R2910" s="92"/>
    </row>
    <row r="2911" spans="3:18" x14ac:dyDescent="0.25">
      <c r="C2911" s="263"/>
      <c r="D2911" s="157"/>
      <c r="E2911" s="44"/>
      <c r="F2911" s="146"/>
      <c r="G2911" s="1"/>
      <c r="H2911" s="161"/>
      <c r="I2911" s="37"/>
      <c r="J2911" s="135"/>
      <c r="K2911" s="112"/>
      <c r="L2911" s="37"/>
      <c r="M2911" s="37"/>
      <c r="N2911" s="37"/>
      <c r="O2911" s="130"/>
      <c r="P2911" s="132"/>
      <c r="Q2911" s="261"/>
      <c r="R2911" s="92"/>
    </row>
    <row r="2912" spans="3:18" x14ac:dyDescent="0.25">
      <c r="C2912" s="263"/>
      <c r="D2912" s="157"/>
      <c r="E2912" s="44"/>
      <c r="F2912" s="146"/>
      <c r="G2912" s="1"/>
      <c r="H2912" s="161"/>
      <c r="I2912" s="37"/>
      <c r="J2912" s="135"/>
      <c r="K2912" s="112"/>
      <c r="L2912" s="37"/>
      <c r="M2912" s="37"/>
      <c r="N2912" s="37"/>
      <c r="O2912" s="130"/>
      <c r="P2912" s="132"/>
      <c r="Q2912" s="261"/>
      <c r="R2912" s="92"/>
    </row>
    <row r="2913" spans="3:18" x14ac:dyDescent="0.25">
      <c r="C2913" s="263"/>
      <c r="D2913" s="157"/>
      <c r="E2913" s="44"/>
      <c r="F2913" s="146"/>
      <c r="G2913" s="1"/>
      <c r="H2913" s="161"/>
      <c r="I2913" s="37"/>
      <c r="J2913" s="135"/>
      <c r="K2913" s="112"/>
      <c r="L2913" s="37"/>
      <c r="M2913" s="37"/>
      <c r="N2913" s="37"/>
      <c r="O2913" s="130"/>
      <c r="P2913" s="132"/>
      <c r="Q2913" s="261"/>
      <c r="R2913" s="92"/>
    </row>
    <row r="2914" spans="3:18" x14ac:dyDescent="0.25">
      <c r="C2914" s="263"/>
      <c r="D2914" s="157"/>
      <c r="E2914" s="44"/>
      <c r="F2914" s="146"/>
      <c r="G2914" s="1"/>
      <c r="H2914" s="161"/>
      <c r="I2914" s="37"/>
      <c r="J2914" s="135"/>
      <c r="K2914" s="112"/>
      <c r="L2914" s="37"/>
      <c r="M2914" s="37"/>
      <c r="N2914" s="37"/>
      <c r="O2914" s="130"/>
      <c r="P2914" s="132"/>
      <c r="Q2914" s="261"/>
      <c r="R2914" s="92"/>
    </row>
    <row r="2915" spans="3:18" x14ac:dyDescent="0.25">
      <c r="C2915" s="263"/>
      <c r="D2915" s="157"/>
      <c r="E2915" s="44"/>
      <c r="F2915" s="146"/>
      <c r="G2915" s="1"/>
      <c r="H2915" s="161"/>
      <c r="I2915" s="37"/>
      <c r="J2915" s="135"/>
      <c r="K2915" s="112"/>
      <c r="L2915" s="37"/>
      <c r="M2915" s="37"/>
      <c r="N2915" s="37"/>
      <c r="O2915" s="130"/>
      <c r="P2915" s="132"/>
      <c r="Q2915" s="261"/>
      <c r="R2915" s="92"/>
    </row>
    <row r="2916" spans="3:18" x14ac:dyDescent="0.25">
      <c r="C2916" s="263"/>
      <c r="D2916" s="157"/>
      <c r="E2916" s="44"/>
      <c r="F2916" s="146"/>
      <c r="G2916" s="1"/>
      <c r="H2916" s="161"/>
      <c r="I2916" s="37"/>
      <c r="J2916" s="135"/>
      <c r="K2916" s="112"/>
      <c r="L2916" s="37"/>
      <c r="M2916" s="37"/>
      <c r="N2916" s="37"/>
      <c r="O2916" s="130"/>
      <c r="P2916" s="132"/>
      <c r="Q2916" s="261"/>
      <c r="R2916" s="92"/>
    </row>
    <row r="2917" spans="3:18" x14ac:dyDescent="0.25">
      <c r="C2917" s="263"/>
      <c r="D2917" s="157"/>
      <c r="E2917" s="44"/>
      <c r="F2917" s="146"/>
      <c r="G2917" s="1"/>
      <c r="H2917" s="161"/>
      <c r="I2917" s="37"/>
      <c r="J2917" s="135"/>
      <c r="K2917" s="112"/>
      <c r="L2917" s="37"/>
      <c r="M2917" s="37"/>
      <c r="N2917" s="37"/>
      <c r="O2917" s="130"/>
      <c r="P2917" s="132"/>
      <c r="Q2917" s="261"/>
      <c r="R2917" s="92"/>
    </row>
    <row r="2918" spans="3:18" x14ac:dyDescent="0.25">
      <c r="C2918" s="263"/>
      <c r="D2918" s="157"/>
      <c r="E2918" s="44"/>
      <c r="F2918" s="146"/>
      <c r="G2918" s="1"/>
      <c r="H2918" s="161"/>
      <c r="I2918" s="37"/>
      <c r="J2918" s="135"/>
      <c r="K2918" s="112"/>
      <c r="L2918" s="37"/>
      <c r="M2918" s="37"/>
      <c r="N2918" s="37"/>
      <c r="O2918" s="130"/>
      <c r="P2918" s="132"/>
      <c r="Q2918" s="261"/>
      <c r="R2918" s="92"/>
    </row>
    <row r="2919" spans="3:18" x14ac:dyDescent="0.25">
      <c r="C2919" s="263"/>
      <c r="D2919" s="157"/>
      <c r="E2919" s="44"/>
      <c r="F2919" s="146"/>
      <c r="G2919" s="1"/>
      <c r="H2919" s="161"/>
      <c r="I2919" s="37"/>
      <c r="J2919" s="135"/>
      <c r="K2919" s="112"/>
      <c r="L2919" s="37"/>
      <c r="M2919" s="37"/>
      <c r="N2919" s="37"/>
      <c r="O2919" s="130"/>
      <c r="P2919" s="132"/>
      <c r="Q2919" s="261"/>
      <c r="R2919" s="92"/>
    </row>
    <row r="2920" spans="3:18" x14ac:dyDescent="0.25">
      <c r="C2920" s="263"/>
      <c r="D2920" s="157"/>
      <c r="E2920" s="44"/>
      <c r="F2920" s="146"/>
      <c r="G2920" s="1"/>
      <c r="H2920" s="161"/>
      <c r="I2920" s="37"/>
      <c r="J2920" s="135"/>
      <c r="K2920" s="112"/>
      <c r="L2920" s="37"/>
      <c r="M2920" s="37"/>
      <c r="N2920" s="37"/>
      <c r="O2920" s="130"/>
      <c r="P2920" s="132"/>
      <c r="Q2920" s="261"/>
      <c r="R2920" s="92"/>
    </row>
    <row r="2921" spans="3:18" x14ac:dyDescent="0.25">
      <c r="C2921" s="263"/>
      <c r="D2921" s="157"/>
      <c r="E2921" s="44"/>
      <c r="F2921" s="146"/>
      <c r="G2921" s="1"/>
      <c r="H2921" s="161"/>
      <c r="I2921" s="37"/>
      <c r="J2921" s="135"/>
      <c r="K2921" s="112"/>
      <c r="L2921" s="37"/>
      <c r="M2921" s="37"/>
      <c r="N2921" s="37"/>
      <c r="O2921" s="130"/>
      <c r="P2921" s="132"/>
      <c r="Q2921" s="261"/>
      <c r="R2921" s="92"/>
    </row>
    <row r="2922" spans="3:18" x14ac:dyDescent="0.25">
      <c r="C2922" s="263"/>
      <c r="D2922" s="157"/>
      <c r="E2922" s="44"/>
      <c r="F2922" s="146"/>
      <c r="G2922" s="1"/>
      <c r="H2922" s="161"/>
      <c r="I2922" s="37"/>
      <c r="J2922" s="135"/>
      <c r="K2922" s="112"/>
      <c r="L2922" s="37"/>
      <c r="M2922" s="37"/>
      <c r="N2922" s="37"/>
      <c r="O2922" s="130"/>
      <c r="P2922" s="132"/>
      <c r="Q2922" s="261"/>
      <c r="R2922" s="92"/>
    </row>
    <row r="2923" spans="3:18" x14ac:dyDescent="0.25">
      <c r="C2923" s="263"/>
      <c r="D2923" s="157"/>
      <c r="E2923" s="44"/>
      <c r="F2923" s="146"/>
      <c r="G2923" s="1"/>
      <c r="H2923" s="161"/>
      <c r="I2923" s="37"/>
      <c r="J2923" s="135"/>
      <c r="K2923" s="112"/>
      <c r="L2923" s="37"/>
      <c r="M2923" s="37"/>
      <c r="N2923" s="37"/>
      <c r="O2923" s="130"/>
      <c r="P2923" s="132"/>
      <c r="Q2923" s="261"/>
      <c r="R2923" s="92"/>
    </row>
    <row r="2924" spans="3:18" x14ac:dyDescent="0.25">
      <c r="C2924" s="263"/>
      <c r="D2924" s="157"/>
      <c r="E2924" s="44"/>
      <c r="F2924" s="146"/>
      <c r="G2924" s="1"/>
      <c r="H2924" s="161"/>
      <c r="I2924" s="37"/>
      <c r="J2924" s="135"/>
      <c r="K2924" s="112"/>
      <c r="L2924" s="37"/>
      <c r="M2924" s="37"/>
      <c r="N2924" s="37"/>
      <c r="O2924" s="130"/>
      <c r="P2924" s="132"/>
      <c r="Q2924" s="261"/>
      <c r="R2924" s="92"/>
    </row>
    <row r="2925" spans="3:18" x14ac:dyDescent="0.25">
      <c r="C2925" s="263"/>
      <c r="D2925" s="157"/>
      <c r="E2925" s="44"/>
      <c r="F2925" s="146"/>
      <c r="G2925" s="1"/>
      <c r="H2925" s="161"/>
      <c r="I2925" s="37"/>
      <c r="J2925" s="135"/>
      <c r="K2925" s="112"/>
      <c r="L2925" s="37"/>
      <c r="M2925" s="37"/>
      <c r="N2925" s="37"/>
      <c r="O2925" s="130"/>
      <c r="P2925" s="132"/>
      <c r="Q2925" s="261"/>
      <c r="R2925" s="92"/>
    </row>
    <row r="2926" spans="3:18" x14ac:dyDescent="0.25">
      <c r="C2926" s="263"/>
      <c r="D2926" s="157"/>
      <c r="E2926" s="44"/>
      <c r="F2926" s="146"/>
      <c r="G2926" s="1"/>
      <c r="H2926" s="161"/>
      <c r="I2926" s="37"/>
      <c r="J2926" s="135"/>
      <c r="K2926" s="112"/>
      <c r="L2926" s="37"/>
      <c r="M2926" s="37"/>
      <c r="N2926" s="37"/>
      <c r="O2926" s="130"/>
      <c r="P2926" s="132"/>
      <c r="Q2926" s="261"/>
      <c r="R2926" s="92"/>
    </row>
    <row r="2927" spans="3:18" x14ac:dyDescent="0.25">
      <c r="C2927" s="263"/>
      <c r="D2927" s="157"/>
      <c r="E2927" s="44"/>
      <c r="F2927" s="146"/>
      <c r="G2927" s="1"/>
      <c r="H2927" s="161"/>
      <c r="I2927" s="37"/>
      <c r="J2927" s="135"/>
      <c r="K2927" s="112"/>
      <c r="L2927" s="37"/>
      <c r="M2927" s="37"/>
      <c r="N2927" s="37"/>
      <c r="O2927" s="130"/>
      <c r="P2927" s="132"/>
      <c r="Q2927" s="261"/>
      <c r="R2927" s="92"/>
    </row>
    <row r="2928" spans="3:18" x14ac:dyDescent="0.25">
      <c r="C2928" s="263"/>
      <c r="D2928" s="157"/>
      <c r="E2928" s="44"/>
      <c r="F2928" s="146"/>
      <c r="G2928" s="1"/>
      <c r="H2928" s="161"/>
      <c r="I2928" s="37"/>
      <c r="J2928" s="135"/>
      <c r="K2928" s="112"/>
      <c r="L2928" s="37"/>
      <c r="M2928" s="37"/>
      <c r="N2928" s="37"/>
      <c r="O2928" s="130"/>
      <c r="P2928" s="132"/>
      <c r="Q2928" s="261"/>
      <c r="R2928" s="92"/>
    </row>
    <row r="2929" spans="3:18" x14ac:dyDescent="0.25">
      <c r="C2929" s="263"/>
      <c r="D2929" s="157"/>
      <c r="E2929" s="44"/>
      <c r="F2929" s="146"/>
      <c r="G2929" s="1"/>
      <c r="H2929" s="161"/>
      <c r="I2929" s="37"/>
      <c r="J2929" s="135"/>
      <c r="K2929" s="112"/>
      <c r="L2929" s="37"/>
      <c r="M2929" s="37"/>
      <c r="N2929" s="37"/>
      <c r="O2929" s="130"/>
      <c r="P2929" s="132"/>
      <c r="Q2929" s="261"/>
      <c r="R2929" s="92"/>
    </row>
    <row r="2930" spans="3:18" x14ac:dyDescent="0.25">
      <c r="C2930" s="263"/>
      <c r="D2930" s="157"/>
      <c r="E2930" s="44"/>
      <c r="F2930" s="146"/>
      <c r="G2930" s="1"/>
      <c r="H2930" s="161"/>
      <c r="I2930" s="37"/>
      <c r="J2930" s="135"/>
      <c r="K2930" s="112"/>
      <c r="L2930" s="37"/>
      <c r="M2930" s="37"/>
      <c r="N2930" s="37"/>
      <c r="O2930" s="130"/>
      <c r="P2930" s="132"/>
      <c r="Q2930" s="261"/>
      <c r="R2930" s="92"/>
    </row>
    <row r="2931" spans="3:18" x14ac:dyDescent="0.25">
      <c r="C2931" s="263"/>
      <c r="D2931" s="157"/>
      <c r="E2931" s="44"/>
      <c r="F2931" s="146"/>
      <c r="G2931" s="1"/>
      <c r="H2931" s="161"/>
      <c r="I2931" s="37"/>
      <c r="J2931" s="135"/>
      <c r="K2931" s="112"/>
      <c r="L2931" s="37"/>
      <c r="M2931" s="37"/>
      <c r="N2931" s="37"/>
      <c r="O2931" s="130"/>
      <c r="P2931" s="132"/>
      <c r="Q2931" s="261"/>
      <c r="R2931" s="92"/>
    </row>
    <row r="2932" spans="3:18" x14ac:dyDescent="0.25">
      <c r="C2932" s="263"/>
      <c r="D2932" s="157"/>
      <c r="E2932" s="44"/>
      <c r="F2932" s="146"/>
      <c r="G2932" s="1"/>
      <c r="H2932" s="161"/>
      <c r="I2932" s="37"/>
      <c r="J2932" s="135"/>
      <c r="K2932" s="112"/>
      <c r="L2932" s="37"/>
      <c r="M2932" s="37"/>
      <c r="N2932" s="37"/>
      <c r="O2932" s="130"/>
      <c r="P2932" s="132"/>
      <c r="Q2932" s="261"/>
      <c r="R2932" s="92"/>
    </row>
    <row r="2933" spans="3:18" x14ac:dyDescent="0.25">
      <c r="C2933" s="263"/>
      <c r="D2933" s="157"/>
      <c r="E2933" s="44"/>
      <c r="F2933" s="146"/>
      <c r="G2933" s="1"/>
      <c r="H2933" s="161"/>
      <c r="I2933" s="37"/>
      <c r="J2933" s="135"/>
      <c r="K2933" s="112"/>
      <c r="L2933" s="37"/>
      <c r="M2933" s="37"/>
      <c r="N2933" s="37"/>
      <c r="O2933" s="130"/>
      <c r="P2933" s="132"/>
      <c r="Q2933" s="261"/>
      <c r="R2933" s="92"/>
    </row>
    <row r="2934" spans="3:18" x14ac:dyDescent="0.25">
      <c r="C2934" s="263"/>
      <c r="D2934" s="157"/>
      <c r="E2934" s="44"/>
      <c r="F2934" s="146"/>
      <c r="G2934" s="1"/>
      <c r="H2934" s="161"/>
      <c r="I2934" s="37"/>
      <c r="J2934" s="135"/>
      <c r="K2934" s="112"/>
      <c r="L2934" s="37"/>
      <c r="M2934" s="37"/>
      <c r="N2934" s="37"/>
      <c r="O2934" s="130"/>
      <c r="P2934" s="132"/>
      <c r="Q2934" s="261"/>
      <c r="R2934" s="92"/>
    </row>
    <row r="2935" spans="3:18" x14ac:dyDescent="0.25">
      <c r="C2935" s="263"/>
      <c r="D2935" s="157"/>
      <c r="E2935" s="44"/>
      <c r="F2935" s="146"/>
      <c r="G2935" s="1"/>
      <c r="H2935" s="161"/>
      <c r="I2935" s="37"/>
      <c r="J2935" s="135"/>
      <c r="K2935" s="112"/>
      <c r="L2935" s="37"/>
      <c r="M2935" s="37"/>
      <c r="N2935" s="37"/>
      <c r="O2935" s="130"/>
      <c r="P2935" s="132"/>
      <c r="Q2935" s="261"/>
      <c r="R2935" s="92"/>
    </row>
    <row r="2936" spans="3:18" x14ac:dyDescent="0.25">
      <c r="C2936" s="263"/>
      <c r="D2936" s="157"/>
      <c r="E2936" s="44"/>
      <c r="F2936" s="146"/>
      <c r="G2936" s="1"/>
      <c r="H2936" s="161"/>
      <c r="I2936" s="37"/>
      <c r="J2936" s="135"/>
      <c r="K2936" s="112"/>
      <c r="L2936" s="37"/>
      <c r="M2936" s="37"/>
      <c r="N2936" s="37"/>
      <c r="O2936" s="130"/>
      <c r="P2936" s="132"/>
      <c r="Q2936" s="261"/>
      <c r="R2936" s="92"/>
    </row>
    <row r="2937" spans="3:18" x14ac:dyDescent="0.25">
      <c r="C2937" s="263"/>
      <c r="D2937" s="157"/>
      <c r="E2937" s="44"/>
      <c r="F2937" s="146"/>
      <c r="G2937" s="1"/>
      <c r="H2937" s="161"/>
      <c r="I2937" s="37"/>
      <c r="J2937" s="135"/>
      <c r="K2937" s="112"/>
      <c r="L2937" s="37"/>
      <c r="M2937" s="37"/>
      <c r="N2937" s="37"/>
      <c r="O2937" s="130"/>
      <c r="P2937" s="132"/>
      <c r="Q2937" s="261"/>
      <c r="R2937" s="92"/>
    </row>
    <row r="2938" spans="3:18" x14ac:dyDescent="0.25">
      <c r="C2938" s="263"/>
      <c r="D2938" s="157"/>
      <c r="E2938" s="44"/>
      <c r="F2938" s="146"/>
      <c r="G2938" s="1"/>
      <c r="H2938" s="161"/>
      <c r="I2938" s="37"/>
      <c r="J2938" s="135"/>
      <c r="K2938" s="112"/>
      <c r="L2938" s="37"/>
      <c r="M2938" s="37"/>
      <c r="N2938" s="37"/>
      <c r="O2938" s="130"/>
      <c r="P2938" s="132"/>
      <c r="Q2938" s="261"/>
      <c r="R2938" s="92"/>
    </row>
    <row r="2939" spans="3:18" x14ac:dyDescent="0.25">
      <c r="C2939" s="263"/>
      <c r="D2939" s="157"/>
      <c r="E2939" s="44"/>
      <c r="F2939" s="146"/>
      <c r="G2939" s="1"/>
      <c r="H2939" s="161"/>
      <c r="I2939" s="37"/>
      <c r="J2939" s="135"/>
      <c r="K2939" s="112"/>
      <c r="L2939" s="37"/>
      <c r="M2939" s="37"/>
      <c r="N2939" s="37"/>
      <c r="O2939" s="130"/>
      <c r="P2939" s="132"/>
      <c r="Q2939" s="261"/>
      <c r="R2939" s="92"/>
    </row>
    <row r="2940" spans="3:18" x14ac:dyDescent="0.25">
      <c r="C2940" s="263"/>
      <c r="D2940" s="157"/>
      <c r="E2940" s="44"/>
      <c r="F2940" s="146"/>
      <c r="G2940" s="1"/>
      <c r="H2940" s="161"/>
      <c r="I2940" s="37"/>
      <c r="J2940" s="135"/>
      <c r="K2940" s="112"/>
      <c r="L2940" s="37"/>
      <c r="M2940" s="37"/>
      <c r="N2940" s="37"/>
      <c r="O2940" s="130"/>
      <c r="P2940" s="132"/>
      <c r="Q2940" s="261"/>
      <c r="R2940" s="92"/>
    </row>
    <row r="2941" spans="3:18" x14ac:dyDescent="0.25">
      <c r="C2941" s="263"/>
      <c r="D2941" s="157"/>
      <c r="E2941" s="44"/>
      <c r="F2941" s="146"/>
      <c r="G2941" s="1"/>
      <c r="H2941" s="161"/>
      <c r="I2941" s="37"/>
      <c r="J2941" s="135"/>
      <c r="K2941" s="112"/>
      <c r="L2941" s="37"/>
      <c r="M2941" s="37"/>
      <c r="N2941" s="37"/>
      <c r="O2941" s="130"/>
      <c r="P2941" s="132"/>
      <c r="Q2941" s="261"/>
      <c r="R2941" s="92"/>
    </row>
    <row r="2942" spans="3:18" x14ac:dyDescent="0.25">
      <c r="C2942" s="263"/>
      <c r="D2942" s="157"/>
      <c r="E2942" s="44"/>
      <c r="F2942" s="146"/>
      <c r="G2942" s="1"/>
      <c r="H2942" s="161"/>
      <c r="I2942" s="37"/>
      <c r="J2942" s="135"/>
      <c r="K2942" s="112"/>
      <c r="L2942" s="37"/>
      <c r="M2942" s="37"/>
      <c r="N2942" s="37"/>
      <c r="O2942" s="130"/>
      <c r="P2942" s="132"/>
      <c r="Q2942" s="261"/>
      <c r="R2942" s="92"/>
    </row>
    <row r="2943" spans="3:18" x14ac:dyDescent="0.25">
      <c r="C2943" s="263"/>
      <c r="D2943" s="157"/>
      <c r="E2943" s="44"/>
      <c r="F2943" s="146"/>
      <c r="G2943" s="1"/>
      <c r="H2943" s="161"/>
      <c r="I2943" s="37"/>
      <c r="J2943" s="135"/>
      <c r="K2943" s="112"/>
      <c r="L2943" s="37"/>
      <c r="M2943" s="37"/>
      <c r="N2943" s="37"/>
      <c r="O2943" s="130"/>
      <c r="P2943" s="132"/>
      <c r="Q2943" s="261"/>
      <c r="R2943" s="92"/>
    </row>
    <row r="2944" spans="3:18" x14ac:dyDescent="0.25">
      <c r="C2944" s="263"/>
      <c r="D2944" s="157"/>
      <c r="E2944" s="44"/>
      <c r="F2944" s="146"/>
      <c r="G2944" s="1"/>
      <c r="H2944" s="161"/>
      <c r="I2944" s="37"/>
      <c r="J2944" s="135"/>
      <c r="K2944" s="112"/>
      <c r="L2944" s="37"/>
      <c r="M2944" s="37"/>
      <c r="N2944" s="37"/>
      <c r="O2944" s="130"/>
      <c r="P2944" s="132"/>
      <c r="Q2944" s="261"/>
      <c r="R2944" s="92"/>
    </row>
    <row r="2945" spans="3:18" x14ac:dyDescent="0.25">
      <c r="C2945" s="263"/>
      <c r="D2945" s="157"/>
      <c r="E2945" s="44"/>
      <c r="F2945" s="146"/>
      <c r="G2945" s="1"/>
      <c r="H2945" s="161"/>
      <c r="I2945" s="37"/>
      <c r="J2945" s="135"/>
      <c r="K2945" s="112"/>
      <c r="L2945" s="37"/>
      <c r="M2945" s="37"/>
      <c r="N2945" s="37"/>
      <c r="O2945" s="130"/>
      <c r="P2945" s="132"/>
      <c r="Q2945" s="261"/>
      <c r="R2945" s="92"/>
    </row>
    <row r="2946" spans="3:18" x14ac:dyDescent="0.25">
      <c r="C2946" s="263"/>
      <c r="D2946" s="157"/>
      <c r="E2946" s="44"/>
      <c r="F2946" s="146"/>
      <c r="G2946" s="1"/>
      <c r="H2946" s="161"/>
      <c r="I2946" s="37"/>
      <c r="J2946" s="135"/>
      <c r="K2946" s="112"/>
      <c r="L2946" s="37"/>
      <c r="M2946" s="37"/>
      <c r="N2946" s="37"/>
      <c r="O2946" s="130"/>
      <c r="P2946" s="132"/>
      <c r="Q2946" s="261"/>
      <c r="R2946" s="92"/>
    </row>
    <row r="2947" spans="3:18" x14ac:dyDescent="0.25">
      <c r="C2947" s="263"/>
      <c r="D2947" s="157"/>
      <c r="E2947" s="44"/>
      <c r="F2947" s="146"/>
      <c r="G2947" s="1"/>
      <c r="H2947" s="161"/>
      <c r="I2947" s="37"/>
      <c r="J2947" s="135"/>
      <c r="K2947" s="112"/>
      <c r="L2947" s="37"/>
      <c r="M2947" s="37"/>
      <c r="N2947" s="37"/>
      <c r="O2947" s="130"/>
      <c r="P2947" s="132"/>
      <c r="Q2947" s="261"/>
      <c r="R2947" s="92"/>
    </row>
    <row r="2948" spans="3:18" x14ac:dyDescent="0.25">
      <c r="C2948" s="263"/>
      <c r="D2948" s="157"/>
      <c r="E2948" s="44"/>
      <c r="F2948" s="146"/>
      <c r="G2948" s="1"/>
      <c r="H2948" s="161"/>
      <c r="I2948" s="37"/>
      <c r="J2948" s="135"/>
      <c r="K2948" s="112"/>
      <c r="L2948" s="37"/>
      <c r="M2948" s="37"/>
      <c r="N2948" s="37"/>
      <c r="O2948" s="130"/>
      <c r="P2948" s="132"/>
      <c r="Q2948" s="261"/>
      <c r="R2948" s="92"/>
    </row>
    <row r="2949" spans="3:18" x14ac:dyDescent="0.25">
      <c r="C2949" s="263"/>
      <c r="D2949" s="157"/>
      <c r="E2949" s="44"/>
      <c r="F2949" s="146"/>
      <c r="G2949" s="1"/>
      <c r="H2949" s="161"/>
      <c r="I2949" s="37"/>
      <c r="J2949" s="135"/>
      <c r="K2949" s="112"/>
      <c r="L2949" s="37"/>
      <c r="M2949" s="37"/>
      <c r="N2949" s="37"/>
      <c r="O2949" s="130"/>
      <c r="P2949" s="132"/>
      <c r="Q2949" s="261"/>
      <c r="R2949" s="92"/>
    </row>
    <row r="2950" spans="3:18" x14ac:dyDescent="0.25">
      <c r="C2950" s="263"/>
      <c r="D2950" s="157"/>
      <c r="E2950" s="44"/>
      <c r="F2950" s="146"/>
      <c r="G2950" s="1"/>
      <c r="H2950" s="161"/>
      <c r="I2950" s="37"/>
      <c r="J2950" s="135"/>
      <c r="K2950" s="112"/>
      <c r="L2950" s="37"/>
      <c r="M2950" s="37"/>
      <c r="N2950" s="37"/>
      <c r="O2950" s="130"/>
      <c r="P2950" s="132"/>
      <c r="Q2950" s="261"/>
      <c r="R2950" s="92"/>
    </row>
    <row r="2951" spans="3:18" x14ac:dyDescent="0.25">
      <c r="C2951" s="263"/>
      <c r="D2951" s="157"/>
      <c r="E2951" s="44"/>
      <c r="F2951" s="146"/>
      <c r="G2951" s="1"/>
      <c r="H2951" s="161"/>
      <c r="I2951" s="37"/>
      <c r="J2951" s="135"/>
      <c r="K2951" s="112"/>
      <c r="L2951" s="37"/>
      <c r="M2951" s="37"/>
      <c r="N2951" s="37"/>
      <c r="O2951" s="130"/>
      <c r="P2951" s="132"/>
      <c r="Q2951" s="261"/>
      <c r="R2951" s="92"/>
    </row>
    <row r="2952" spans="3:18" x14ac:dyDescent="0.25">
      <c r="C2952" s="263"/>
      <c r="D2952" s="157"/>
      <c r="E2952" s="44"/>
      <c r="F2952" s="146"/>
      <c r="G2952" s="1"/>
      <c r="H2952" s="161"/>
      <c r="I2952" s="37"/>
      <c r="J2952" s="135"/>
      <c r="K2952" s="112"/>
      <c r="L2952" s="37"/>
      <c r="M2952" s="37"/>
      <c r="N2952" s="37"/>
      <c r="O2952" s="130"/>
      <c r="P2952" s="132"/>
      <c r="Q2952" s="261"/>
      <c r="R2952" s="92"/>
    </row>
    <row r="2953" spans="3:18" x14ac:dyDescent="0.25">
      <c r="C2953" s="263"/>
      <c r="D2953" s="157"/>
      <c r="E2953" s="44"/>
      <c r="F2953" s="146"/>
      <c r="G2953" s="1"/>
      <c r="H2953" s="161"/>
      <c r="I2953" s="37"/>
      <c r="J2953" s="135"/>
      <c r="K2953" s="112"/>
      <c r="L2953" s="37"/>
      <c r="M2953" s="37"/>
      <c r="N2953" s="37"/>
      <c r="O2953" s="130"/>
      <c r="P2953" s="132"/>
      <c r="Q2953" s="261"/>
      <c r="R2953" s="92"/>
    </row>
    <row r="2954" spans="3:18" x14ac:dyDescent="0.25">
      <c r="C2954" s="263"/>
      <c r="D2954" s="157"/>
      <c r="E2954" s="44"/>
      <c r="F2954" s="146"/>
      <c r="G2954" s="1"/>
      <c r="H2954" s="161"/>
      <c r="I2954" s="37"/>
      <c r="J2954" s="135"/>
      <c r="K2954" s="112"/>
      <c r="L2954" s="37"/>
      <c r="M2954" s="37"/>
      <c r="N2954" s="37"/>
      <c r="O2954" s="130"/>
      <c r="P2954" s="132"/>
      <c r="Q2954" s="261"/>
      <c r="R2954" s="92"/>
    </row>
    <row r="2955" spans="3:18" x14ac:dyDescent="0.25">
      <c r="C2955" s="263"/>
      <c r="D2955" s="157"/>
      <c r="E2955" s="44"/>
      <c r="F2955" s="146"/>
      <c r="G2955" s="1"/>
      <c r="H2955" s="161"/>
      <c r="I2955" s="37"/>
      <c r="J2955" s="135"/>
      <c r="K2955" s="112"/>
      <c r="L2955" s="37"/>
      <c r="M2955" s="37"/>
      <c r="N2955" s="37"/>
      <c r="O2955" s="130"/>
      <c r="P2955" s="132"/>
      <c r="Q2955" s="261"/>
      <c r="R2955" s="92"/>
    </row>
    <row r="2956" spans="3:18" x14ac:dyDescent="0.25">
      <c r="C2956" s="263"/>
      <c r="D2956" s="157"/>
      <c r="E2956" s="44"/>
      <c r="F2956" s="146"/>
      <c r="G2956" s="1"/>
      <c r="H2956" s="161"/>
      <c r="I2956" s="37"/>
      <c r="J2956" s="135"/>
      <c r="K2956" s="112"/>
      <c r="L2956" s="37"/>
      <c r="M2956" s="37"/>
      <c r="N2956" s="37"/>
      <c r="O2956" s="130"/>
      <c r="P2956" s="132"/>
      <c r="Q2956" s="261"/>
      <c r="R2956" s="92"/>
    </row>
    <row r="2957" spans="3:18" x14ac:dyDescent="0.25">
      <c r="C2957" s="263"/>
      <c r="D2957" s="157"/>
      <c r="E2957" s="44"/>
      <c r="F2957" s="146"/>
      <c r="G2957" s="1"/>
      <c r="H2957" s="161"/>
      <c r="I2957" s="37"/>
      <c r="J2957" s="135"/>
      <c r="K2957" s="112"/>
      <c r="L2957" s="37"/>
      <c r="M2957" s="37"/>
      <c r="N2957" s="37"/>
      <c r="O2957" s="130"/>
      <c r="P2957" s="132"/>
      <c r="Q2957" s="261"/>
      <c r="R2957" s="92"/>
    </row>
    <row r="2958" spans="3:18" x14ac:dyDescent="0.25">
      <c r="C2958" s="263"/>
      <c r="D2958" s="157"/>
      <c r="E2958" s="44"/>
      <c r="F2958" s="146"/>
      <c r="G2958" s="1"/>
      <c r="H2958" s="161"/>
      <c r="I2958" s="37"/>
      <c r="J2958" s="135"/>
      <c r="K2958" s="112"/>
      <c r="L2958" s="37"/>
      <c r="M2958" s="37"/>
      <c r="N2958" s="37"/>
      <c r="O2958" s="130"/>
      <c r="P2958" s="132"/>
      <c r="Q2958" s="261"/>
      <c r="R2958" s="92"/>
    </row>
    <row r="2959" spans="3:18" x14ac:dyDescent="0.25">
      <c r="C2959" s="263"/>
      <c r="D2959" s="157"/>
      <c r="E2959" s="44"/>
      <c r="F2959" s="146"/>
      <c r="G2959" s="1"/>
      <c r="H2959" s="161"/>
      <c r="I2959" s="37"/>
      <c r="J2959" s="135"/>
      <c r="K2959" s="112"/>
      <c r="L2959" s="37"/>
      <c r="M2959" s="37"/>
      <c r="N2959" s="37"/>
      <c r="O2959" s="130"/>
      <c r="P2959" s="132"/>
      <c r="Q2959" s="261"/>
      <c r="R2959" s="92"/>
    </row>
    <row r="2960" spans="3:18" x14ac:dyDescent="0.25">
      <c r="C2960" s="263"/>
      <c r="D2960" s="157"/>
      <c r="E2960" s="44"/>
      <c r="F2960" s="146"/>
      <c r="G2960" s="1"/>
      <c r="H2960" s="161"/>
      <c r="I2960" s="37"/>
      <c r="J2960" s="135"/>
      <c r="K2960" s="112"/>
      <c r="L2960" s="37"/>
      <c r="M2960" s="37"/>
      <c r="N2960" s="37"/>
      <c r="O2960" s="130"/>
      <c r="P2960" s="132"/>
      <c r="Q2960" s="261"/>
      <c r="R2960" s="92"/>
    </row>
    <row r="2961" spans="3:18" x14ac:dyDescent="0.25">
      <c r="C2961" s="263"/>
      <c r="D2961" s="157"/>
      <c r="E2961" s="44"/>
      <c r="F2961" s="146"/>
      <c r="G2961" s="1"/>
      <c r="H2961" s="161"/>
      <c r="I2961" s="37"/>
      <c r="J2961" s="135"/>
      <c r="K2961" s="112"/>
      <c r="L2961" s="37"/>
      <c r="M2961" s="37"/>
      <c r="N2961" s="37"/>
      <c r="O2961" s="130"/>
      <c r="P2961" s="132"/>
      <c r="Q2961" s="261"/>
      <c r="R2961" s="92"/>
    </row>
    <row r="2962" spans="3:18" x14ac:dyDescent="0.25">
      <c r="C2962" s="263"/>
      <c r="D2962" s="157"/>
      <c r="E2962" s="44"/>
      <c r="F2962" s="146"/>
      <c r="G2962" s="1"/>
      <c r="H2962" s="161"/>
      <c r="I2962" s="37"/>
      <c r="J2962" s="135"/>
      <c r="K2962" s="112"/>
      <c r="L2962" s="37"/>
      <c r="M2962" s="37"/>
      <c r="N2962" s="37"/>
      <c r="O2962" s="130"/>
      <c r="P2962" s="132"/>
      <c r="Q2962" s="261"/>
      <c r="R2962" s="92"/>
    </row>
    <row r="2963" spans="3:18" x14ac:dyDescent="0.25">
      <c r="C2963" s="263"/>
      <c r="D2963" s="157"/>
      <c r="E2963" s="44"/>
      <c r="F2963" s="146"/>
      <c r="G2963" s="1"/>
      <c r="H2963" s="161"/>
      <c r="I2963" s="37"/>
      <c r="J2963" s="135"/>
      <c r="K2963" s="112"/>
      <c r="L2963" s="37"/>
      <c r="M2963" s="37"/>
      <c r="N2963" s="37"/>
      <c r="O2963" s="130"/>
      <c r="P2963" s="132"/>
      <c r="Q2963" s="261"/>
      <c r="R2963" s="92"/>
    </row>
    <row r="2964" spans="3:18" x14ac:dyDescent="0.25">
      <c r="C2964" s="263"/>
      <c r="D2964" s="157"/>
      <c r="E2964" s="44"/>
      <c r="F2964" s="146"/>
      <c r="G2964" s="1"/>
      <c r="H2964" s="161"/>
      <c r="I2964" s="37"/>
      <c r="J2964" s="135"/>
      <c r="K2964" s="112"/>
      <c r="L2964" s="37"/>
      <c r="M2964" s="37"/>
      <c r="N2964" s="37"/>
      <c r="O2964" s="130"/>
      <c r="P2964" s="132"/>
      <c r="Q2964" s="261"/>
      <c r="R2964" s="92"/>
    </row>
    <row r="2965" spans="3:18" x14ac:dyDescent="0.25">
      <c r="C2965" s="263"/>
      <c r="D2965" s="157"/>
      <c r="E2965" s="44"/>
      <c r="F2965" s="146"/>
      <c r="G2965" s="1"/>
      <c r="H2965" s="161"/>
      <c r="I2965" s="37"/>
      <c r="J2965" s="135"/>
      <c r="K2965" s="112"/>
      <c r="L2965" s="37"/>
      <c r="M2965" s="37"/>
      <c r="N2965" s="37"/>
      <c r="O2965" s="130"/>
      <c r="P2965" s="132"/>
      <c r="Q2965" s="261"/>
      <c r="R2965" s="92"/>
    </row>
    <row r="2966" spans="3:18" x14ac:dyDescent="0.25">
      <c r="C2966" s="263"/>
      <c r="D2966" s="157"/>
      <c r="E2966" s="44"/>
      <c r="F2966" s="146"/>
      <c r="G2966" s="1"/>
      <c r="H2966" s="161"/>
      <c r="I2966" s="37"/>
      <c r="J2966" s="135"/>
      <c r="K2966" s="112"/>
      <c r="L2966" s="37"/>
      <c r="M2966" s="37"/>
      <c r="N2966" s="37"/>
      <c r="O2966" s="130"/>
      <c r="P2966" s="132"/>
      <c r="Q2966" s="261"/>
      <c r="R2966" s="92"/>
    </row>
    <row r="2967" spans="3:18" x14ac:dyDescent="0.25">
      <c r="C2967" s="263"/>
      <c r="D2967" s="157"/>
      <c r="E2967" s="44"/>
      <c r="F2967" s="146"/>
      <c r="G2967" s="1"/>
      <c r="H2967" s="161"/>
      <c r="I2967" s="37"/>
      <c r="J2967" s="135"/>
      <c r="K2967" s="112"/>
      <c r="L2967" s="37"/>
      <c r="M2967" s="37"/>
      <c r="N2967" s="37"/>
      <c r="O2967" s="130"/>
      <c r="P2967" s="132"/>
      <c r="Q2967" s="261"/>
      <c r="R2967" s="92"/>
    </row>
    <row r="2968" spans="3:18" x14ac:dyDescent="0.25">
      <c r="C2968" s="263"/>
      <c r="D2968" s="157"/>
      <c r="E2968" s="44"/>
      <c r="F2968" s="146"/>
      <c r="G2968" s="1"/>
      <c r="H2968" s="161"/>
      <c r="I2968" s="37"/>
      <c r="J2968" s="135"/>
      <c r="K2968" s="112"/>
      <c r="L2968" s="37"/>
      <c r="M2968" s="37"/>
      <c r="N2968" s="37"/>
      <c r="O2968" s="130"/>
      <c r="P2968" s="132"/>
      <c r="Q2968" s="261"/>
      <c r="R2968" s="92"/>
    </row>
    <row r="2969" spans="3:18" x14ac:dyDescent="0.25">
      <c r="C2969" s="263"/>
      <c r="D2969" s="157"/>
      <c r="E2969" s="44"/>
      <c r="F2969" s="146"/>
      <c r="G2969" s="1"/>
      <c r="H2969" s="161"/>
      <c r="I2969" s="37"/>
      <c r="J2969" s="135"/>
      <c r="K2969" s="112"/>
      <c r="L2969" s="37"/>
      <c r="M2969" s="37"/>
      <c r="N2969" s="37"/>
      <c r="O2969" s="130"/>
      <c r="P2969" s="132"/>
      <c r="Q2969" s="261"/>
      <c r="R2969" s="92"/>
    </row>
    <row r="2970" spans="3:18" x14ac:dyDescent="0.25">
      <c r="C2970" s="263"/>
      <c r="D2970" s="157"/>
      <c r="E2970" s="44"/>
      <c r="F2970" s="146"/>
      <c r="G2970" s="1"/>
      <c r="H2970" s="161"/>
      <c r="I2970" s="37"/>
      <c r="J2970" s="135"/>
      <c r="K2970" s="112"/>
      <c r="L2970" s="37"/>
      <c r="M2970" s="37"/>
      <c r="N2970" s="37"/>
      <c r="O2970" s="130"/>
      <c r="P2970" s="132"/>
      <c r="Q2970" s="261"/>
      <c r="R2970" s="92"/>
    </row>
    <row r="2971" spans="3:18" x14ac:dyDescent="0.25">
      <c r="C2971" s="263"/>
      <c r="D2971" s="157"/>
      <c r="E2971" s="44"/>
      <c r="F2971" s="146"/>
      <c r="G2971" s="1"/>
      <c r="H2971" s="161"/>
      <c r="I2971" s="37"/>
      <c r="J2971" s="135"/>
      <c r="K2971" s="112"/>
      <c r="L2971" s="37"/>
      <c r="M2971" s="37"/>
      <c r="N2971" s="37"/>
      <c r="O2971" s="130"/>
      <c r="P2971" s="132"/>
      <c r="Q2971" s="261"/>
      <c r="R2971" s="92"/>
    </row>
    <row r="2972" spans="3:18" x14ac:dyDescent="0.25">
      <c r="C2972" s="263"/>
      <c r="D2972" s="157"/>
      <c r="E2972" s="44"/>
      <c r="F2972" s="146"/>
      <c r="G2972" s="1"/>
      <c r="H2972" s="161"/>
      <c r="I2972" s="37"/>
      <c r="J2972" s="135"/>
      <c r="K2972" s="112"/>
      <c r="L2972" s="37"/>
      <c r="M2972" s="37"/>
      <c r="N2972" s="37"/>
      <c r="O2972" s="130"/>
      <c r="P2972" s="132"/>
      <c r="Q2972" s="261"/>
      <c r="R2972" s="92"/>
    </row>
    <row r="2973" spans="3:18" x14ac:dyDescent="0.25">
      <c r="C2973" s="263"/>
      <c r="D2973" s="157"/>
      <c r="E2973" s="44"/>
      <c r="F2973" s="146"/>
      <c r="G2973" s="1"/>
      <c r="H2973" s="161"/>
      <c r="I2973" s="37"/>
      <c r="J2973" s="135"/>
      <c r="K2973" s="112"/>
      <c r="L2973" s="37"/>
      <c r="M2973" s="37"/>
      <c r="N2973" s="37"/>
      <c r="O2973" s="130"/>
      <c r="P2973" s="132"/>
      <c r="Q2973" s="261"/>
      <c r="R2973" s="92"/>
    </row>
    <row r="2974" spans="3:18" x14ac:dyDescent="0.25">
      <c r="C2974" s="263"/>
      <c r="D2974" s="157"/>
      <c r="E2974" s="44"/>
      <c r="F2974" s="146"/>
      <c r="G2974" s="1"/>
      <c r="H2974" s="161"/>
      <c r="I2974" s="37"/>
      <c r="J2974" s="135"/>
      <c r="K2974" s="112"/>
      <c r="L2974" s="37"/>
      <c r="M2974" s="37"/>
      <c r="N2974" s="37"/>
      <c r="O2974" s="130"/>
      <c r="P2974" s="132"/>
      <c r="Q2974" s="261"/>
      <c r="R2974" s="92"/>
    </row>
    <row r="2975" spans="3:18" x14ac:dyDescent="0.25">
      <c r="C2975" s="263"/>
      <c r="D2975" s="157"/>
      <c r="E2975" s="44"/>
      <c r="F2975" s="146"/>
      <c r="G2975" s="1"/>
      <c r="H2975" s="161"/>
      <c r="I2975" s="37"/>
      <c r="J2975" s="135"/>
      <c r="K2975" s="112"/>
      <c r="L2975" s="37"/>
      <c r="M2975" s="37"/>
      <c r="N2975" s="37"/>
      <c r="O2975" s="130"/>
      <c r="P2975" s="132"/>
      <c r="Q2975" s="261"/>
      <c r="R2975" s="92"/>
    </row>
    <row r="2976" spans="3:18" x14ac:dyDescent="0.25">
      <c r="C2976" s="263"/>
      <c r="D2976" s="157"/>
      <c r="E2976" s="44"/>
      <c r="F2976" s="146"/>
      <c r="G2976" s="1"/>
      <c r="H2976" s="161"/>
      <c r="I2976" s="37"/>
      <c r="J2976" s="135"/>
      <c r="K2976" s="112"/>
      <c r="L2976" s="37"/>
      <c r="M2976" s="37"/>
      <c r="N2976" s="37"/>
      <c r="O2976" s="130"/>
      <c r="P2976" s="132"/>
      <c r="Q2976" s="261"/>
      <c r="R2976" s="92"/>
    </row>
    <row r="2977" spans="3:18" x14ac:dyDescent="0.25">
      <c r="C2977" s="263"/>
      <c r="D2977" s="157"/>
      <c r="E2977" s="44"/>
      <c r="F2977" s="146"/>
      <c r="G2977" s="1"/>
      <c r="H2977" s="161"/>
      <c r="I2977" s="37"/>
      <c r="J2977" s="135"/>
      <c r="K2977" s="112"/>
      <c r="L2977" s="37"/>
      <c r="M2977" s="37"/>
      <c r="N2977" s="37"/>
      <c r="O2977" s="130"/>
      <c r="P2977" s="132"/>
      <c r="Q2977" s="261"/>
      <c r="R2977" s="92"/>
    </row>
    <row r="2978" spans="3:18" x14ac:dyDescent="0.25">
      <c r="C2978" s="263"/>
      <c r="D2978" s="157"/>
      <c r="E2978" s="44"/>
      <c r="F2978" s="146"/>
      <c r="G2978" s="1"/>
      <c r="H2978" s="161"/>
      <c r="I2978" s="37"/>
      <c r="J2978" s="135"/>
      <c r="K2978" s="112"/>
      <c r="L2978" s="37"/>
      <c r="M2978" s="37"/>
      <c r="N2978" s="37"/>
      <c r="O2978" s="130"/>
      <c r="P2978" s="132"/>
      <c r="Q2978" s="261"/>
      <c r="R2978" s="92"/>
    </row>
    <row r="2979" spans="3:18" x14ac:dyDescent="0.25">
      <c r="C2979" s="263"/>
      <c r="D2979" s="157"/>
      <c r="E2979" s="44"/>
      <c r="F2979" s="146"/>
      <c r="G2979" s="1"/>
      <c r="H2979" s="161"/>
      <c r="I2979" s="37"/>
      <c r="J2979" s="135"/>
      <c r="K2979" s="112"/>
      <c r="L2979" s="37"/>
      <c r="M2979" s="37"/>
      <c r="N2979" s="37"/>
      <c r="O2979" s="130"/>
      <c r="P2979" s="132"/>
      <c r="Q2979" s="261"/>
      <c r="R2979" s="92"/>
    </row>
    <row r="2980" spans="3:18" x14ac:dyDescent="0.25">
      <c r="C2980" s="263"/>
      <c r="D2980" s="157"/>
      <c r="E2980" s="44"/>
      <c r="F2980" s="146"/>
      <c r="G2980" s="1"/>
      <c r="H2980" s="161"/>
      <c r="I2980" s="37"/>
      <c r="J2980" s="135"/>
      <c r="K2980" s="112"/>
      <c r="L2980" s="37"/>
      <c r="M2980" s="37"/>
      <c r="N2980" s="37"/>
      <c r="O2980" s="130"/>
      <c r="P2980" s="132"/>
      <c r="Q2980" s="261"/>
      <c r="R2980" s="92"/>
    </row>
    <row r="2981" spans="3:18" x14ac:dyDescent="0.25">
      <c r="C2981" s="263"/>
      <c r="D2981" s="157"/>
      <c r="E2981" s="44"/>
      <c r="F2981" s="146"/>
      <c r="G2981" s="1"/>
      <c r="H2981" s="161"/>
      <c r="I2981" s="37"/>
      <c r="J2981" s="135"/>
      <c r="K2981" s="112"/>
      <c r="L2981" s="37"/>
      <c r="M2981" s="37"/>
      <c r="N2981" s="37"/>
      <c r="O2981" s="130"/>
      <c r="P2981" s="132"/>
      <c r="Q2981" s="261"/>
      <c r="R2981" s="92"/>
    </row>
    <row r="2982" spans="3:18" x14ac:dyDescent="0.25">
      <c r="C2982" s="263"/>
      <c r="D2982" s="157"/>
      <c r="E2982" s="44"/>
      <c r="F2982" s="146"/>
      <c r="G2982" s="1"/>
      <c r="H2982" s="161"/>
      <c r="I2982" s="37"/>
      <c r="J2982" s="135"/>
      <c r="K2982" s="112"/>
      <c r="L2982" s="37"/>
      <c r="M2982" s="37"/>
      <c r="N2982" s="37"/>
      <c r="O2982" s="130"/>
      <c r="P2982" s="132"/>
      <c r="Q2982" s="261"/>
      <c r="R2982" s="92"/>
    </row>
    <row r="2983" spans="3:18" x14ac:dyDescent="0.25">
      <c r="C2983" s="263"/>
      <c r="D2983" s="157"/>
      <c r="E2983" s="44"/>
      <c r="F2983" s="146"/>
      <c r="G2983" s="1"/>
      <c r="H2983" s="161"/>
      <c r="I2983" s="37"/>
      <c r="J2983" s="135"/>
      <c r="K2983" s="112"/>
      <c r="L2983" s="37"/>
      <c r="M2983" s="37"/>
      <c r="N2983" s="37"/>
      <c r="O2983" s="130"/>
      <c r="P2983" s="132"/>
      <c r="Q2983" s="261"/>
      <c r="R2983" s="92"/>
    </row>
    <row r="2984" spans="3:18" x14ac:dyDescent="0.25">
      <c r="C2984" s="263"/>
      <c r="D2984" s="157"/>
      <c r="E2984" s="44"/>
      <c r="F2984" s="146"/>
      <c r="G2984" s="1"/>
      <c r="H2984" s="161"/>
      <c r="I2984" s="37"/>
      <c r="J2984" s="135"/>
      <c r="K2984" s="112"/>
      <c r="L2984" s="37"/>
      <c r="M2984" s="37"/>
      <c r="N2984" s="37"/>
      <c r="O2984" s="130"/>
      <c r="P2984" s="132"/>
      <c r="Q2984" s="261"/>
      <c r="R2984" s="92"/>
    </row>
    <row r="2985" spans="3:18" x14ac:dyDescent="0.25">
      <c r="C2985" s="263"/>
      <c r="D2985" s="157"/>
      <c r="E2985" s="44"/>
      <c r="F2985" s="146"/>
      <c r="G2985" s="1"/>
      <c r="H2985" s="161"/>
      <c r="I2985" s="37"/>
      <c r="J2985" s="135"/>
      <c r="K2985" s="112"/>
      <c r="L2985" s="37"/>
      <c r="M2985" s="37"/>
      <c r="N2985" s="37"/>
      <c r="O2985" s="130"/>
      <c r="P2985" s="132"/>
      <c r="Q2985" s="261"/>
      <c r="R2985" s="92"/>
    </row>
    <row r="2986" spans="3:18" x14ac:dyDescent="0.25">
      <c r="C2986" s="263"/>
      <c r="D2986" s="157"/>
      <c r="E2986" s="44"/>
      <c r="F2986" s="146"/>
      <c r="G2986" s="1"/>
      <c r="H2986" s="161"/>
      <c r="I2986" s="37"/>
      <c r="J2986" s="135"/>
      <c r="K2986" s="112"/>
      <c r="L2986" s="37"/>
      <c r="M2986" s="37"/>
      <c r="N2986" s="37"/>
      <c r="O2986" s="130"/>
      <c r="P2986" s="132"/>
      <c r="Q2986" s="261"/>
      <c r="R2986" s="92"/>
    </row>
    <row r="2987" spans="3:18" x14ac:dyDescent="0.25">
      <c r="C2987" s="263"/>
      <c r="D2987" s="157"/>
      <c r="E2987" s="44"/>
      <c r="F2987" s="146"/>
      <c r="G2987" s="1"/>
      <c r="H2987" s="161"/>
      <c r="I2987" s="37"/>
      <c r="J2987" s="135"/>
      <c r="K2987" s="112"/>
      <c r="L2987" s="37"/>
      <c r="M2987" s="37"/>
      <c r="N2987" s="37"/>
      <c r="O2987" s="130"/>
      <c r="P2987" s="132"/>
      <c r="Q2987" s="261"/>
      <c r="R2987" s="92"/>
    </row>
    <row r="2988" spans="3:18" x14ac:dyDescent="0.25">
      <c r="C2988" s="263"/>
      <c r="D2988" s="157"/>
      <c r="E2988" s="44"/>
      <c r="F2988" s="146"/>
      <c r="G2988" s="1"/>
      <c r="H2988" s="161"/>
      <c r="I2988" s="37"/>
      <c r="J2988" s="135"/>
      <c r="K2988" s="112"/>
      <c r="L2988" s="37"/>
      <c r="M2988" s="37"/>
      <c r="N2988" s="37"/>
      <c r="O2988" s="130"/>
      <c r="P2988" s="132"/>
      <c r="Q2988" s="261"/>
      <c r="R2988" s="92"/>
    </row>
    <row r="2989" spans="3:18" x14ac:dyDescent="0.25">
      <c r="C2989" s="263"/>
      <c r="D2989" s="157"/>
      <c r="E2989" s="44"/>
      <c r="F2989" s="146"/>
      <c r="G2989" s="1"/>
      <c r="H2989" s="161"/>
      <c r="I2989" s="37"/>
      <c r="J2989" s="135"/>
      <c r="K2989" s="112"/>
      <c r="L2989" s="37"/>
      <c r="M2989" s="37"/>
      <c r="N2989" s="37"/>
      <c r="O2989" s="130"/>
      <c r="P2989" s="132"/>
      <c r="Q2989" s="261"/>
      <c r="R2989" s="92"/>
    </row>
    <row r="2990" spans="3:18" x14ac:dyDescent="0.25">
      <c r="C2990" s="263"/>
      <c r="D2990" s="157"/>
      <c r="E2990" s="44"/>
      <c r="F2990" s="146"/>
      <c r="G2990" s="1"/>
      <c r="H2990" s="161"/>
      <c r="I2990" s="37"/>
      <c r="J2990" s="135"/>
      <c r="K2990" s="112"/>
      <c r="L2990" s="37"/>
      <c r="M2990" s="37"/>
      <c r="N2990" s="37"/>
      <c r="O2990" s="130"/>
      <c r="P2990" s="132"/>
      <c r="Q2990" s="261"/>
      <c r="R2990" s="92"/>
    </row>
    <row r="2991" spans="3:18" x14ac:dyDescent="0.25">
      <c r="C2991" s="263"/>
      <c r="D2991" s="157"/>
      <c r="E2991" s="44"/>
      <c r="F2991" s="146"/>
      <c r="G2991" s="1"/>
      <c r="H2991" s="161"/>
      <c r="I2991" s="37"/>
      <c r="J2991" s="135"/>
      <c r="K2991" s="112"/>
      <c r="L2991" s="37"/>
      <c r="M2991" s="37"/>
      <c r="N2991" s="37"/>
      <c r="O2991" s="130"/>
      <c r="P2991" s="132"/>
      <c r="Q2991" s="261"/>
      <c r="R2991" s="92"/>
    </row>
    <row r="2992" spans="3:18" x14ac:dyDescent="0.25">
      <c r="C2992" s="263"/>
      <c r="D2992" s="157"/>
      <c r="E2992" s="44"/>
      <c r="F2992" s="146"/>
      <c r="G2992" s="1"/>
      <c r="H2992" s="161"/>
      <c r="I2992" s="37"/>
      <c r="J2992" s="135"/>
      <c r="K2992" s="112"/>
      <c r="L2992" s="37"/>
      <c r="M2992" s="37"/>
      <c r="N2992" s="37"/>
      <c r="O2992" s="130"/>
      <c r="P2992" s="132"/>
      <c r="Q2992" s="261"/>
      <c r="R2992" s="92"/>
    </row>
    <row r="2993" spans="3:18" x14ac:dyDescent="0.25">
      <c r="C2993" s="263"/>
      <c r="D2993" s="157"/>
      <c r="E2993" s="44"/>
      <c r="F2993" s="146"/>
      <c r="G2993" s="1"/>
      <c r="H2993" s="161"/>
      <c r="I2993" s="37"/>
      <c r="J2993" s="135"/>
      <c r="K2993" s="112"/>
      <c r="L2993" s="37"/>
      <c r="M2993" s="37"/>
      <c r="N2993" s="37"/>
      <c r="O2993" s="130"/>
      <c r="P2993" s="132"/>
      <c r="Q2993" s="261"/>
      <c r="R2993" s="92"/>
    </row>
    <row r="2994" spans="3:18" x14ac:dyDescent="0.25">
      <c r="C2994" s="263"/>
      <c r="D2994" s="157"/>
      <c r="E2994" s="44"/>
      <c r="F2994" s="146"/>
      <c r="G2994" s="1"/>
      <c r="H2994" s="161"/>
      <c r="I2994" s="37"/>
      <c r="J2994" s="135"/>
      <c r="K2994" s="112"/>
      <c r="L2994" s="37"/>
      <c r="M2994" s="37"/>
      <c r="N2994" s="37"/>
      <c r="O2994" s="130"/>
      <c r="P2994" s="132"/>
      <c r="Q2994" s="261"/>
      <c r="R2994" s="92"/>
    </row>
    <row r="2995" spans="3:18" x14ac:dyDescent="0.25">
      <c r="C2995" s="263"/>
      <c r="D2995" s="157"/>
      <c r="E2995" s="44"/>
      <c r="F2995" s="146"/>
      <c r="G2995" s="1"/>
      <c r="H2995" s="161"/>
      <c r="I2995" s="37"/>
      <c r="J2995" s="135"/>
      <c r="K2995" s="112"/>
      <c r="L2995" s="37"/>
      <c r="M2995" s="37"/>
      <c r="N2995" s="37"/>
      <c r="O2995" s="130"/>
      <c r="P2995" s="132"/>
      <c r="Q2995" s="261"/>
      <c r="R2995" s="92"/>
    </row>
    <row r="2996" spans="3:18" x14ac:dyDescent="0.25">
      <c r="C2996" s="263"/>
      <c r="D2996" s="157"/>
      <c r="E2996" s="44"/>
      <c r="F2996" s="146"/>
      <c r="G2996" s="1"/>
      <c r="H2996" s="161"/>
      <c r="I2996" s="37"/>
      <c r="J2996" s="135"/>
      <c r="K2996" s="112"/>
      <c r="L2996" s="37"/>
      <c r="M2996" s="37"/>
      <c r="N2996" s="37"/>
      <c r="O2996" s="130"/>
      <c r="P2996" s="132"/>
      <c r="Q2996" s="261"/>
      <c r="R2996" s="92"/>
    </row>
    <row r="2997" spans="3:18" x14ac:dyDescent="0.25">
      <c r="C2997" s="263"/>
      <c r="D2997" s="157"/>
      <c r="E2997" s="44"/>
      <c r="F2997" s="146"/>
      <c r="G2997" s="1"/>
      <c r="H2997" s="161"/>
      <c r="I2997" s="37"/>
      <c r="J2997" s="135"/>
      <c r="K2997" s="112"/>
      <c r="L2997" s="37"/>
      <c r="M2997" s="37"/>
      <c r="N2997" s="37"/>
      <c r="O2997" s="130"/>
      <c r="P2997" s="132"/>
      <c r="Q2997" s="261"/>
      <c r="R2997" s="92"/>
    </row>
    <row r="2998" spans="3:18" x14ac:dyDescent="0.25">
      <c r="C2998" s="263"/>
      <c r="D2998" s="157"/>
      <c r="E2998" s="44"/>
      <c r="F2998" s="146"/>
      <c r="G2998" s="1"/>
      <c r="H2998" s="161"/>
      <c r="I2998" s="37"/>
      <c r="J2998" s="135"/>
      <c r="K2998" s="112"/>
      <c r="L2998" s="37"/>
      <c r="M2998" s="37"/>
      <c r="N2998" s="37"/>
      <c r="O2998" s="130"/>
      <c r="P2998" s="132"/>
      <c r="Q2998" s="261"/>
      <c r="R2998" s="92"/>
    </row>
    <row r="2999" spans="3:18" x14ac:dyDescent="0.25">
      <c r="C2999" s="263"/>
      <c r="D2999" s="157"/>
      <c r="E2999" s="44"/>
      <c r="F2999" s="146"/>
      <c r="G2999" s="1"/>
      <c r="H2999" s="161"/>
      <c r="I2999" s="37"/>
      <c r="J2999" s="135"/>
      <c r="K2999" s="112"/>
      <c r="L2999" s="37"/>
      <c r="M2999" s="37"/>
      <c r="N2999" s="37"/>
      <c r="O2999" s="130"/>
      <c r="P2999" s="132"/>
      <c r="Q2999" s="261"/>
      <c r="R2999" s="92"/>
    </row>
    <row r="3000" spans="3:18" x14ac:dyDescent="0.25">
      <c r="C3000" s="263"/>
      <c r="D3000" s="157"/>
      <c r="E3000" s="44"/>
      <c r="F3000" s="146"/>
      <c r="G3000" s="1"/>
      <c r="H3000" s="161"/>
      <c r="I3000" s="37"/>
      <c r="J3000" s="135"/>
      <c r="K3000" s="112"/>
      <c r="L3000" s="37"/>
      <c r="M3000" s="37"/>
      <c r="N3000" s="37"/>
      <c r="O3000" s="130"/>
      <c r="P3000" s="132"/>
      <c r="Q3000" s="261"/>
      <c r="R3000" s="92"/>
    </row>
    <row r="3001" spans="3:18" x14ac:dyDescent="0.25">
      <c r="C3001" s="263"/>
      <c r="D3001" s="157"/>
      <c r="E3001" s="44"/>
      <c r="F3001" s="146"/>
      <c r="G3001" s="1"/>
      <c r="H3001" s="161"/>
      <c r="I3001" s="37"/>
      <c r="J3001" s="135"/>
      <c r="K3001" s="112"/>
      <c r="L3001" s="37"/>
      <c r="M3001" s="37"/>
      <c r="N3001" s="37"/>
      <c r="O3001" s="130"/>
      <c r="P3001" s="132"/>
      <c r="Q3001" s="261"/>
      <c r="R3001" s="92"/>
    </row>
    <row r="3002" spans="3:18" x14ac:dyDescent="0.25">
      <c r="C3002" s="263"/>
      <c r="D3002" s="157"/>
      <c r="E3002" s="44"/>
      <c r="F3002" s="146"/>
      <c r="G3002" s="1"/>
      <c r="H3002" s="161"/>
      <c r="I3002" s="37"/>
      <c r="J3002" s="135"/>
      <c r="K3002" s="112"/>
      <c r="L3002" s="37"/>
      <c r="M3002" s="37"/>
      <c r="N3002" s="37"/>
      <c r="O3002" s="130"/>
      <c r="P3002" s="132"/>
      <c r="Q3002" s="261"/>
      <c r="R3002" s="92"/>
    </row>
    <row r="3003" spans="3:18" x14ac:dyDescent="0.25">
      <c r="C3003" s="263"/>
      <c r="D3003" s="157"/>
      <c r="E3003" s="44"/>
      <c r="F3003" s="146"/>
      <c r="G3003" s="1"/>
      <c r="H3003" s="161"/>
      <c r="I3003" s="37"/>
      <c r="J3003" s="135"/>
      <c r="K3003" s="112"/>
      <c r="L3003" s="37"/>
      <c r="M3003" s="37"/>
      <c r="N3003" s="37"/>
      <c r="O3003" s="130"/>
      <c r="P3003" s="132"/>
      <c r="Q3003" s="261"/>
      <c r="R3003" s="92"/>
    </row>
    <row r="3004" spans="3:18" x14ac:dyDescent="0.25">
      <c r="C3004" s="263"/>
      <c r="D3004" s="157"/>
      <c r="E3004" s="44"/>
      <c r="F3004" s="146"/>
      <c r="G3004" s="1"/>
      <c r="H3004" s="161"/>
      <c r="I3004" s="37"/>
      <c r="J3004" s="135"/>
      <c r="K3004" s="112"/>
      <c r="L3004" s="37"/>
      <c r="M3004" s="37"/>
      <c r="N3004" s="37"/>
      <c r="O3004" s="130"/>
      <c r="P3004" s="132"/>
      <c r="Q3004" s="261"/>
      <c r="R3004" s="92"/>
    </row>
    <row r="3005" spans="3:18" x14ac:dyDescent="0.25">
      <c r="C3005" s="263"/>
      <c r="D3005" s="157"/>
      <c r="E3005" s="44"/>
      <c r="F3005" s="146"/>
      <c r="G3005" s="1"/>
      <c r="H3005" s="161"/>
      <c r="I3005" s="37"/>
      <c r="J3005" s="135"/>
      <c r="K3005" s="112"/>
      <c r="L3005" s="37"/>
      <c r="M3005" s="37"/>
      <c r="N3005" s="37"/>
      <c r="O3005" s="130"/>
      <c r="P3005" s="132"/>
      <c r="Q3005" s="261"/>
      <c r="R3005" s="92"/>
    </row>
    <row r="3006" spans="3:18" x14ac:dyDescent="0.25">
      <c r="C3006" s="263"/>
      <c r="D3006" s="157"/>
      <c r="E3006" s="44"/>
      <c r="F3006" s="146"/>
      <c r="G3006" s="1"/>
      <c r="H3006" s="161"/>
      <c r="I3006" s="37"/>
      <c r="J3006" s="135"/>
      <c r="K3006" s="112"/>
      <c r="L3006" s="37"/>
      <c r="M3006" s="37"/>
      <c r="N3006" s="37"/>
      <c r="O3006" s="130"/>
      <c r="P3006" s="132"/>
      <c r="Q3006" s="261"/>
      <c r="R3006" s="92"/>
    </row>
    <row r="3007" spans="3:18" x14ac:dyDescent="0.25">
      <c r="C3007" s="263"/>
      <c r="D3007" s="157"/>
      <c r="E3007" s="44"/>
      <c r="F3007" s="146"/>
      <c r="G3007" s="1"/>
      <c r="H3007" s="161"/>
      <c r="I3007" s="37"/>
      <c r="J3007" s="135"/>
      <c r="K3007" s="112"/>
      <c r="L3007" s="37"/>
      <c r="M3007" s="37"/>
      <c r="N3007" s="37"/>
      <c r="O3007" s="130"/>
      <c r="P3007" s="132"/>
      <c r="Q3007" s="261"/>
      <c r="R3007" s="92"/>
    </row>
    <row r="3008" spans="3:18" x14ac:dyDescent="0.25">
      <c r="C3008" s="263"/>
      <c r="D3008" s="157"/>
      <c r="E3008" s="44"/>
      <c r="F3008" s="146"/>
      <c r="G3008" s="1"/>
      <c r="H3008" s="161"/>
      <c r="I3008" s="37"/>
      <c r="J3008" s="135"/>
      <c r="K3008" s="112"/>
      <c r="L3008" s="37"/>
      <c r="M3008" s="37"/>
      <c r="N3008" s="37"/>
      <c r="O3008" s="130"/>
      <c r="P3008" s="132"/>
      <c r="Q3008" s="261"/>
      <c r="R3008" s="92"/>
    </row>
    <row r="3009" spans="3:18" x14ac:dyDescent="0.25">
      <c r="C3009" s="263"/>
      <c r="D3009" s="157"/>
      <c r="E3009" s="44"/>
      <c r="F3009" s="146"/>
      <c r="G3009" s="1"/>
      <c r="H3009" s="161"/>
      <c r="I3009" s="37"/>
      <c r="J3009" s="135"/>
      <c r="K3009" s="112"/>
      <c r="L3009" s="37"/>
      <c r="M3009" s="37"/>
      <c r="N3009" s="37"/>
      <c r="O3009" s="130"/>
      <c r="P3009" s="132"/>
      <c r="Q3009" s="261"/>
      <c r="R3009" s="92"/>
    </row>
    <row r="3010" spans="3:18" x14ac:dyDescent="0.25">
      <c r="C3010" s="263"/>
      <c r="D3010" s="157"/>
      <c r="E3010" s="44"/>
      <c r="F3010" s="146"/>
      <c r="G3010" s="1"/>
      <c r="H3010" s="161"/>
      <c r="I3010" s="37"/>
      <c r="J3010" s="135"/>
      <c r="K3010" s="112"/>
      <c r="L3010" s="37"/>
      <c r="M3010" s="37"/>
      <c r="N3010" s="37"/>
      <c r="O3010" s="130"/>
      <c r="P3010" s="132"/>
      <c r="Q3010" s="261"/>
      <c r="R3010" s="92"/>
    </row>
    <row r="3011" spans="3:18" x14ac:dyDescent="0.25">
      <c r="C3011" s="263"/>
      <c r="D3011" s="157"/>
      <c r="E3011" s="44"/>
      <c r="F3011" s="146"/>
      <c r="G3011" s="1"/>
      <c r="H3011" s="161"/>
      <c r="I3011" s="37"/>
      <c r="J3011" s="135"/>
      <c r="K3011" s="112"/>
      <c r="L3011" s="37"/>
      <c r="M3011" s="37"/>
      <c r="N3011" s="37"/>
      <c r="O3011" s="130"/>
      <c r="P3011" s="132"/>
      <c r="Q3011" s="261"/>
      <c r="R3011" s="92"/>
    </row>
    <row r="3012" spans="3:18" x14ac:dyDescent="0.25">
      <c r="C3012" s="263"/>
      <c r="D3012" s="157"/>
      <c r="E3012" s="44"/>
      <c r="F3012" s="146"/>
      <c r="G3012" s="1"/>
      <c r="H3012" s="161"/>
      <c r="I3012" s="37"/>
      <c r="J3012" s="135"/>
      <c r="K3012" s="112"/>
      <c r="L3012" s="37"/>
      <c r="M3012" s="37"/>
      <c r="N3012" s="37"/>
      <c r="O3012" s="130"/>
      <c r="P3012" s="132"/>
      <c r="Q3012" s="261"/>
      <c r="R3012" s="92"/>
    </row>
    <row r="3013" spans="3:18" x14ac:dyDescent="0.25">
      <c r="C3013" s="263"/>
      <c r="D3013" s="157"/>
      <c r="E3013" s="44"/>
      <c r="F3013" s="146"/>
      <c r="G3013" s="1"/>
      <c r="H3013" s="161"/>
      <c r="I3013" s="37"/>
      <c r="J3013" s="135"/>
      <c r="K3013" s="112"/>
      <c r="L3013" s="37"/>
      <c r="M3013" s="37"/>
      <c r="N3013" s="37"/>
      <c r="O3013" s="130"/>
      <c r="P3013" s="132"/>
      <c r="Q3013" s="261"/>
      <c r="R3013" s="92"/>
    </row>
    <row r="3014" spans="3:18" x14ac:dyDescent="0.25">
      <c r="C3014" s="263"/>
      <c r="D3014" s="157"/>
      <c r="E3014" s="44"/>
      <c r="F3014" s="146"/>
      <c r="G3014" s="1"/>
      <c r="H3014" s="161"/>
      <c r="I3014" s="37"/>
      <c r="J3014" s="135"/>
      <c r="K3014" s="112"/>
      <c r="L3014" s="37"/>
      <c r="M3014" s="37"/>
      <c r="N3014" s="37"/>
      <c r="O3014" s="130"/>
      <c r="P3014" s="132"/>
      <c r="Q3014" s="261"/>
      <c r="R3014" s="92"/>
    </row>
    <row r="3015" spans="3:18" x14ac:dyDescent="0.25">
      <c r="C3015" s="263"/>
      <c r="D3015" s="157"/>
      <c r="E3015" s="44"/>
      <c r="F3015" s="146"/>
      <c r="G3015" s="1"/>
      <c r="H3015" s="161"/>
      <c r="I3015" s="37"/>
      <c r="J3015" s="135"/>
      <c r="K3015" s="112"/>
      <c r="L3015" s="37"/>
      <c r="M3015" s="37"/>
      <c r="N3015" s="37"/>
      <c r="O3015" s="130"/>
      <c r="P3015" s="132"/>
      <c r="Q3015" s="261"/>
      <c r="R3015" s="92"/>
    </row>
    <row r="3016" spans="3:18" x14ac:dyDescent="0.25">
      <c r="C3016" s="263"/>
      <c r="D3016" s="157"/>
      <c r="E3016" s="44"/>
      <c r="F3016" s="146"/>
      <c r="G3016" s="1"/>
      <c r="H3016" s="161"/>
      <c r="I3016" s="37"/>
      <c r="J3016" s="135"/>
      <c r="K3016" s="112"/>
      <c r="L3016" s="37"/>
      <c r="M3016" s="37"/>
      <c r="N3016" s="37"/>
      <c r="O3016" s="130"/>
      <c r="P3016" s="132"/>
      <c r="Q3016" s="261"/>
      <c r="R3016" s="92"/>
    </row>
    <row r="3017" spans="3:18" x14ac:dyDescent="0.25">
      <c r="C3017" s="263"/>
      <c r="D3017" s="157"/>
      <c r="E3017" s="44"/>
      <c r="F3017" s="146"/>
      <c r="G3017" s="1"/>
      <c r="H3017" s="161"/>
      <c r="I3017" s="37"/>
      <c r="J3017" s="135"/>
      <c r="K3017" s="112"/>
      <c r="L3017" s="37"/>
      <c r="M3017" s="37"/>
      <c r="N3017" s="37"/>
      <c r="O3017" s="130"/>
      <c r="P3017" s="132"/>
      <c r="Q3017" s="261"/>
      <c r="R3017" s="92"/>
    </row>
    <row r="3018" spans="3:18" x14ac:dyDescent="0.25">
      <c r="C3018" s="263"/>
      <c r="D3018" s="157"/>
      <c r="E3018" s="44"/>
      <c r="F3018" s="146"/>
      <c r="G3018" s="1"/>
      <c r="H3018" s="161"/>
      <c r="I3018" s="37"/>
      <c r="J3018" s="135"/>
      <c r="K3018" s="112"/>
      <c r="L3018" s="37"/>
      <c r="M3018" s="37"/>
      <c r="N3018" s="37"/>
      <c r="O3018" s="130"/>
      <c r="P3018" s="132"/>
      <c r="Q3018" s="261"/>
      <c r="R3018" s="92"/>
    </row>
    <row r="3019" spans="3:18" x14ac:dyDescent="0.25">
      <c r="C3019" s="263"/>
      <c r="D3019" s="157"/>
      <c r="E3019" s="44"/>
      <c r="F3019" s="146"/>
      <c r="G3019" s="1"/>
      <c r="H3019" s="161"/>
      <c r="I3019" s="37"/>
      <c r="J3019" s="135"/>
      <c r="K3019" s="112"/>
      <c r="L3019" s="37"/>
      <c r="M3019" s="37"/>
      <c r="N3019" s="37"/>
      <c r="O3019" s="130"/>
      <c r="P3019" s="132"/>
      <c r="Q3019" s="261"/>
      <c r="R3019" s="92"/>
    </row>
    <row r="3020" spans="3:18" x14ac:dyDescent="0.25">
      <c r="C3020" s="263"/>
      <c r="D3020" s="157"/>
      <c r="E3020" s="44"/>
      <c r="F3020" s="146"/>
      <c r="G3020" s="1"/>
      <c r="H3020" s="161"/>
      <c r="I3020" s="37"/>
      <c r="J3020" s="135"/>
      <c r="K3020" s="112"/>
      <c r="L3020" s="37"/>
      <c r="M3020" s="37"/>
      <c r="N3020" s="37"/>
      <c r="O3020" s="130"/>
      <c r="P3020" s="132"/>
      <c r="Q3020" s="261"/>
      <c r="R3020" s="92"/>
    </row>
    <row r="3021" spans="3:18" x14ac:dyDescent="0.25">
      <c r="C3021" s="263"/>
      <c r="D3021" s="157"/>
      <c r="E3021" s="44"/>
      <c r="F3021" s="146"/>
      <c r="G3021" s="1"/>
      <c r="H3021" s="161"/>
      <c r="I3021" s="37"/>
      <c r="J3021" s="135"/>
      <c r="K3021" s="112"/>
      <c r="L3021" s="37"/>
      <c r="M3021" s="37"/>
      <c r="N3021" s="37"/>
      <c r="O3021" s="130"/>
      <c r="P3021" s="132"/>
      <c r="Q3021" s="261"/>
      <c r="R3021" s="92"/>
    </row>
    <row r="3022" spans="3:18" x14ac:dyDescent="0.25">
      <c r="C3022" s="263"/>
      <c r="D3022" s="157"/>
      <c r="E3022" s="44"/>
      <c r="F3022" s="146"/>
      <c r="G3022" s="1"/>
      <c r="H3022" s="161"/>
      <c r="I3022" s="37"/>
      <c r="J3022" s="135"/>
      <c r="K3022" s="112"/>
      <c r="L3022" s="37"/>
      <c r="M3022" s="37"/>
      <c r="N3022" s="37"/>
      <c r="O3022" s="130"/>
      <c r="P3022" s="132"/>
      <c r="Q3022" s="261"/>
      <c r="R3022" s="92"/>
    </row>
    <row r="3023" spans="3:18" x14ac:dyDescent="0.25">
      <c r="C3023" s="263"/>
      <c r="D3023" s="157"/>
      <c r="E3023" s="44"/>
      <c r="F3023" s="146"/>
      <c r="G3023" s="1"/>
      <c r="H3023" s="161"/>
      <c r="I3023" s="37"/>
      <c r="J3023" s="135"/>
      <c r="K3023" s="112"/>
      <c r="L3023" s="37"/>
      <c r="M3023" s="37"/>
      <c r="N3023" s="37"/>
      <c r="O3023" s="130"/>
      <c r="P3023" s="132"/>
      <c r="Q3023" s="261"/>
      <c r="R3023" s="92"/>
    </row>
    <row r="3024" spans="3:18" x14ac:dyDescent="0.25">
      <c r="C3024" s="263"/>
      <c r="D3024" s="157"/>
      <c r="E3024" s="44"/>
      <c r="F3024" s="146"/>
      <c r="G3024" s="1"/>
      <c r="H3024" s="161"/>
      <c r="I3024" s="37"/>
      <c r="J3024" s="135"/>
      <c r="K3024" s="112"/>
      <c r="L3024" s="37"/>
      <c r="M3024" s="37"/>
      <c r="N3024" s="37"/>
      <c r="O3024" s="130"/>
      <c r="P3024" s="132"/>
      <c r="Q3024" s="261"/>
      <c r="R3024" s="92"/>
    </row>
    <row r="3025" spans="3:18" x14ac:dyDescent="0.25">
      <c r="C3025" s="263"/>
      <c r="D3025" s="157"/>
      <c r="E3025" s="44"/>
      <c r="F3025" s="146"/>
      <c r="G3025" s="1"/>
      <c r="H3025" s="161"/>
      <c r="I3025" s="37"/>
      <c r="J3025" s="135"/>
      <c r="K3025" s="112"/>
      <c r="L3025" s="37"/>
      <c r="M3025" s="37"/>
      <c r="N3025" s="37"/>
      <c r="O3025" s="130"/>
      <c r="P3025" s="132"/>
      <c r="Q3025" s="261"/>
      <c r="R3025" s="92"/>
    </row>
    <row r="3026" spans="3:18" x14ac:dyDescent="0.25">
      <c r="C3026" s="263"/>
      <c r="D3026" s="157"/>
      <c r="E3026" s="44"/>
      <c r="F3026" s="146"/>
      <c r="G3026" s="1"/>
      <c r="H3026" s="161"/>
      <c r="I3026" s="37"/>
      <c r="J3026" s="135"/>
      <c r="K3026" s="112"/>
      <c r="L3026" s="37"/>
      <c r="M3026" s="37"/>
      <c r="N3026" s="37"/>
      <c r="O3026" s="130"/>
      <c r="P3026" s="132"/>
      <c r="Q3026" s="261"/>
      <c r="R3026" s="92"/>
    </row>
    <row r="3027" spans="3:18" x14ac:dyDescent="0.25">
      <c r="C3027" s="263"/>
      <c r="D3027" s="157"/>
      <c r="E3027" s="44"/>
      <c r="F3027" s="146"/>
      <c r="G3027" s="1"/>
      <c r="H3027" s="161"/>
      <c r="I3027" s="37"/>
      <c r="J3027" s="135"/>
      <c r="K3027" s="112"/>
      <c r="L3027" s="37"/>
      <c r="M3027" s="37"/>
      <c r="N3027" s="37"/>
      <c r="O3027" s="130"/>
      <c r="P3027" s="132"/>
      <c r="Q3027" s="261"/>
      <c r="R3027" s="92"/>
    </row>
    <row r="3028" spans="3:18" x14ac:dyDescent="0.25">
      <c r="C3028" s="263"/>
      <c r="D3028" s="157"/>
      <c r="E3028" s="44"/>
      <c r="F3028" s="146"/>
      <c r="G3028" s="1"/>
      <c r="H3028" s="161"/>
      <c r="I3028" s="37"/>
      <c r="J3028" s="135"/>
      <c r="K3028" s="112"/>
      <c r="L3028" s="37"/>
      <c r="M3028" s="37"/>
      <c r="N3028" s="37"/>
      <c r="O3028" s="130"/>
      <c r="P3028" s="132"/>
      <c r="Q3028" s="261"/>
      <c r="R3028" s="92"/>
    </row>
    <row r="3029" spans="3:18" x14ac:dyDescent="0.25">
      <c r="C3029" s="263"/>
      <c r="D3029" s="157"/>
      <c r="E3029" s="44"/>
      <c r="F3029" s="146"/>
      <c r="G3029" s="1"/>
      <c r="H3029" s="161"/>
      <c r="I3029" s="37"/>
      <c r="J3029" s="135"/>
      <c r="K3029" s="112"/>
      <c r="L3029" s="37"/>
      <c r="M3029" s="37"/>
      <c r="N3029" s="37"/>
      <c r="O3029" s="130"/>
      <c r="P3029" s="132"/>
      <c r="Q3029" s="261"/>
      <c r="R3029" s="92"/>
    </row>
    <row r="3030" spans="3:18" x14ac:dyDescent="0.25">
      <c r="C3030" s="263"/>
      <c r="D3030" s="157"/>
      <c r="E3030" s="44"/>
      <c r="F3030" s="146"/>
      <c r="G3030" s="1"/>
      <c r="H3030" s="161"/>
      <c r="I3030" s="37"/>
      <c r="J3030" s="135"/>
      <c r="K3030" s="112"/>
      <c r="L3030" s="37"/>
      <c r="M3030" s="37"/>
      <c r="N3030" s="37"/>
      <c r="O3030" s="130"/>
      <c r="P3030" s="132"/>
      <c r="Q3030" s="261"/>
      <c r="R3030" s="92"/>
    </row>
    <row r="3031" spans="3:18" x14ac:dyDescent="0.25">
      <c r="C3031" s="263"/>
      <c r="D3031" s="157"/>
      <c r="E3031" s="44"/>
      <c r="F3031" s="146"/>
      <c r="G3031" s="1"/>
      <c r="H3031" s="161"/>
      <c r="I3031" s="37"/>
      <c r="J3031" s="135"/>
      <c r="K3031" s="112"/>
      <c r="L3031" s="37"/>
      <c r="M3031" s="37"/>
      <c r="N3031" s="37"/>
      <c r="O3031" s="130"/>
      <c r="P3031" s="132"/>
      <c r="Q3031" s="261"/>
      <c r="R3031" s="92"/>
    </row>
    <row r="3032" spans="3:18" x14ac:dyDescent="0.25">
      <c r="C3032" s="263"/>
      <c r="D3032" s="157"/>
      <c r="E3032" s="44"/>
      <c r="F3032" s="146"/>
      <c r="G3032" s="1"/>
      <c r="H3032" s="161"/>
      <c r="I3032" s="37"/>
      <c r="J3032" s="135"/>
      <c r="K3032" s="112"/>
      <c r="L3032" s="37"/>
      <c r="M3032" s="37"/>
      <c r="N3032" s="37"/>
      <c r="O3032" s="130"/>
      <c r="P3032" s="132"/>
      <c r="Q3032" s="261"/>
      <c r="R3032" s="92"/>
    </row>
    <row r="3033" spans="3:18" x14ac:dyDescent="0.25">
      <c r="C3033" s="263"/>
      <c r="D3033" s="157"/>
      <c r="E3033" s="44"/>
      <c r="F3033" s="146"/>
      <c r="G3033" s="1"/>
      <c r="H3033" s="161"/>
      <c r="I3033" s="37"/>
      <c r="J3033" s="135"/>
      <c r="K3033" s="112"/>
      <c r="L3033" s="37"/>
      <c r="M3033" s="37"/>
      <c r="N3033" s="37"/>
      <c r="O3033" s="130"/>
      <c r="P3033" s="132"/>
      <c r="Q3033" s="261"/>
      <c r="R3033" s="92"/>
    </row>
    <row r="3034" spans="3:18" x14ac:dyDescent="0.25">
      <c r="C3034" s="263"/>
      <c r="D3034" s="157"/>
      <c r="E3034" s="44"/>
      <c r="F3034" s="146"/>
      <c r="G3034" s="1"/>
      <c r="H3034" s="161"/>
      <c r="I3034" s="37"/>
      <c r="J3034" s="135"/>
      <c r="K3034" s="112"/>
      <c r="L3034" s="37"/>
      <c r="M3034" s="37"/>
      <c r="N3034" s="37"/>
      <c r="O3034" s="130"/>
      <c r="P3034" s="132"/>
      <c r="Q3034" s="261"/>
      <c r="R3034" s="92"/>
    </row>
    <row r="3035" spans="3:18" x14ac:dyDescent="0.25">
      <c r="C3035" s="263"/>
      <c r="D3035" s="157"/>
      <c r="E3035" s="44"/>
      <c r="F3035" s="146"/>
      <c r="G3035" s="1"/>
      <c r="H3035" s="161"/>
      <c r="I3035" s="37"/>
      <c r="J3035" s="135"/>
      <c r="K3035" s="112"/>
      <c r="L3035" s="37"/>
      <c r="M3035" s="37"/>
      <c r="N3035" s="37"/>
      <c r="O3035" s="130"/>
      <c r="P3035" s="132"/>
      <c r="Q3035" s="261"/>
    </row>
    <row r="3036" spans="3:18" x14ac:dyDescent="0.25">
      <c r="C3036" s="263"/>
      <c r="D3036" s="157"/>
      <c r="E3036" s="44"/>
      <c r="F3036" s="146"/>
      <c r="G3036" s="1"/>
      <c r="H3036" s="161"/>
      <c r="I3036" s="37"/>
      <c r="J3036" s="135"/>
      <c r="K3036" s="112"/>
      <c r="L3036" s="37"/>
      <c r="M3036" s="37"/>
      <c r="N3036" s="37"/>
      <c r="O3036" s="130"/>
      <c r="P3036" s="132"/>
      <c r="Q3036" s="261"/>
    </row>
    <row r="3037" spans="3:18" x14ac:dyDescent="0.25">
      <c r="C3037" s="263"/>
      <c r="D3037" s="157"/>
      <c r="E3037" s="44"/>
      <c r="F3037" s="146"/>
      <c r="G3037" s="1"/>
      <c r="H3037" s="161"/>
      <c r="I3037" s="37"/>
      <c r="J3037" s="135"/>
      <c r="K3037" s="112"/>
      <c r="L3037" s="37"/>
      <c r="M3037" s="37"/>
      <c r="N3037" s="37"/>
      <c r="O3037" s="130"/>
      <c r="P3037" s="132"/>
      <c r="Q3037" s="261"/>
    </row>
    <row r="3038" spans="3:18" x14ac:dyDescent="0.25">
      <c r="C3038" s="263"/>
      <c r="D3038" s="157"/>
      <c r="E3038" s="44"/>
      <c r="F3038" s="146"/>
      <c r="G3038" s="1"/>
      <c r="H3038" s="161"/>
      <c r="I3038" s="37"/>
      <c r="J3038" s="135"/>
      <c r="K3038" s="112"/>
      <c r="L3038" s="37"/>
      <c r="M3038" s="37"/>
      <c r="N3038" s="37"/>
      <c r="O3038" s="130"/>
      <c r="P3038" s="132"/>
      <c r="Q3038" s="261"/>
    </row>
    <row r="3039" spans="3:18" x14ac:dyDescent="0.25">
      <c r="C3039" s="263"/>
      <c r="D3039" s="157"/>
      <c r="E3039" s="44"/>
      <c r="F3039" s="146"/>
      <c r="G3039" s="1"/>
      <c r="H3039" s="161"/>
      <c r="I3039" s="37"/>
      <c r="J3039" s="135"/>
      <c r="K3039" s="112"/>
      <c r="L3039" s="37"/>
      <c r="M3039" s="37"/>
      <c r="N3039" s="37"/>
      <c r="O3039" s="130"/>
      <c r="P3039" s="132"/>
      <c r="Q3039" s="261"/>
    </row>
    <row r="3040" spans="3:18" x14ac:dyDescent="0.25">
      <c r="C3040" s="263"/>
      <c r="D3040" s="157"/>
      <c r="E3040" s="44"/>
      <c r="F3040" s="146"/>
      <c r="G3040" s="1"/>
      <c r="H3040" s="161"/>
      <c r="I3040" s="37"/>
      <c r="J3040" s="135"/>
      <c r="K3040" s="112"/>
      <c r="L3040" s="37"/>
      <c r="M3040" s="37"/>
      <c r="N3040" s="37"/>
      <c r="O3040" s="130"/>
      <c r="P3040" s="132"/>
      <c r="Q3040" s="261"/>
    </row>
    <row r="3041" spans="3:17" x14ac:dyDescent="0.25">
      <c r="C3041" s="263"/>
      <c r="D3041" s="157"/>
      <c r="E3041" s="44"/>
      <c r="F3041" s="146"/>
      <c r="G3041" s="1"/>
      <c r="H3041" s="161"/>
      <c r="I3041" s="37"/>
      <c r="J3041" s="135"/>
      <c r="K3041" s="112"/>
      <c r="L3041" s="37"/>
      <c r="M3041" s="37"/>
      <c r="N3041" s="37"/>
      <c r="O3041" s="130"/>
      <c r="P3041" s="132"/>
      <c r="Q3041" s="261"/>
    </row>
    <row r="3042" spans="3:17" x14ac:dyDescent="0.25">
      <c r="C3042" s="263"/>
      <c r="D3042" s="157"/>
      <c r="E3042" s="44"/>
      <c r="F3042" s="146"/>
      <c r="G3042" s="1"/>
      <c r="H3042" s="161"/>
      <c r="I3042" s="37"/>
      <c r="J3042" s="135"/>
      <c r="K3042" s="112"/>
      <c r="L3042" s="37"/>
      <c r="M3042" s="37"/>
      <c r="N3042" s="37"/>
      <c r="O3042" s="130"/>
      <c r="P3042" s="132"/>
      <c r="Q3042" s="261"/>
    </row>
    <row r="3043" spans="3:17" x14ac:dyDescent="0.25">
      <c r="C3043" s="263"/>
      <c r="D3043" s="157"/>
      <c r="E3043" s="44"/>
      <c r="F3043" s="146"/>
      <c r="G3043" s="1"/>
      <c r="H3043" s="161"/>
      <c r="I3043" s="37"/>
      <c r="J3043" s="135"/>
      <c r="K3043" s="112"/>
      <c r="L3043" s="37"/>
      <c r="M3043" s="37"/>
      <c r="N3043" s="37"/>
      <c r="O3043" s="130"/>
      <c r="P3043" s="132"/>
      <c r="Q3043" s="261"/>
    </row>
    <row r="3044" spans="3:17" x14ac:dyDescent="0.25">
      <c r="C3044" s="263"/>
      <c r="D3044" s="157"/>
      <c r="E3044" s="44"/>
      <c r="F3044" s="146"/>
      <c r="G3044" s="1"/>
      <c r="H3044" s="161"/>
      <c r="I3044" s="37"/>
      <c r="J3044" s="135"/>
      <c r="K3044" s="112"/>
      <c r="L3044" s="37"/>
      <c r="M3044" s="37"/>
      <c r="N3044" s="37"/>
      <c r="O3044" s="130"/>
      <c r="P3044" s="132"/>
      <c r="Q3044" s="261"/>
    </row>
    <row r="3045" spans="3:17" x14ac:dyDescent="0.25">
      <c r="C3045" s="263"/>
      <c r="D3045" s="157"/>
      <c r="E3045" s="44"/>
      <c r="F3045" s="146"/>
      <c r="G3045" s="1"/>
      <c r="H3045" s="161"/>
      <c r="I3045" s="37"/>
      <c r="J3045" s="135"/>
      <c r="K3045" s="112"/>
      <c r="L3045" s="37"/>
      <c r="M3045" s="37"/>
      <c r="N3045" s="37"/>
      <c r="O3045" s="130"/>
      <c r="P3045" s="132"/>
      <c r="Q3045" s="261"/>
    </row>
    <row r="3046" spans="3:17" x14ac:dyDescent="0.25">
      <c r="C3046" s="263"/>
      <c r="D3046" s="157"/>
      <c r="E3046" s="44"/>
      <c r="F3046" s="146"/>
      <c r="G3046" s="1"/>
      <c r="H3046" s="161"/>
      <c r="I3046" s="37"/>
      <c r="J3046" s="135"/>
      <c r="K3046" s="112"/>
      <c r="L3046" s="37"/>
      <c r="M3046" s="37"/>
      <c r="N3046" s="37"/>
      <c r="O3046" s="130"/>
      <c r="P3046" s="132"/>
      <c r="Q3046" s="261"/>
    </row>
    <row r="3047" spans="3:17" x14ac:dyDescent="0.25">
      <c r="C3047" s="263"/>
      <c r="D3047" s="157"/>
      <c r="E3047" s="44"/>
      <c r="F3047" s="146"/>
      <c r="G3047" s="1"/>
      <c r="H3047" s="161"/>
      <c r="I3047" s="37"/>
      <c r="J3047" s="135"/>
      <c r="K3047" s="112"/>
      <c r="L3047" s="37"/>
      <c r="M3047" s="37"/>
      <c r="N3047" s="37"/>
      <c r="O3047" s="130"/>
      <c r="P3047" s="132"/>
      <c r="Q3047" s="261"/>
    </row>
    <row r="3048" spans="3:17" x14ac:dyDescent="0.25">
      <c r="C3048" s="263"/>
      <c r="D3048" s="157"/>
      <c r="E3048" s="44"/>
      <c r="F3048" s="146"/>
      <c r="G3048" s="1"/>
      <c r="H3048" s="161"/>
      <c r="I3048" s="37"/>
      <c r="J3048" s="135"/>
      <c r="K3048" s="112"/>
      <c r="L3048" s="37"/>
      <c r="M3048" s="37"/>
      <c r="N3048" s="37"/>
      <c r="O3048" s="130"/>
      <c r="P3048" s="132"/>
      <c r="Q3048" s="261"/>
    </row>
    <row r="3049" spans="3:17" x14ac:dyDescent="0.25">
      <c r="C3049" s="263"/>
      <c r="D3049" s="157"/>
      <c r="E3049" s="44"/>
      <c r="F3049" s="146"/>
      <c r="G3049" s="1"/>
      <c r="H3049" s="161"/>
      <c r="I3049" s="37"/>
      <c r="J3049" s="135"/>
      <c r="K3049" s="112"/>
      <c r="L3049" s="37"/>
      <c r="M3049" s="37"/>
      <c r="N3049" s="37"/>
      <c r="O3049" s="130"/>
      <c r="P3049" s="132"/>
      <c r="Q3049" s="261"/>
    </row>
  </sheetData>
  <phoneticPr fontId="29" type="noConversion"/>
  <conditionalFormatting sqref="J23:J3049">
    <cfRule type="cellIs" dxfId="24" priority="26" operator="equal">
      <formula>1</formula>
    </cfRule>
  </conditionalFormatting>
  <conditionalFormatting sqref="F533:F572">
    <cfRule type="containsText" dxfId="23" priority="25" operator="containsText" text="ERROR">
      <formula>NOT(ISERROR(SEARCH("ERROR",F533)))</formula>
    </cfRule>
  </conditionalFormatting>
  <conditionalFormatting sqref="F22">
    <cfRule type="containsText" dxfId="22" priority="23" operator="containsText" text="ERROR">
      <formula>NOT(ISERROR(SEARCH("ERROR",F22)))</formula>
    </cfRule>
  </conditionalFormatting>
  <conditionalFormatting sqref="J29:J108">
    <cfRule type="cellIs" dxfId="21" priority="20" operator="equal">
      <formula>1</formula>
    </cfRule>
  </conditionalFormatting>
  <conditionalFormatting sqref="E22:E833">
    <cfRule type="expression" dxfId="20" priority="18">
      <formula>$A22&gt;2004</formula>
    </cfRule>
  </conditionalFormatting>
  <conditionalFormatting sqref="E834:E985">
    <cfRule type="expression" dxfId="19" priority="17">
      <formula>$A834&gt;2004</formula>
    </cfRule>
  </conditionalFormatting>
  <conditionalFormatting sqref="F2636:F3049">
    <cfRule type="containsText" dxfId="18" priority="16" operator="containsText" text="ERROR">
      <formula>NOT(ISERROR(SEARCH("ERROR",F2636)))</formula>
    </cfRule>
  </conditionalFormatting>
  <conditionalFormatting sqref="E2636:E3049">
    <cfRule type="expression" dxfId="17" priority="14">
      <formula>$A2636&gt;2004</formula>
    </cfRule>
  </conditionalFormatting>
  <conditionalFormatting sqref="F23:F532">
    <cfRule type="containsText" dxfId="16" priority="10" operator="containsText" text="ERROR">
      <formula>NOT(ISERROR(SEARCH("ERROR",F23)))</formula>
    </cfRule>
  </conditionalFormatting>
  <conditionalFormatting sqref="J22">
    <cfRule type="cellIs" dxfId="15" priority="6" operator="equal">
      <formula>1</formula>
    </cfRule>
  </conditionalFormatting>
  <conditionalFormatting sqref="E2510 E2609 E2614">
    <cfRule type="expression" dxfId="14" priority="5">
      <formula>$A2510&gt;2004</formula>
    </cfRule>
  </conditionalFormatting>
  <conditionalFormatting sqref="E2511:E2608">
    <cfRule type="expression" dxfId="13" priority="4">
      <formula>$A2511&gt;2004</formula>
    </cfRule>
  </conditionalFormatting>
  <conditionalFormatting sqref="E2610:E2613">
    <cfRule type="expression" dxfId="12" priority="3">
      <formula>$A2610&gt;2004</formula>
    </cfRule>
  </conditionalFormatting>
  <conditionalFormatting sqref="E2615:E2635">
    <cfRule type="expression" dxfId="11" priority="2">
      <formula>$A2615&gt;2004</formula>
    </cfRule>
  </conditionalFormatting>
  <conditionalFormatting sqref="F573:F2635">
    <cfRule type="containsText" dxfId="10" priority="1" operator="containsText" text="ERROR">
      <formula>NOT(ISERROR(SEARCH("ERROR",F573)))</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R229"/>
  <sheetViews>
    <sheetView showGridLines="0" zoomScale="85" zoomScaleNormal="85" workbookViewId="0">
      <pane ySplit="21" topLeftCell="A22" activePane="bottomLeft" state="frozen"/>
      <selection activeCell="N21" sqref="N21:P21"/>
      <selection pane="bottomLeft" activeCell="A22" sqref="A22"/>
    </sheetView>
  </sheetViews>
  <sheetFormatPr defaultRowHeight="11.5" outlineLevelRow="1" x14ac:dyDescent="0.25"/>
  <cols>
    <col min="1" max="1" width="10.09765625" style="353" bestFit="1" customWidth="1"/>
    <col min="2" max="2" width="12" style="353" bestFit="1"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3.69921875" bestFit="1" customWidth="1"/>
    <col min="18" max="18" width="9.09765625" customWidth="1"/>
  </cols>
  <sheetData>
    <row r="1" spans="3:18" x14ac:dyDescent="0.25">
      <c r="E1" s="42"/>
    </row>
    <row r="2" spans="3:18" x14ac:dyDescent="0.25">
      <c r="E2" s="42"/>
      <c r="F2" s="42"/>
    </row>
    <row r="3" spans="3:18" ht="20" x14ac:dyDescent="0.4">
      <c r="C3" s="70" t="s">
        <v>204</v>
      </c>
    </row>
    <row r="4" spans="3:18" hidden="1" outlineLevel="1" x14ac:dyDescent="0.25"/>
    <row r="5" spans="3:18" hidden="1" outlineLevel="1" x14ac:dyDescent="0.25"/>
    <row r="6" spans="3:18" ht="12" hidden="1" customHeight="1" outlineLevel="1" x14ac:dyDescent="0.25">
      <c r="C6" s="147"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2"/>
      <c r="E6" s="92"/>
      <c r="F6" s="92"/>
      <c r="G6" s="92"/>
      <c r="H6" s="92"/>
      <c r="I6" s="92"/>
      <c r="J6" s="92"/>
      <c r="K6" s="92"/>
      <c r="L6" s="92"/>
      <c r="M6" s="92"/>
      <c r="N6" s="92"/>
      <c r="O6" s="92"/>
      <c r="P6" s="92"/>
      <c r="Q6" s="92"/>
      <c r="R6" s="92"/>
    </row>
    <row r="7" spans="3:18" hidden="1" outlineLevel="1" x14ac:dyDescent="0.25">
      <c r="C7" s="210" t="str">
        <f ca="1">"Hyperlink to the '"&amp;MID(CELL("filename",'Asset exclusions'!A1),FIND("]",CELL("filename",'Asset exclusions'!A1))+1,255)&amp;"' worksheet:"</f>
        <v>Hyperlink to the 'Asset exclusions' worksheet:</v>
      </c>
      <c r="E7" s="211" t="s">
        <v>188</v>
      </c>
      <c r="G7" s="92"/>
      <c r="H7" s="92"/>
      <c r="I7" s="92"/>
      <c r="J7" s="92"/>
      <c r="K7" s="92"/>
      <c r="L7" s="92"/>
      <c r="M7" s="92"/>
      <c r="N7" s="92"/>
      <c r="O7" s="92"/>
      <c r="P7" s="92"/>
      <c r="Q7" s="92"/>
      <c r="R7" s="92"/>
    </row>
    <row r="8" spans="3:18" hidden="1" outlineLevel="1" x14ac:dyDescent="0.25">
      <c r="C8" s="210"/>
      <c r="E8" s="211"/>
      <c r="G8" s="92"/>
      <c r="H8" s="92"/>
      <c r="I8" s="92"/>
      <c r="J8" s="92"/>
      <c r="K8" s="92"/>
      <c r="L8" s="92"/>
      <c r="M8" s="92"/>
      <c r="N8" s="92"/>
      <c r="O8" s="92"/>
      <c r="P8" s="92"/>
      <c r="Q8" s="92"/>
      <c r="R8" s="92"/>
    </row>
    <row r="9" spans="3:18" hidden="1" outlineLevel="1" x14ac:dyDescent="0.25">
      <c r="C9" s="210" t="s">
        <v>243</v>
      </c>
      <c r="E9" s="211"/>
      <c r="G9" s="92"/>
      <c r="H9" s="92"/>
      <c r="I9" s="92"/>
      <c r="J9" s="92"/>
      <c r="K9" s="92"/>
      <c r="L9" s="92"/>
      <c r="M9" s="92"/>
      <c r="N9" s="92"/>
      <c r="O9" s="92"/>
      <c r="P9" s="92"/>
      <c r="Q9" s="92"/>
      <c r="R9" s="92"/>
    </row>
    <row r="10" spans="3:18" hidden="1" outlineLevel="1" x14ac:dyDescent="0.25">
      <c r="C10" s="210" t="s">
        <v>246</v>
      </c>
      <c r="E10" s="211"/>
      <c r="G10" s="92"/>
      <c r="H10" s="92"/>
      <c r="I10" s="92"/>
      <c r="J10" s="92"/>
      <c r="K10" s="92"/>
      <c r="L10" s="92"/>
      <c r="M10" s="92"/>
      <c r="N10" s="92"/>
      <c r="O10" s="92"/>
      <c r="P10" s="92"/>
      <c r="Q10" s="92"/>
      <c r="R10" s="92"/>
    </row>
    <row r="11" spans="3:18" hidden="1" outlineLevel="1" x14ac:dyDescent="0.25">
      <c r="C11" s="210" t="s">
        <v>245</v>
      </c>
      <c r="E11" s="211"/>
      <c r="G11" s="92"/>
      <c r="H11" s="92"/>
      <c r="I11" s="92"/>
      <c r="J11" s="92"/>
      <c r="K11" s="92"/>
      <c r="L11" s="92"/>
      <c r="M11" s="92"/>
      <c r="N11" s="92"/>
      <c r="O11" s="92"/>
      <c r="P11" s="92"/>
      <c r="Q11" s="92"/>
      <c r="R11" s="92"/>
    </row>
    <row r="12" spans="3:18" hidden="1" outlineLevel="1" x14ac:dyDescent="0.25">
      <c r="C12" s="210" t="s">
        <v>244</v>
      </c>
      <c r="E12" s="211"/>
      <c r="G12" s="92"/>
      <c r="H12" s="92"/>
      <c r="I12" s="92"/>
      <c r="J12" s="92"/>
      <c r="K12" s="92"/>
      <c r="L12" s="92"/>
      <c r="M12" s="92"/>
      <c r="N12" s="92"/>
      <c r="O12" s="92"/>
      <c r="P12" s="92"/>
      <c r="Q12" s="92"/>
      <c r="R12" s="92"/>
    </row>
    <row r="13" spans="3:18" collapsed="1" x14ac:dyDescent="0.25">
      <c r="C13" s="92"/>
      <c r="D13" s="92"/>
      <c r="E13" s="92"/>
      <c r="F13" s="92"/>
      <c r="G13" s="92"/>
      <c r="H13" s="92"/>
      <c r="I13" s="92"/>
      <c r="J13" s="92"/>
      <c r="K13" s="92"/>
      <c r="L13" s="92"/>
      <c r="M13" s="92"/>
      <c r="N13" s="92"/>
      <c r="O13" s="92"/>
      <c r="P13" s="92"/>
      <c r="Q13" s="92"/>
      <c r="R13" s="92"/>
    </row>
    <row r="14" spans="3:18" x14ac:dyDescent="0.25">
      <c r="C14" s="122" t="s">
        <v>54</v>
      </c>
      <c r="D14" s="92"/>
      <c r="E14" s="92"/>
      <c r="F14" s="92"/>
      <c r="G14" s="92"/>
      <c r="H14" s="92"/>
      <c r="I14" s="92"/>
      <c r="J14" s="92"/>
      <c r="K14" s="92"/>
      <c r="L14" s="92"/>
      <c r="M14" s="92"/>
      <c r="N14" s="92"/>
      <c r="O14" s="92"/>
      <c r="P14" s="92"/>
      <c r="Q14" s="92"/>
      <c r="R14" s="92"/>
    </row>
    <row r="15" spans="3:18" ht="12" x14ac:dyDescent="0.3">
      <c r="C15" s="123" t="s">
        <v>58</v>
      </c>
      <c r="D15" s="92"/>
      <c r="E15" s="137">
        <f>'General inputs'!$H$18+1</f>
        <v>44378</v>
      </c>
      <c r="F15" s="92"/>
      <c r="G15" s="92"/>
      <c r="H15" s="264" t="s">
        <v>273</v>
      </c>
      <c r="I15" s="91"/>
      <c r="J15" s="267"/>
      <c r="K15" s="91"/>
      <c r="L15" s="91"/>
      <c r="M15" s="91"/>
      <c r="N15" s="92"/>
      <c r="O15" s="92"/>
      <c r="P15" s="92"/>
      <c r="Q15" s="92"/>
      <c r="R15" s="92"/>
    </row>
    <row r="16" spans="3:18" ht="12" x14ac:dyDescent="0.3">
      <c r="C16" s="123"/>
      <c r="D16" s="92"/>
      <c r="E16" s="92"/>
      <c r="F16" s="92"/>
      <c r="G16" s="92"/>
      <c r="H16" s="265" t="s">
        <v>282</v>
      </c>
      <c r="I16" s="266">
        <f>SUMIF($B$22:$B$150,H16,$P$22:$P$150)/$J$22</f>
        <v>406563819.99999994</v>
      </c>
      <c r="J16" s="268"/>
      <c r="K16" s="91"/>
      <c r="L16" s="273"/>
      <c r="M16" s="355"/>
      <c r="N16" s="92"/>
      <c r="O16" s="92"/>
      <c r="P16" s="92"/>
      <c r="Q16" s="92"/>
      <c r="R16" s="92"/>
    </row>
    <row r="17" spans="1:18" ht="12" x14ac:dyDescent="0.3">
      <c r="C17" s="92"/>
      <c r="D17" s="92"/>
      <c r="E17" s="92"/>
      <c r="F17" s="92"/>
      <c r="G17" s="92"/>
      <c r="H17" s="267" t="s">
        <v>283</v>
      </c>
      <c r="I17" s="268">
        <f>SUMIF($B$22:$B$121,H17,$P$22:$P$121)/$J$22</f>
        <v>187800000</v>
      </c>
      <c r="J17" s="268"/>
      <c r="K17" s="91"/>
      <c r="L17" s="273"/>
      <c r="M17" s="91"/>
      <c r="N17" s="92"/>
      <c r="O17" s="92"/>
      <c r="P17" s="92"/>
      <c r="Q17" s="92"/>
      <c r="R17" s="92"/>
    </row>
    <row r="18" spans="1:18" ht="15.5" x14ac:dyDescent="0.35">
      <c r="C18" s="231" t="s">
        <v>210</v>
      </c>
      <c r="E18" s="92"/>
      <c r="F18" s="92"/>
      <c r="G18" s="92"/>
      <c r="H18" s="269" t="s">
        <v>284</v>
      </c>
      <c r="I18" s="270">
        <f>SUMIF($B$22:$B$121,H18,$P$22:$P$121)/$J$22</f>
        <v>191313843</v>
      </c>
      <c r="J18" s="268"/>
      <c r="K18" s="91"/>
      <c r="L18" s="273"/>
      <c r="M18" s="355"/>
      <c r="N18" s="92"/>
      <c r="O18" s="92"/>
      <c r="P18" s="92"/>
      <c r="Q18" s="92"/>
      <c r="R18" s="92"/>
    </row>
    <row r="19" spans="1:18" ht="12" x14ac:dyDescent="0.3">
      <c r="C19" s="92"/>
      <c r="D19" s="92"/>
      <c r="E19" s="92"/>
      <c r="F19" s="92"/>
      <c r="G19" s="92"/>
      <c r="H19" s="269" t="s">
        <v>478</v>
      </c>
      <c r="I19" s="270">
        <f>SUMIF($B$22:$B$121,H19,$P$22:$P$121)/$J$22</f>
        <v>565044923.74618614</v>
      </c>
      <c r="J19" s="268"/>
      <c r="K19" s="91"/>
      <c r="L19" s="273"/>
      <c r="M19" s="355"/>
      <c r="N19" s="92"/>
      <c r="O19" s="92"/>
      <c r="P19" s="92"/>
      <c r="Q19" s="92"/>
      <c r="R19" s="92"/>
    </row>
    <row r="20" spans="1:18" x14ac:dyDescent="0.25">
      <c r="C20" s="122" t="s">
        <v>16</v>
      </c>
      <c r="D20" s="92"/>
      <c r="E20" s="92"/>
      <c r="F20" s="92"/>
      <c r="G20" s="92"/>
      <c r="H20" s="122" t="s">
        <v>17</v>
      </c>
      <c r="I20" s="92"/>
      <c r="J20" s="92"/>
      <c r="K20" s="92"/>
      <c r="L20" s="122" t="s">
        <v>18</v>
      </c>
      <c r="M20" s="122"/>
      <c r="N20" s="92"/>
      <c r="O20" s="92"/>
      <c r="P20" s="92"/>
      <c r="Q20" s="92"/>
      <c r="R20" s="92"/>
    </row>
    <row r="21" spans="1:18" ht="46" x14ac:dyDescent="0.25">
      <c r="C21" s="35" t="s">
        <v>13</v>
      </c>
      <c r="D21" s="35" t="s">
        <v>12</v>
      </c>
      <c r="E21" s="35" t="s">
        <v>14</v>
      </c>
      <c r="F21" s="35" t="s">
        <v>25</v>
      </c>
      <c r="G21" s="92"/>
      <c r="H21" s="35" t="s">
        <v>30</v>
      </c>
      <c r="I21" s="35" t="s">
        <v>90</v>
      </c>
      <c r="J21" s="35" t="s">
        <v>88</v>
      </c>
      <c r="K21" s="92"/>
      <c r="L21" s="35" t="s">
        <v>89</v>
      </c>
      <c r="M21" s="35" t="s">
        <v>114</v>
      </c>
      <c r="N21" s="35" t="s">
        <v>540</v>
      </c>
      <c r="O21" s="35" t="s">
        <v>541</v>
      </c>
      <c r="P21" s="35" t="s">
        <v>542</v>
      </c>
      <c r="Q21" s="92"/>
      <c r="R21" s="92"/>
    </row>
    <row r="22" spans="1:18" ht="28.25" customHeight="1" x14ac:dyDescent="0.25">
      <c r="A22" s="353">
        <v>2026</v>
      </c>
      <c r="B22" s="353" t="s">
        <v>282</v>
      </c>
      <c r="C22" s="307" t="str">
        <f>RIGHT(D22,9)</f>
        <v>MH1273532</v>
      </c>
      <c r="D22" s="156" t="s">
        <v>502</v>
      </c>
      <c r="E22" s="43">
        <f>DATEVALUE("30 Jun "&amp;A22)</f>
        <v>46203</v>
      </c>
      <c r="F22" s="126" t="str">
        <f>IF(E22="","-",IF(E22&lt;$E$15,"ERROR - date outside of range",IF(MONTH(E22)&gt;=7,YEAR(E22)&amp;"-"&amp;RIGHT(YEAR(E22),2)+1,YEAR(E22)-1&amp;"-"&amp;RIGHT(YEAR(E22),2))))</f>
        <v>2025-26</v>
      </c>
      <c r="G22" s="1"/>
      <c r="H22" s="160"/>
      <c r="I22" s="36"/>
      <c r="J22" s="134">
        <v>1</v>
      </c>
      <c r="K22" s="112"/>
      <c r="L22" s="36">
        <v>1</v>
      </c>
      <c r="M22" s="36" t="s">
        <v>496</v>
      </c>
      <c r="N22" s="36">
        <v>1854335</v>
      </c>
      <c r="O22" s="129">
        <f>IF(N22="","-",L22*N22)</f>
        <v>1854335</v>
      </c>
      <c r="P22" s="131">
        <f>IF(O22="-","-",IF(E22&lt;$E$15,0,O22*J22))</f>
        <v>1854335</v>
      </c>
      <c r="Q22" s="321"/>
      <c r="R22" s="92"/>
    </row>
    <row r="23" spans="1:18" x14ac:dyDescent="0.25">
      <c r="A23" s="353">
        <v>2023</v>
      </c>
      <c r="B23" s="353" t="s">
        <v>282</v>
      </c>
      <c r="C23" s="308" t="str">
        <f t="shared" ref="C23:C48" si="0">RIGHT(D23,9)</f>
        <v>MH1282203</v>
      </c>
      <c r="D23" s="157" t="s">
        <v>503</v>
      </c>
      <c r="E23" s="44">
        <f t="shared" ref="E23:E28" si="1">DATEVALUE("30 Jun "&amp;A23)</f>
        <v>45107</v>
      </c>
      <c r="F23" s="127" t="str">
        <f t="shared" ref="F23:F46" si="2">IF(E23="","-",IF(E23&lt;$E$15,"ERROR - date outside of range",IF(MONTH(E23)&gt;=7,YEAR(E23)&amp;"-"&amp;RIGHT(YEAR(E23),2)+1,YEAR(E23)-1&amp;"-"&amp;RIGHT(YEAR(E23),2))))</f>
        <v>2022-23</v>
      </c>
      <c r="G23" s="1"/>
      <c r="H23" s="161"/>
      <c r="I23" s="37"/>
      <c r="J23" s="135">
        <f>J22</f>
        <v>1</v>
      </c>
      <c r="K23" s="112"/>
      <c r="L23" s="37">
        <v>1</v>
      </c>
      <c r="M23" s="37" t="s">
        <v>496</v>
      </c>
      <c r="N23" s="37">
        <v>986399</v>
      </c>
      <c r="O23" s="130">
        <f t="shared" ref="O23:O46" si="3">IF(N23="","-",L23*N23)</f>
        <v>986399</v>
      </c>
      <c r="P23" s="132">
        <f t="shared" ref="P23:P28" si="4">IF(O23="-","-",IF(E23&lt;$E$15,0,O23*J23))</f>
        <v>986399</v>
      </c>
      <c r="Q23" s="321"/>
      <c r="R23" s="136"/>
    </row>
    <row r="24" spans="1:18" x14ac:dyDescent="0.25">
      <c r="A24" s="353">
        <v>2023</v>
      </c>
      <c r="B24" s="353" t="s">
        <v>282</v>
      </c>
      <c r="C24" s="308" t="str">
        <f t="shared" si="0"/>
        <v>MH1229454</v>
      </c>
      <c r="D24" s="157" t="s">
        <v>504</v>
      </c>
      <c r="E24" s="44">
        <f t="shared" si="1"/>
        <v>45107</v>
      </c>
      <c r="F24" s="127" t="str">
        <f t="shared" si="2"/>
        <v>2022-23</v>
      </c>
      <c r="G24" s="1"/>
      <c r="H24" s="158"/>
      <c r="I24" s="37"/>
      <c r="J24" s="135">
        <f t="shared" ref="J24:J41" si="5">J23</f>
        <v>1</v>
      </c>
      <c r="K24" s="112"/>
      <c r="L24" s="37">
        <v>1</v>
      </c>
      <c r="M24" s="37" t="s">
        <v>496</v>
      </c>
      <c r="N24" s="37">
        <v>1220479</v>
      </c>
      <c r="O24" s="130">
        <f t="shared" si="3"/>
        <v>1220479</v>
      </c>
      <c r="P24" s="132">
        <f t="shared" si="4"/>
        <v>1220479</v>
      </c>
      <c r="Q24" s="321"/>
      <c r="R24" s="92"/>
    </row>
    <row r="25" spans="1:18" x14ac:dyDescent="0.25">
      <c r="A25" s="353">
        <v>2026</v>
      </c>
      <c r="B25" s="353" t="s">
        <v>282</v>
      </c>
      <c r="C25" s="308" t="str">
        <f t="shared" si="0"/>
        <v>MH1578231</v>
      </c>
      <c r="D25" s="157" t="s">
        <v>505</v>
      </c>
      <c r="E25" s="44">
        <f t="shared" si="1"/>
        <v>46203</v>
      </c>
      <c r="F25" s="127" t="str">
        <f t="shared" si="2"/>
        <v>2025-26</v>
      </c>
      <c r="G25" s="1"/>
      <c r="H25" s="158"/>
      <c r="I25" s="37"/>
      <c r="J25" s="135">
        <f t="shared" si="5"/>
        <v>1</v>
      </c>
      <c r="K25" s="112"/>
      <c r="L25" s="37">
        <v>1</v>
      </c>
      <c r="M25" s="37" t="s">
        <v>496</v>
      </c>
      <c r="N25" s="37">
        <v>955559</v>
      </c>
      <c r="O25" s="130">
        <f t="shared" si="3"/>
        <v>955559</v>
      </c>
      <c r="P25" s="132">
        <f t="shared" si="4"/>
        <v>955559</v>
      </c>
      <c r="Q25" s="321"/>
      <c r="R25" s="92"/>
    </row>
    <row r="26" spans="1:18" x14ac:dyDescent="0.25">
      <c r="A26" s="353">
        <v>2023</v>
      </c>
      <c r="B26" s="353" t="s">
        <v>282</v>
      </c>
      <c r="C26" s="308" t="str">
        <f t="shared" si="0"/>
        <v>MH1281375</v>
      </c>
      <c r="D26" s="157" t="s">
        <v>506</v>
      </c>
      <c r="E26" s="44">
        <f t="shared" si="1"/>
        <v>45107</v>
      </c>
      <c r="F26" s="127" t="str">
        <f t="shared" si="2"/>
        <v>2022-23</v>
      </c>
      <c r="G26" s="1"/>
      <c r="H26" s="158"/>
      <c r="I26" s="37"/>
      <c r="J26" s="135">
        <f t="shared" si="5"/>
        <v>1</v>
      </c>
      <c r="K26" s="112"/>
      <c r="L26" s="37">
        <v>1</v>
      </c>
      <c r="M26" s="37" t="s">
        <v>496</v>
      </c>
      <c r="N26" s="37">
        <v>1415141</v>
      </c>
      <c r="O26" s="130">
        <f>IF(N26="","-",L26*N26)</f>
        <v>1415141</v>
      </c>
      <c r="P26" s="132">
        <f t="shared" si="4"/>
        <v>1415141</v>
      </c>
      <c r="Q26" s="321"/>
      <c r="R26" s="92"/>
    </row>
    <row r="27" spans="1:18" x14ac:dyDescent="0.25">
      <c r="A27" s="353">
        <v>2023</v>
      </c>
      <c r="B27" s="353" t="s">
        <v>282</v>
      </c>
      <c r="C27" s="308" t="str">
        <f t="shared" si="0"/>
        <v>MH1065286</v>
      </c>
      <c r="D27" s="157" t="s">
        <v>507</v>
      </c>
      <c r="E27" s="44">
        <f t="shared" si="1"/>
        <v>45107</v>
      </c>
      <c r="F27" s="127" t="str">
        <f t="shared" si="2"/>
        <v>2022-23</v>
      </c>
      <c r="G27" s="1"/>
      <c r="H27" s="158"/>
      <c r="I27" s="37"/>
      <c r="J27" s="135">
        <f t="shared" si="5"/>
        <v>1</v>
      </c>
      <c r="K27" s="112"/>
      <c r="L27" s="37">
        <v>1</v>
      </c>
      <c r="M27" s="37" t="s">
        <v>496</v>
      </c>
      <c r="N27" s="37">
        <v>3518116</v>
      </c>
      <c r="O27" s="130">
        <f t="shared" si="3"/>
        <v>3518116</v>
      </c>
      <c r="P27" s="132">
        <f t="shared" si="4"/>
        <v>3518116</v>
      </c>
      <c r="Q27" s="321"/>
      <c r="R27" s="92"/>
    </row>
    <row r="28" spans="1:18" x14ac:dyDescent="0.25">
      <c r="A28" s="353">
        <v>2023</v>
      </c>
      <c r="B28" s="353" t="s">
        <v>282</v>
      </c>
      <c r="C28" s="308" t="str">
        <f t="shared" si="0"/>
        <v>MH1065810</v>
      </c>
      <c r="D28" s="157" t="s">
        <v>508</v>
      </c>
      <c r="E28" s="44">
        <f t="shared" si="1"/>
        <v>45107</v>
      </c>
      <c r="F28" s="127" t="str">
        <f t="shared" si="2"/>
        <v>2022-23</v>
      </c>
      <c r="G28" s="1"/>
      <c r="H28" s="158"/>
      <c r="I28" s="37"/>
      <c r="J28" s="135">
        <f t="shared" si="5"/>
        <v>1</v>
      </c>
      <c r="K28" s="112"/>
      <c r="L28" s="37">
        <v>1</v>
      </c>
      <c r="M28" s="37" t="s">
        <v>496</v>
      </c>
      <c r="N28" s="37">
        <v>2435644</v>
      </c>
      <c r="O28" s="130">
        <f t="shared" si="3"/>
        <v>2435644</v>
      </c>
      <c r="P28" s="132">
        <f t="shared" si="4"/>
        <v>2435644</v>
      </c>
      <c r="Q28" s="321"/>
      <c r="R28" s="92"/>
    </row>
    <row r="29" spans="1:18" x14ac:dyDescent="0.25">
      <c r="A29" s="353">
        <v>2023</v>
      </c>
      <c r="B29" s="353" t="s">
        <v>282</v>
      </c>
      <c r="C29" s="308" t="str">
        <f t="shared" si="0"/>
        <v>MH1062938</v>
      </c>
      <c r="D29" s="157" t="s">
        <v>509</v>
      </c>
      <c r="E29" s="44">
        <f t="shared" ref="E29" si="6">DATEVALUE("30 Jun "&amp;A29)</f>
        <v>45107</v>
      </c>
      <c r="F29" s="127" t="str">
        <f t="shared" si="2"/>
        <v>2022-23</v>
      </c>
      <c r="G29" s="1"/>
      <c r="H29" s="158"/>
      <c r="I29" s="37"/>
      <c r="J29" s="135">
        <f t="shared" si="5"/>
        <v>1</v>
      </c>
      <c r="K29" s="112"/>
      <c r="L29" s="37">
        <v>1</v>
      </c>
      <c r="M29" s="37" t="s">
        <v>496</v>
      </c>
      <c r="N29" s="37">
        <v>1072700</v>
      </c>
      <c r="O29" s="130">
        <f t="shared" si="3"/>
        <v>1072700</v>
      </c>
      <c r="P29" s="132">
        <f t="shared" ref="P29:P30" si="7">IF(O29="-","-",IF(E29&lt;$E$15,0,O29*J29))</f>
        <v>1072700</v>
      </c>
      <c r="Q29" s="321"/>
      <c r="R29" s="92"/>
    </row>
    <row r="30" spans="1:18" x14ac:dyDescent="0.25">
      <c r="A30" s="353">
        <v>2026</v>
      </c>
      <c r="B30" s="353" t="s">
        <v>282</v>
      </c>
      <c r="C30" s="308" t="str">
        <f t="shared" si="0"/>
        <v>MH1066066</v>
      </c>
      <c r="D30" s="157" t="s">
        <v>510</v>
      </c>
      <c r="E30" s="44">
        <f t="shared" ref="E30" si="8">DATEVALUE("30 Jun "&amp;A30)</f>
        <v>46203</v>
      </c>
      <c r="F30" s="127" t="str">
        <f t="shared" si="2"/>
        <v>2025-26</v>
      </c>
      <c r="G30" s="1"/>
      <c r="H30" s="158"/>
      <c r="I30" s="37"/>
      <c r="J30" s="135">
        <f t="shared" si="5"/>
        <v>1</v>
      </c>
      <c r="K30" s="112"/>
      <c r="L30" s="37">
        <v>1</v>
      </c>
      <c r="M30" s="37" t="s">
        <v>496</v>
      </c>
      <c r="N30" s="37">
        <v>969952</v>
      </c>
      <c r="O30" s="130">
        <f t="shared" si="3"/>
        <v>969952</v>
      </c>
      <c r="P30" s="132">
        <f t="shared" si="7"/>
        <v>969952</v>
      </c>
      <c r="Q30" s="321"/>
      <c r="R30" s="92"/>
    </row>
    <row r="31" spans="1:18" x14ac:dyDescent="0.25">
      <c r="A31" s="353">
        <v>2026</v>
      </c>
      <c r="B31" s="353" t="s">
        <v>282</v>
      </c>
      <c r="C31" s="308" t="str">
        <f t="shared" si="0"/>
        <v>MH1063330</v>
      </c>
      <c r="D31" s="157" t="s">
        <v>511</v>
      </c>
      <c r="E31" s="44">
        <f t="shared" ref="E31:E38" si="9">DATEVALUE("30 Jun "&amp;A31)</f>
        <v>46203</v>
      </c>
      <c r="F31" s="127" t="str">
        <f t="shared" si="2"/>
        <v>2025-26</v>
      </c>
      <c r="G31" s="1"/>
      <c r="H31" s="158"/>
      <c r="I31" s="37"/>
      <c r="J31" s="135">
        <f t="shared" si="5"/>
        <v>1</v>
      </c>
      <c r="K31" s="112"/>
      <c r="L31" s="37">
        <v>1</v>
      </c>
      <c r="M31" s="37" t="s">
        <v>496</v>
      </c>
      <c r="N31" s="37">
        <v>955559</v>
      </c>
      <c r="O31" s="130">
        <f t="shared" si="3"/>
        <v>955559</v>
      </c>
      <c r="P31" s="132">
        <f t="shared" ref="P31:P39" si="10">IF(O31="-","-",IF(E31&lt;$E$15,0,O31*J31))</f>
        <v>955559</v>
      </c>
      <c r="Q31" s="321"/>
      <c r="R31" s="92"/>
    </row>
    <row r="32" spans="1:18" x14ac:dyDescent="0.25">
      <c r="A32" s="353">
        <v>2023</v>
      </c>
      <c r="B32" s="353" t="s">
        <v>282</v>
      </c>
      <c r="C32" s="308" t="str">
        <f t="shared" si="0"/>
        <v>MH1269077</v>
      </c>
      <c r="D32" s="157" t="s">
        <v>512</v>
      </c>
      <c r="E32" s="44">
        <f t="shared" si="9"/>
        <v>45107</v>
      </c>
      <c r="F32" s="127" t="str">
        <f t="shared" si="2"/>
        <v>2022-23</v>
      </c>
      <c r="G32" s="1"/>
      <c r="H32" s="158"/>
      <c r="I32" s="37"/>
      <c r="J32" s="135">
        <f t="shared" si="5"/>
        <v>1</v>
      </c>
      <c r="K32" s="112"/>
      <c r="L32" s="37">
        <v>1</v>
      </c>
      <c r="M32" s="37" t="s">
        <v>496</v>
      </c>
      <c r="N32" s="37">
        <v>976120</v>
      </c>
      <c r="O32" s="130">
        <f t="shared" si="3"/>
        <v>976120</v>
      </c>
      <c r="P32" s="132">
        <f t="shared" si="10"/>
        <v>976120</v>
      </c>
      <c r="Q32" s="321"/>
      <c r="R32" s="92"/>
    </row>
    <row r="33" spans="1:18" x14ac:dyDescent="0.25">
      <c r="A33" s="353">
        <v>2023</v>
      </c>
      <c r="B33" s="353" t="s">
        <v>282</v>
      </c>
      <c r="C33" s="308" t="str">
        <f t="shared" si="0"/>
        <v>MH1276298</v>
      </c>
      <c r="D33" s="157" t="s">
        <v>513</v>
      </c>
      <c r="E33" s="44">
        <f t="shared" si="9"/>
        <v>45107</v>
      </c>
      <c r="F33" s="127" t="str">
        <f t="shared" si="2"/>
        <v>2022-23</v>
      </c>
      <c r="G33" s="1"/>
      <c r="H33" s="158"/>
      <c r="I33" s="37"/>
      <c r="J33" s="135">
        <f t="shared" si="5"/>
        <v>1</v>
      </c>
      <c r="K33" s="112"/>
      <c r="L33" s="37">
        <v>1</v>
      </c>
      <c r="M33" s="37" t="s">
        <v>496</v>
      </c>
      <c r="N33" s="37">
        <v>4966833</v>
      </c>
      <c r="O33" s="130">
        <f t="shared" si="3"/>
        <v>4966833</v>
      </c>
      <c r="P33" s="132">
        <f t="shared" si="10"/>
        <v>4966833</v>
      </c>
      <c r="Q33" s="321"/>
      <c r="R33" s="92"/>
    </row>
    <row r="34" spans="1:18" x14ac:dyDescent="0.25">
      <c r="A34" s="353">
        <v>2023</v>
      </c>
      <c r="B34" s="353" t="s">
        <v>282</v>
      </c>
      <c r="C34" s="308" t="str">
        <f t="shared" si="0"/>
        <v>MH1275842</v>
      </c>
      <c r="D34" s="157" t="s">
        <v>514</v>
      </c>
      <c r="E34" s="44">
        <f t="shared" si="9"/>
        <v>45107</v>
      </c>
      <c r="F34" s="127" t="str">
        <f t="shared" si="2"/>
        <v>2022-23</v>
      </c>
      <c r="G34" s="1"/>
      <c r="H34" s="158"/>
      <c r="I34" s="37"/>
      <c r="J34" s="135">
        <f t="shared" si="5"/>
        <v>1</v>
      </c>
      <c r="K34" s="112"/>
      <c r="L34" s="37">
        <v>1</v>
      </c>
      <c r="M34" s="37" t="s">
        <v>496</v>
      </c>
      <c r="N34" s="37">
        <v>8986992</v>
      </c>
      <c r="O34" s="130">
        <f t="shared" si="3"/>
        <v>8986992</v>
      </c>
      <c r="P34" s="132">
        <f t="shared" si="10"/>
        <v>8986992</v>
      </c>
      <c r="Q34" s="321"/>
      <c r="R34" s="92"/>
    </row>
    <row r="35" spans="1:18" x14ac:dyDescent="0.25">
      <c r="A35" s="353">
        <v>2023</v>
      </c>
      <c r="B35" s="353" t="s">
        <v>282</v>
      </c>
      <c r="C35" s="308" t="str">
        <f t="shared" si="0"/>
        <v>MH1273110</v>
      </c>
      <c r="D35" s="157" t="s">
        <v>515</v>
      </c>
      <c r="E35" s="44">
        <f t="shared" si="9"/>
        <v>45107</v>
      </c>
      <c r="F35" s="127" t="str">
        <f t="shared" si="2"/>
        <v>2022-23</v>
      </c>
      <c r="G35" s="1"/>
      <c r="H35" s="158"/>
      <c r="I35" s="37"/>
      <c r="J35" s="135">
        <f t="shared" si="5"/>
        <v>1</v>
      </c>
      <c r="K35" s="112"/>
      <c r="L35" s="37">
        <v>1</v>
      </c>
      <c r="M35" s="37" t="s">
        <v>496</v>
      </c>
      <c r="N35" s="37">
        <v>967896</v>
      </c>
      <c r="O35" s="130">
        <f t="shared" si="3"/>
        <v>967896</v>
      </c>
      <c r="P35" s="132">
        <f t="shared" si="10"/>
        <v>967896</v>
      </c>
      <c r="Q35" s="321"/>
      <c r="R35" s="92"/>
    </row>
    <row r="36" spans="1:18" x14ac:dyDescent="0.25">
      <c r="A36" s="353">
        <v>2023</v>
      </c>
      <c r="B36" s="353" t="s">
        <v>282</v>
      </c>
      <c r="C36" s="308" t="str">
        <f t="shared" si="0"/>
        <v>MH1269545</v>
      </c>
      <c r="D36" s="157" t="s">
        <v>516</v>
      </c>
      <c r="E36" s="44">
        <f t="shared" si="9"/>
        <v>45107</v>
      </c>
      <c r="F36" s="127" t="str">
        <f t="shared" si="2"/>
        <v>2022-23</v>
      </c>
      <c r="G36" s="1"/>
      <c r="H36" s="158"/>
      <c r="I36" s="37"/>
      <c r="J36" s="135">
        <f t="shared" si="5"/>
        <v>1</v>
      </c>
      <c r="K36" s="112"/>
      <c r="L36" s="37">
        <v>1</v>
      </c>
      <c r="M36" s="37" t="s">
        <v>496</v>
      </c>
      <c r="N36" s="37">
        <v>3558205</v>
      </c>
      <c r="O36" s="130">
        <f t="shared" si="3"/>
        <v>3558205</v>
      </c>
      <c r="P36" s="132">
        <f t="shared" si="10"/>
        <v>3558205</v>
      </c>
      <c r="Q36" s="321"/>
      <c r="R36" s="92"/>
    </row>
    <row r="37" spans="1:18" x14ac:dyDescent="0.25">
      <c r="A37" s="353">
        <v>2023</v>
      </c>
      <c r="B37" s="353" t="s">
        <v>282</v>
      </c>
      <c r="C37" s="308" t="str">
        <f t="shared" si="0"/>
        <v>MH1268589</v>
      </c>
      <c r="D37" s="157" t="s">
        <v>517</v>
      </c>
      <c r="E37" s="44">
        <f t="shared" si="9"/>
        <v>45107</v>
      </c>
      <c r="F37" s="127" t="str">
        <f t="shared" si="2"/>
        <v>2022-23</v>
      </c>
      <c r="G37" s="1"/>
      <c r="H37" s="158"/>
      <c r="I37" s="37"/>
      <c r="J37" s="135">
        <f t="shared" si="5"/>
        <v>1</v>
      </c>
      <c r="K37" s="112"/>
      <c r="L37" s="37">
        <v>1</v>
      </c>
      <c r="M37" s="37" t="s">
        <v>496</v>
      </c>
      <c r="N37" s="37">
        <v>947334</v>
      </c>
      <c r="O37" s="130">
        <f t="shared" si="3"/>
        <v>947334</v>
      </c>
      <c r="P37" s="132">
        <f t="shared" si="10"/>
        <v>947334</v>
      </c>
      <c r="Q37" s="321"/>
      <c r="R37" s="92"/>
    </row>
    <row r="38" spans="1:18" x14ac:dyDescent="0.25">
      <c r="A38" s="353">
        <v>2023</v>
      </c>
      <c r="B38" s="353" t="s">
        <v>282</v>
      </c>
      <c r="C38" s="308" t="str">
        <f t="shared" si="0"/>
        <v>MH1267653</v>
      </c>
      <c r="D38" s="157" t="s">
        <v>518</v>
      </c>
      <c r="E38" s="44">
        <f t="shared" si="9"/>
        <v>45107</v>
      </c>
      <c r="F38" s="127" t="str">
        <f t="shared" si="2"/>
        <v>2022-23</v>
      </c>
      <c r="G38" s="1"/>
      <c r="H38" s="158"/>
      <c r="I38" s="37"/>
      <c r="J38" s="135">
        <f>J37</f>
        <v>1</v>
      </c>
      <c r="K38" s="112"/>
      <c r="L38" s="37">
        <v>1</v>
      </c>
      <c r="M38" s="37" t="s">
        <v>496</v>
      </c>
      <c r="N38" s="37">
        <v>5557547</v>
      </c>
      <c r="O38" s="130">
        <f t="shared" si="3"/>
        <v>5557547</v>
      </c>
      <c r="P38" s="132">
        <f t="shared" si="10"/>
        <v>5557547</v>
      </c>
      <c r="Q38" s="321"/>
      <c r="R38" s="92"/>
    </row>
    <row r="39" spans="1:18" x14ac:dyDescent="0.25">
      <c r="A39" s="353">
        <v>2023</v>
      </c>
      <c r="B39" s="353" t="s">
        <v>282</v>
      </c>
      <c r="C39" s="308" t="str">
        <f t="shared" si="0"/>
        <v>MH1268113</v>
      </c>
      <c r="D39" s="157" t="s">
        <v>519</v>
      </c>
      <c r="E39" s="44">
        <f t="shared" ref="E39:E40" si="11">DATEVALUE("30 Jun "&amp;A39)</f>
        <v>45107</v>
      </c>
      <c r="F39" s="127" t="str">
        <f t="shared" ref="F39:F40" si="12">IF(E39="","-",IF(E39&lt;$E$15,"ERROR - date outside of range",IF(MONTH(E39)&gt;=7,YEAR(E39)&amp;"-"&amp;RIGHT(YEAR(E39),2)+1,YEAR(E39)-1&amp;"-"&amp;RIGHT(YEAR(E39),2))))</f>
        <v>2022-23</v>
      </c>
      <c r="G39" s="1"/>
      <c r="H39" s="158"/>
      <c r="I39" s="37"/>
      <c r="J39" s="135">
        <f t="shared" si="5"/>
        <v>1</v>
      </c>
      <c r="K39" s="112"/>
      <c r="L39" s="37">
        <v>1</v>
      </c>
      <c r="M39" s="37" t="s">
        <v>496</v>
      </c>
      <c r="N39" s="37">
        <v>3241061</v>
      </c>
      <c r="O39" s="130">
        <f t="shared" si="3"/>
        <v>3241061</v>
      </c>
      <c r="P39" s="132">
        <f t="shared" si="10"/>
        <v>3241061</v>
      </c>
      <c r="Q39" s="321"/>
      <c r="R39" s="92"/>
    </row>
    <row r="40" spans="1:18" x14ac:dyDescent="0.25">
      <c r="A40" s="353">
        <v>2023</v>
      </c>
      <c r="B40" s="353" t="s">
        <v>282</v>
      </c>
      <c r="C40" s="308" t="str">
        <f t="shared" si="0"/>
        <v>MH1275175</v>
      </c>
      <c r="D40" s="157" t="s">
        <v>520</v>
      </c>
      <c r="E40" s="44">
        <f t="shared" si="11"/>
        <v>45107</v>
      </c>
      <c r="F40" s="127" t="str">
        <f t="shared" si="12"/>
        <v>2022-23</v>
      </c>
      <c r="G40" s="1"/>
      <c r="H40" s="158"/>
      <c r="I40" s="37"/>
      <c r="J40" s="135">
        <f t="shared" si="5"/>
        <v>1</v>
      </c>
      <c r="K40" s="112"/>
      <c r="L40" s="37">
        <v>1</v>
      </c>
      <c r="M40" s="37" t="s">
        <v>496</v>
      </c>
      <c r="N40" s="37">
        <v>8769329</v>
      </c>
      <c r="O40" s="130">
        <f t="shared" si="3"/>
        <v>8769329</v>
      </c>
      <c r="P40" s="132">
        <f t="shared" ref="P40:P46" si="13">IF(O40="-","-",IF(E40&lt;$E$15,0,O40*J40))</f>
        <v>8769329</v>
      </c>
      <c r="Q40" s="321"/>
      <c r="R40" s="92"/>
    </row>
    <row r="41" spans="1:18" x14ac:dyDescent="0.25">
      <c r="A41" s="353">
        <v>2023</v>
      </c>
      <c r="B41" s="353" t="s">
        <v>282</v>
      </c>
      <c r="C41" s="308" t="str">
        <f t="shared" si="0"/>
        <v>MH1275943</v>
      </c>
      <c r="D41" s="157" t="s">
        <v>521</v>
      </c>
      <c r="E41" s="44">
        <f t="shared" ref="E41:E46" si="14">DATEVALUE("30 Jun "&amp;A41)</f>
        <v>45107</v>
      </c>
      <c r="F41" s="127" t="str">
        <f t="shared" si="2"/>
        <v>2022-23</v>
      </c>
      <c r="G41" s="1"/>
      <c r="H41" s="158"/>
      <c r="I41" s="37"/>
      <c r="J41" s="135">
        <f t="shared" si="5"/>
        <v>1</v>
      </c>
      <c r="K41" s="112"/>
      <c r="L41" s="37">
        <v>1</v>
      </c>
      <c r="M41" s="37" t="s">
        <v>496</v>
      </c>
      <c r="N41" s="37">
        <v>4037995</v>
      </c>
      <c r="O41" s="130">
        <f t="shared" si="3"/>
        <v>4037995</v>
      </c>
      <c r="P41" s="132">
        <f t="shared" si="13"/>
        <v>4037995</v>
      </c>
      <c r="Q41" s="321"/>
      <c r="R41" s="92"/>
    </row>
    <row r="42" spans="1:18" x14ac:dyDescent="0.25">
      <c r="A42" s="353">
        <v>2023</v>
      </c>
      <c r="B42" s="353" t="s">
        <v>282</v>
      </c>
      <c r="C42" s="308" t="str">
        <f t="shared" si="0"/>
        <v>MH1275062</v>
      </c>
      <c r="D42" s="157" t="s">
        <v>522</v>
      </c>
      <c r="E42" s="44">
        <f t="shared" si="14"/>
        <v>45107</v>
      </c>
      <c r="F42" s="127" t="str">
        <f t="shared" si="2"/>
        <v>2022-23</v>
      </c>
      <c r="G42" s="1"/>
      <c r="H42" s="158"/>
      <c r="I42" s="37"/>
      <c r="J42" s="135">
        <f t="shared" ref="J42:J46" si="15">J41</f>
        <v>1</v>
      </c>
      <c r="K42" s="112"/>
      <c r="L42" s="37">
        <v>1</v>
      </c>
      <c r="M42" s="37" t="s">
        <v>496</v>
      </c>
      <c r="N42" s="37">
        <v>1974528</v>
      </c>
      <c r="O42" s="130">
        <f t="shared" si="3"/>
        <v>1974528</v>
      </c>
      <c r="P42" s="132">
        <f t="shared" si="13"/>
        <v>1974528</v>
      </c>
      <c r="Q42" s="321"/>
      <c r="R42" s="92"/>
    </row>
    <row r="43" spans="1:18" x14ac:dyDescent="0.25">
      <c r="A43" s="353">
        <v>2023</v>
      </c>
      <c r="B43" s="353" t="s">
        <v>282</v>
      </c>
      <c r="C43" s="308" t="str">
        <f t="shared" si="0"/>
        <v>MH1275443</v>
      </c>
      <c r="D43" s="157" t="s">
        <v>523</v>
      </c>
      <c r="E43" s="44">
        <f t="shared" si="14"/>
        <v>45107</v>
      </c>
      <c r="F43" s="127" t="str">
        <f t="shared" si="2"/>
        <v>2022-23</v>
      </c>
      <c r="G43" s="1"/>
      <c r="H43" s="158"/>
      <c r="I43" s="37"/>
      <c r="J43" s="135">
        <f t="shared" si="15"/>
        <v>1</v>
      </c>
      <c r="K43" s="112"/>
      <c r="L43" s="37">
        <v>1</v>
      </c>
      <c r="M43" s="37" t="s">
        <v>496</v>
      </c>
      <c r="N43" s="37">
        <v>10285375</v>
      </c>
      <c r="O43" s="130">
        <f t="shared" si="3"/>
        <v>10285375</v>
      </c>
      <c r="P43" s="132">
        <f t="shared" si="13"/>
        <v>10285375</v>
      </c>
      <c r="Q43" s="321"/>
      <c r="R43" s="92"/>
    </row>
    <row r="44" spans="1:18" x14ac:dyDescent="0.25">
      <c r="A44" s="353">
        <v>2023</v>
      </c>
      <c r="B44" s="353" t="s">
        <v>282</v>
      </c>
      <c r="C44" s="308" t="str">
        <f t="shared" si="0"/>
        <v>MH1277394</v>
      </c>
      <c r="D44" s="157" t="s">
        <v>524</v>
      </c>
      <c r="E44" s="44">
        <f t="shared" si="14"/>
        <v>45107</v>
      </c>
      <c r="F44" s="127" t="str">
        <f t="shared" si="2"/>
        <v>2022-23</v>
      </c>
      <c r="G44" s="1"/>
      <c r="H44" s="158"/>
      <c r="I44" s="37"/>
      <c r="J44" s="135">
        <f t="shared" si="15"/>
        <v>1</v>
      </c>
      <c r="K44" s="112"/>
      <c r="L44" s="37">
        <v>1</v>
      </c>
      <c r="M44" s="37" t="s">
        <v>496</v>
      </c>
      <c r="N44" s="37">
        <v>1548120</v>
      </c>
      <c r="O44" s="130">
        <f t="shared" si="3"/>
        <v>1548120</v>
      </c>
      <c r="P44" s="132">
        <f t="shared" si="13"/>
        <v>1548120</v>
      </c>
      <c r="Q44" s="321"/>
      <c r="R44" s="92"/>
    </row>
    <row r="45" spans="1:18" x14ac:dyDescent="0.25">
      <c r="A45" s="353">
        <v>2023</v>
      </c>
      <c r="B45" s="353" t="s">
        <v>282</v>
      </c>
      <c r="C45" s="308" t="str">
        <f t="shared" si="0"/>
        <v>MH1275030</v>
      </c>
      <c r="D45" s="157" t="s">
        <v>525</v>
      </c>
      <c r="E45" s="44">
        <f t="shared" si="14"/>
        <v>45107</v>
      </c>
      <c r="F45" s="127" t="str">
        <f t="shared" si="2"/>
        <v>2022-23</v>
      </c>
      <c r="G45" s="1"/>
      <c r="H45" s="158"/>
      <c r="I45" s="37"/>
      <c r="J45" s="135">
        <f>J44</f>
        <v>1</v>
      </c>
      <c r="K45" s="112"/>
      <c r="L45" s="37">
        <v>1</v>
      </c>
      <c r="M45" s="37" t="s">
        <v>496</v>
      </c>
      <c r="N45" s="37">
        <v>4263083</v>
      </c>
      <c r="O45" s="130">
        <f t="shared" si="3"/>
        <v>4263083</v>
      </c>
      <c r="P45" s="132">
        <f t="shared" si="13"/>
        <v>4263083</v>
      </c>
      <c r="Q45" s="321"/>
      <c r="R45" s="92"/>
    </row>
    <row r="46" spans="1:18" x14ac:dyDescent="0.25">
      <c r="A46" s="353">
        <v>2023</v>
      </c>
      <c r="B46" s="353" t="s">
        <v>282</v>
      </c>
      <c r="C46" s="308" t="str">
        <f t="shared" si="0"/>
        <v>MH1276691</v>
      </c>
      <c r="D46" s="157" t="s">
        <v>526</v>
      </c>
      <c r="E46" s="44">
        <f t="shared" si="14"/>
        <v>45107</v>
      </c>
      <c r="F46" s="127" t="str">
        <f t="shared" si="2"/>
        <v>2022-23</v>
      </c>
      <c r="G46" s="1"/>
      <c r="H46" s="158"/>
      <c r="I46" s="37"/>
      <c r="J46" s="135">
        <f t="shared" si="15"/>
        <v>1</v>
      </c>
      <c r="K46" s="112"/>
      <c r="L46" s="37">
        <v>1</v>
      </c>
      <c r="M46" s="37" t="s">
        <v>496</v>
      </c>
      <c r="N46" s="37">
        <v>1521538</v>
      </c>
      <c r="O46" s="130">
        <f t="shared" si="3"/>
        <v>1521538</v>
      </c>
      <c r="P46" s="132">
        <f t="shared" si="13"/>
        <v>1521538</v>
      </c>
      <c r="Q46" s="321"/>
      <c r="R46" s="92"/>
    </row>
    <row r="47" spans="1:18" x14ac:dyDescent="0.25">
      <c r="A47" s="353">
        <v>2023</v>
      </c>
      <c r="B47" s="353" t="s">
        <v>282</v>
      </c>
      <c r="C47" s="308" t="str">
        <f t="shared" si="0"/>
        <v>MH1273035</v>
      </c>
      <c r="D47" s="157" t="s">
        <v>527</v>
      </c>
      <c r="E47" s="44">
        <f t="shared" ref="E47:E48" si="16">DATEVALUE("30 Jun "&amp;A47)</f>
        <v>45107</v>
      </c>
      <c r="F47" s="127" t="str">
        <f t="shared" ref="F47:F48" si="17">IF(E47="","-",IF(E47&lt;$E$15,"ERROR - date outside of range",IF(MONTH(E47)&gt;=7,YEAR(E47)&amp;"-"&amp;RIGHT(YEAR(E47),2)+1,YEAR(E47)-1&amp;"-"&amp;RIGHT(YEAR(E47),2))))</f>
        <v>2022-23</v>
      </c>
      <c r="G47" s="1"/>
      <c r="H47" s="158"/>
      <c r="I47" s="37"/>
      <c r="J47" s="135">
        <f>J46</f>
        <v>1</v>
      </c>
      <c r="K47" s="112"/>
      <c r="L47" s="37">
        <v>1</v>
      </c>
      <c r="M47" s="37" t="s">
        <v>496</v>
      </c>
      <c r="N47" s="37">
        <v>1854335</v>
      </c>
      <c r="O47" s="130">
        <f t="shared" ref="O47:O48" si="18">IF(N47="","-",L47*N47)</f>
        <v>1854335</v>
      </c>
      <c r="P47" s="132">
        <f t="shared" ref="P47:P48" si="19">IF(O47="-","-",IF(E47&lt;$E$15,0,O47*J47))</f>
        <v>1854335</v>
      </c>
      <c r="Q47" s="321"/>
      <c r="R47" s="92"/>
    </row>
    <row r="48" spans="1:18" x14ac:dyDescent="0.25">
      <c r="A48" s="353">
        <v>2026</v>
      </c>
      <c r="B48" s="353" t="s">
        <v>282</v>
      </c>
      <c r="C48" s="308" t="str">
        <f t="shared" si="0"/>
        <v xml:space="preserve">H1275767 </v>
      </c>
      <c r="D48" s="157" t="s">
        <v>528</v>
      </c>
      <c r="E48" s="44">
        <f t="shared" si="16"/>
        <v>46203</v>
      </c>
      <c r="F48" s="127" t="str">
        <f t="shared" si="17"/>
        <v>2025-26</v>
      </c>
      <c r="G48" s="1"/>
      <c r="H48" s="158"/>
      <c r="I48" s="37"/>
      <c r="J48" s="135">
        <f>J47</f>
        <v>1</v>
      </c>
      <c r="K48" s="112"/>
      <c r="L48" s="37">
        <v>1</v>
      </c>
      <c r="M48" s="37" t="s">
        <v>496</v>
      </c>
      <c r="N48" s="37">
        <v>4780988</v>
      </c>
      <c r="O48" s="130">
        <f t="shared" si="18"/>
        <v>4780988</v>
      </c>
      <c r="P48" s="132">
        <f t="shared" si="19"/>
        <v>4780988</v>
      </c>
      <c r="Q48" s="321"/>
      <c r="R48" s="92"/>
    </row>
    <row r="49" spans="1:18" x14ac:dyDescent="0.25">
      <c r="C49" s="263"/>
      <c r="D49" s="157"/>
      <c r="E49" s="44"/>
      <c r="F49" s="127"/>
      <c r="G49" s="1"/>
      <c r="H49" s="158"/>
      <c r="I49" s="37"/>
      <c r="J49" s="135"/>
      <c r="K49" s="112"/>
      <c r="L49" s="37"/>
      <c r="M49" s="37"/>
      <c r="N49" s="37"/>
      <c r="O49" s="130"/>
      <c r="P49" s="132"/>
      <c r="Q49" s="283"/>
      <c r="R49" s="92"/>
    </row>
    <row r="50" spans="1:18" x14ac:dyDescent="0.25">
      <c r="A50" s="353">
        <v>2026</v>
      </c>
      <c r="B50" s="353" t="s">
        <v>284</v>
      </c>
      <c r="C50" s="263" t="s">
        <v>486</v>
      </c>
      <c r="D50" s="157" t="s">
        <v>530</v>
      </c>
      <c r="E50" s="44">
        <f>DATEVALUE("30 Jun "&amp;A50)</f>
        <v>46203</v>
      </c>
      <c r="F50" s="127" t="str">
        <f t="shared" ref="F50" si="20">IF(E50="","-",IF(E50&lt;$E$15,"ERROR - date outside of range",IF(MONTH(E50)&gt;=7,YEAR(E50)&amp;"-"&amp;RIGHT(YEAR(E50),2)+1,YEAR(E50)-1&amp;"-"&amp;RIGHT(YEAR(E50),2))))</f>
        <v>2025-26</v>
      </c>
      <c r="G50" s="1"/>
      <c r="H50" s="158"/>
      <c r="I50" s="37"/>
      <c r="J50" s="135">
        <f>J48</f>
        <v>1</v>
      </c>
      <c r="K50" s="112"/>
      <c r="L50" s="37">
        <v>1</v>
      </c>
      <c r="M50" s="37" t="s">
        <v>488</v>
      </c>
      <c r="N50" s="37">
        <v>1181480</v>
      </c>
      <c r="O50" s="130">
        <f t="shared" ref="O50:O51" si="21">IF(N50="","-",L50*N50)</f>
        <v>1181480</v>
      </c>
      <c r="P50" s="132">
        <f t="shared" ref="P50:P51" si="22">IF(O50="-","-",IF(E50&lt;$E$15,0,O50*J50))</f>
        <v>1181480</v>
      </c>
      <c r="Q50" s="92"/>
      <c r="R50" s="92"/>
    </row>
    <row r="51" spans="1:18" x14ac:dyDescent="0.25">
      <c r="A51" s="353">
        <v>2026</v>
      </c>
      <c r="B51" s="353" t="s">
        <v>284</v>
      </c>
      <c r="C51" s="263" t="s">
        <v>487</v>
      </c>
      <c r="D51" s="157" t="s">
        <v>530</v>
      </c>
      <c r="E51" s="44">
        <f t="shared" ref="E51" si="23">DATEVALUE("30 Jun "&amp;A51)</f>
        <v>46203</v>
      </c>
      <c r="F51" s="127" t="str">
        <f t="shared" ref="F51" si="24">IF(E51="","-",IF(E51&lt;$E$15,"ERROR - date outside of range",IF(MONTH(E51)&gt;=7,YEAR(E51)&amp;"-"&amp;RIGHT(YEAR(E51),2)+1,YEAR(E51)-1&amp;"-"&amp;RIGHT(YEAR(E51),2))))</f>
        <v>2025-26</v>
      </c>
      <c r="G51" s="1"/>
      <c r="H51" s="158"/>
      <c r="I51" s="37"/>
      <c r="J51" s="135">
        <f>J50</f>
        <v>1</v>
      </c>
      <c r="K51" s="112"/>
      <c r="L51" s="37">
        <v>1</v>
      </c>
      <c r="M51" s="37" t="s">
        <v>488</v>
      </c>
      <c r="N51" s="37">
        <v>1301598</v>
      </c>
      <c r="O51" s="130">
        <f t="shared" si="21"/>
        <v>1301598</v>
      </c>
      <c r="P51" s="132">
        <f t="shared" si="22"/>
        <v>1301598</v>
      </c>
      <c r="Q51" s="92"/>
      <c r="R51" s="92"/>
    </row>
    <row r="52" spans="1:18" x14ac:dyDescent="0.25">
      <c r="A52" s="353">
        <v>2026</v>
      </c>
      <c r="B52" s="353" t="s">
        <v>284</v>
      </c>
      <c r="C52" s="263" t="s">
        <v>529</v>
      </c>
      <c r="D52" s="157" t="s">
        <v>530</v>
      </c>
      <c r="E52" s="44">
        <f t="shared" ref="E52" si="25">DATEVALUE("30 Jun "&amp;A52)</f>
        <v>46203</v>
      </c>
      <c r="F52" s="127" t="str">
        <f t="shared" ref="F52" si="26">IF(E52="","-",IF(E52&lt;$E$15,"ERROR - date outside of range",IF(MONTH(E52)&gt;=7,YEAR(E52)&amp;"-"&amp;RIGHT(YEAR(E52),2)+1,YEAR(E52)-1&amp;"-"&amp;RIGHT(YEAR(E52),2))))</f>
        <v>2025-26</v>
      </c>
      <c r="G52" s="1"/>
      <c r="H52" s="158"/>
      <c r="I52" s="37"/>
      <c r="J52" s="135">
        <f>J51</f>
        <v>1</v>
      </c>
      <c r="K52" s="112"/>
      <c r="L52" s="37">
        <v>1</v>
      </c>
      <c r="M52" s="37" t="s">
        <v>488</v>
      </c>
      <c r="N52" s="37">
        <v>1212765</v>
      </c>
      <c r="O52" s="130">
        <f t="shared" ref="O52" si="27">IF(N52="","-",L52*N52)</f>
        <v>1212765</v>
      </c>
      <c r="P52" s="132">
        <f t="shared" ref="P52" si="28">IF(O52="-","-",IF(E52&lt;$E$15,0,O52*J52))</f>
        <v>1212765</v>
      </c>
      <c r="Q52" s="92"/>
      <c r="R52" s="92"/>
    </row>
    <row r="53" spans="1:18" x14ac:dyDescent="0.25">
      <c r="C53" s="263"/>
      <c r="D53" s="157"/>
      <c r="E53" s="44"/>
      <c r="F53" s="127"/>
      <c r="G53" s="1"/>
      <c r="H53" s="158"/>
      <c r="I53" s="37"/>
      <c r="J53" s="135"/>
      <c r="K53" s="112"/>
      <c r="L53" s="37"/>
      <c r="M53" s="37"/>
      <c r="N53" s="37"/>
      <c r="O53" s="130"/>
      <c r="P53" s="132"/>
      <c r="Q53" s="92"/>
      <c r="R53" s="92"/>
    </row>
    <row r="54" spans="1:18" x14ac:dyDescent="0.25">
      <c r="A54" s="354">
        <v>2027</v>
      </c>
      <c r="B54" s="353" t="s">
        <v>478</v>
      </c>
      <c r="C54" s="263"/>
      <c r="D54" s="157" t="s">
        <v>501</v>
      </c>
      <c r="E54" s="44">
        <f t="shared" ref="E54" si="29">DATEVALUE("30 Jun "&amp;A54)</f>
        <v>46568</v>
      </c>
      <c r="F54" s="127" t="str">
        <f t="shared" ref="F54" si="30">IF(E54="","-",IF(E54&lt;$E$15,"ERROR - date outside of range",IF(MONTH(E54)&gt;=7,YEAR(E54)&amp;"-"&amp;RIGHT(YEAR(E54),2)+1,YEAR(E54)-1&amp;"-"&amp;RIGHT(YEAR(E54),2))))</f>
        <v>2026-27</v>
      </c>
      <c r="G54" s="1"/>
      <c r="H54" s="158"/>
      <c r="I54" s="37"/>
      <c r="J54" s="135">
        <f>J52</f>
        <v>1</v>
      </c>
      <c r="K54" s="112"/>
      <c r="L54" s="37">
        <v>1</v>
      </c>
      <c r="M54" s="37" t="s">
        <v>485</v>
      </c>
      <c r="N54" s="37">
        <v>100000000</v>
      </c>
      <c r="O54" s="130">
        <f t="shared" ref="O54" si="31">IF(N54="","-",L54*N54)</f>
        <v>100000000</v>
      </c>
      <c r="P54" s="132">
        <f t="shared" ref="P54" si="32">IF(O54="-","-",IF(E54&lt;$E$15,0,O54*J54))</f>
        <v>100000000</v>
      </c>
      <c r="Q54" s="92"/>
      <c r="R54" s="92"/>
    </row>
    <row r="55" spans="1:18" x14ac:dyDescent="0.25">
      <c r="C55" s="263"/>
      <c r="D55" s="157"/>
      <c r="E55" s="44"/>
      <c r="F55" s="127" t="str">
        <f t="shared" ref="F55:F120" si="33">IF(E55="","-",IF(E55&lt;$E$15,"ERROR - date outside of range",IF(MONTH(E55)&gt;=7,YEAR(E55)&amp;"-"&amp;RIGHT(YEAR(E55),2)+1,YEAR(E55)-1&amp;"-"&amp;RIGHT(YEAR(E55),2))))</f>
        <v>-</v>
      </c>
      <c r="G55" s="1"/>
      <c r="H55" s="158"/>
      <c r="I55" s="37"/>
      <c r="J55" s="135">
        <f>J54</f>
        <v>1</v>
      </c>
      <c r="K55" s="112"/>
      <c r="L55" s="37"/>
      <c r="M55" s="37"/>
      <c r="N55" s="37"/>
      <c r="O55" s="130" t="str">
        <f t="shared" ref="O55" si="34">IF(N55="","-",L55*N55)</f>
        <v>-</v>
      </c>
      <c r="P55" s="132" t="str">
        <f t="shared" ref="P55" si="35">IF(O55="-","-",IF(E55&lt;$E$15,0,O55*J55))</f>
        <v>-</v>
      </c>
      <c r="Q55" s="92"/>
      <c r="R55" s="92"/>
    </row>
    <row r="56" spans="1:18" ht="23" x14ac:dyDescent="0.25">
      <c r="A56" s="353">
        <v>2026</v>
      </c>
      <c r="B56" s="353" t="s">
        <v>282</v>
      </c>
      <c r="C56" s="263"/>
      <c r="D56" s="157" t="s">
        <v>795</v>
      </c>
      <c r="E56" s="44">
        <v>46203</v>
      </c>
      <c r="F56" s="127" t="str">
        <f t="shared" si="33"/>
        <v>2025-26</v>
      </c>
      <c r="G56" s="1"/>
      <c r="H56" s="158"/>
      <c r="I56" s="37"/>
      <c r="J56" s="135">
        <v>1</v>
      </c>
      <c r="K56" s="112"/>
      <c r="L56" s="37">
        <v>1</v>
      </c>
      <c r="M56" s="37" t="s">
        <v>809</v>
      </c>
      <c r="N56" s="37">
        <v>4079000</v>
      </c>
      <c r="O56" s="130">
        <f t="shared" ref="O56:O86" si="36">IF(N56="","-",L56*N56)</f>
        <v>4079000</v>
      </c>
      <c r="P56" s="132">
        <f t="shared" ref="P56:P86" si="37">IF(O56="-","-",IF(E56&lt;$E$15,0,O56*J56))</f>
        <v>4079000</v>
      </c>
      <c r="Q56" s="92"/>
      <c r="R56" s="92"/>
    </row>
    <row r="57" spans="1:18" x14ac:dyDescent="0.25">
      <c r="C57" s="263"/>
      <c r="D57" s="157"/>
      <c r="E57" s="44"/>
      <c r="F57" s="127" t="str">
        <f t="shared" si="33"/>
        <v>-</v>
      </c>
      <c r="G57" s="1"/>
      <c r="H57" s="158"/>
      <c r="I57" s="37"/>
      <c r="J57" s="135">
        <v>1</v>
      </c>
      <c r="K57" s="112"/>
      <c r="L57" s="37"/>
      <c r="M57" s="37"/>
      <c r="N57" s="37"/>
      <c r="O57" s="130" t="str">
        <f t="shared" si="36"/>
        <v>-</v>
      </c>
      <c r="P57" s="132" t="str">
        <f t="shared" si="37"/>
        <v>-</v>
      </c>
      <c r="Q57" s="92"/>
      <c r="R57" s="92"/>
    </row>
    <row r="58" spans="1:18" x14ac:dyDescent="0.25">
      <c r="A58" s="353">
        <v>2022</v>
      </c>
      <c r="B58" s="353" t="s">
        <v>284</v>
      </c>
      <c r="C58" s="263" t="s">
        <v>796</v>
      </c>
      <c r="D58" s="157" t="s">
        <v>797</v>
      </c>
      <c r="E58" s="44">
        <v>44742</v>
      </c>
      <c r="F58" s="127" t="str">
        <f t="shared" si="33"/>
        <v>2021-22</v>
      </c>
      <c r="G58" s="1"/>
      <c r="H58" s="158"/>
      <c r="I58" s="37"/>
      <c r="J58" s="135">
        <v>1</v>
      </c>
      <c r="K58" s="112"/>
      <c r="L58" s="37">
        <v>1</v>
      </c>
      <c r="M58" s="37" t="s">
        <v>473</v>
      </c>
      <c r="N58" s="37">
        <v>1235000</v>
      </c>
      <c r="O58" s="130">
        <f t="shared" ref="O58:O69" si="38">IF(N58="","-",L58*N58)</f>
        <v>1235000</v>
      </c>
      <c r="P58" s="132">
        <f t="shared" ref="P58:P69" si="39">IF(O58="-","-",IF(E58&lt;$E$15,0,O58*J58))</f>
        <v>1235000</v>
      </c>
      <c r="Q58" s="92"/>
      <c r="R58" s="92"/>
    </row>
    <row r="59" spans="1:18" x14ac:dyDescent="0.25">
      <c r="A59" s="353">
        <v>2026</v>
      </c>
      <c r="B59" s="353" t="s">
        <v>284</v>
      </c>
      <c r="C59" s="263" t="s">
        <v>798</v>
      </c>
      <c r="D59" s="157" t="s">
        <v>799</v>
      </c>
      <c r="E59" s="44">
        <v>46203</v>
      </c>
      <c r="F59" s="127" t="str">
        <f t="shared" si="33"/>
        <v>2025-26</v>
      </c>
      <c r="G59" s="1"/>
      <c r="H59" s="158"/>
      <c r="I59" s="37"/>
      <c r="J59" s="135">
        <v>1</v>
      </c>
      <c r="K59" s="112"/>
      <c r="L59" s="37">
        <v>1</v>
      </c>
      <c r="M59" s="37" t="s">
        <v>473</v>
      </c>
      <c r="N59" s="37">
        <v>1223000</v>
      </c>
      <c r="O59" s="130">
        <f t="shared" si="38"/>
        <v>1223000</v>
      </c>
      <c r="P59" s="132">
        <f t="shared" si="39"/>
        <v>1223000</v>
      </c>
      <c r="Q59" s="92"/>
      <c r="R59" s="92"/>
    </row>
    <row r="60" spans="1:18" x14ac:dyDescent="0.25">
      <c r="C60" s="263"/>
      <c r="D60" s="157"/>
      <c r="E60" s="44"/>
      <c r="F60" s="127" t="str">
        <f t="shared" si="33"/>
        <v>-</v>
      </c>
      <c r="G60" s="1"/>
      <c r="H60" s="158"/>
      <c r="I60" s="37"/>
      <c r="J60" s="135">
        <v>1</v>
      </c>
      <c r="K60" s="112"/>
      <c r="L60" s="37"/>
      <c r="M60" s="37"/>
      <c r="N60" s="37"/>
      <c r="O60" s="130" t="str">
        <f t="shared" si="38"/>
        <v>-</v>
      </c>
      <c r="P60" s="132" t="str">
        <f t="shared" si="39"/>
        <v>-</v>
      </c>
      <c r="Q60" s="92"/>
      <c r="R60" s="92"/>
    </row>
    <row r="61" spans="1:18" x14ac:dyDescent="0.25">
      <c r="A61" s="353">
        <v>2029</v>
      </c>
      <c r="B61" s="353" t="s">
        <v>478</v>
      </c>
      <c r="C61" s="263" t="s">
        <v>685</v>
      </c>
      <c r="D61" s="157" t="s">
        <v>800</v>
      </c>
      <c r="E61" s="44">
        <v>47299</v>
      </c>
      <c r="F61" s="127" t="str">
        <f t="shared" si="33"/>
        <v>2028-29</v>
      </c>
      <c r="G61" s="1"/>
      <c r="H61" s="158"/>
      <c r="I61" s="37"/>
      <c r="J61" s="135">
        <v>1</v>
      </c>
      <c r="K61" s="112"/>
      <c r="L61" s="37">
        <v>1</v>
      </c>
      <c r="M61" s="37" t="s">
        <v>485</v>
      </c>
      <c r="N61" s="37">
        <v>7200000</v>
      </c>
      <c r="O61" s="130">
        <f t="shared" si="38"/>
        <v>7200000</v>
      </c>
      <c r="P61" s="132">
        <f t="shared" si="39"/>
        <v>7200000</v>
      </c>
      <c r="Q61" s="92"/>
      <c r="R61" s="92"/>
    </row>
    <row r="62" spans="1:18" x14ac:dyDescent="0.25">
      <c r="A62" s="353">
        <v>2027</v>
      </c>
      <c r="B62" s="353" t="s">
        <v>478</v>
      </c>
      <c r="C62" s="263" t="s">
        <v>685</v>
      </c>
      <c r="D62" s="157" t="s">
        <v>801</v>
      </c>
      <c r="E62" s="44">
        <v>46568</v>
      </c>
      <c r="F62" s="127" t="str">
        <f t="shared" si="33"/>
        <v>2026-27</v>
      </c>
      <c r="G62" s="1"/>
      <c r="H62" s="158"/>
      <c r="I62" s="37"/>
      <c r="J62" s="135">
        <v>1</v>
      </c>
      <c r="K62" s="112"/>
      <c r="L62" s="37">
        <v>1</v>
      </c>
      <c r="M62" s="37" t="s">
        <v>485</v>
      </c>
      <c r="N62" s="37">
        <v>177600000</v>
      </c>
      <c r="O62" s="130">
        <f t="shared" si="38"/>
        <v>177600000</v>
      </c>
      <c r="P62" s="132">
        <f t="shared" si="39"/>
        <v>177600000</v>
      </c>
      <c r="Q62" s="92"/>
      <c r="R62" s="92"/>
    </row>
    <row r="63" spans="1:18" x14ac:dyDescent="0.25">
      <c r="A63" s="353">
        <v>2027</v>
      </c>
      <c r="B63" s="353" t="s">
        <v>478</v>
      </c>
      <c r="C63" s="263" t="s">
        <v>685</v>
      </c>
      <c r="D63" s="157" t="s">
        <v>802</v>
      </c>
      <c r="E63" s="44">
        <v>46568</v>
      </c>
      <c r="F63" s="127" t="str">
        <f t="shared" si="33"/>
        <v>2026-27</v>
      </c>
      <c r="G63" s="1"/>
      <c r="H63" s="158"/>
      <c r="I63" s="37"/>
      <c r="J63" s="135">
        <v>1</v>
      </c>
      <c r="K63" s="112"/>
      <c r="L63" s="37">
        <v>1</v>
      </c>
      <c r="M63" s="37" t="s">
        <v>485</v>
      </c>
      <c r="N63" s="37">
        <v>2500000</v>
      </c>
      <c r="O63" s="130">
        <f t="shared" si="38"/>
        <v>2500000</v>
      </c>
      <c r="P63" s="132">
        <f t="shared" si="39"/>
        <v>2500000</v>
      </c>
      <c r="Q63" s="92"/>
      <c r="R63" s="92"/>
    </row>
    <row r="64" spans="1:18" x14ac:dyDescent="0.25">
      <c r="A64" s="353">
        <v>2027</v>
      </c>
      <c r="B64" s="353" t="s">
        <v>478</v>
      </c>
      <c r="C64" s="263" t="s">
        <v>685</v>
      </c>
      <c r="D64" s="157" t="s">
        <v>803</v>
      </c>
      <c r="E64" s="44">
        <v>46568</v>
      </c>
      <c r="F64" s="127" t="str">
        <f t="shared" si="33"/>
        <v>2026-27</v>
      </c>
      <c r="G64" s="1"/>
      <c r="H64" s="158"/>
      <c r="I64" s="37"/>
      <c r="J64" s="135">
        <v>1</v>
      </c>
      <c r="K64" s="112"/>
      <c r="L64" s="37">
        <v>1</v>
      </c>
      <c r="M64" s="37" t="s">
        <v>485</v>
      </c>
      <c r="N64" s="37">
        <v>2500000</v>
      </c>
      <c r="O64" s="130">
        <f t="shared" si="38"/>
        <v>2500000</v>
      </c>
      <c r="P64" s="132">
        <f t="shared" si="39"/>
        <v>2500000</v>
      </c>
      <c r="Q64" s="92"/>
      <c r="R64" s="92"/>
    </row>
    <row r="65" spans="1:18" x14ac:dyDescent="0.25">
      <c r="A65" s="353">
        <v>2027</v>
      </c>
      <c r="B65" s="353" t="s">
        <v>478</v>
      </c>
      <c r="C65" s="263" t="s">
        <v>685</v>
      </c>
      <c r="D65" s="157" t="s">
        <v>804</v>
      </c>
      <c r="E65" s="44">
        <v>46568</v>
      </c>
      <c r="F65" s="127" t="str">
        <f t="shared" si="33"/>
        <v>2026-27</v>
      </c>
      <c r="G65" s="1"/>
      <c r="H65" s="158"/>
      <c r="I65" s="37"/>
      <c r="J65" s="135">
        <v>1</v>
      </c>
      <c r="K65" s="112"/>
      <c r="L65" s="37">
        <v>1</v>
      </c>
      <c r="M65" s="37" t="s">
        <v>485</v>
      </c>
      <c r="N65" s="37">
        <v>4700000</v>
      </c>
      <c r="O65" s="130">
        <f t="shared" si="38"/>
        <v>4700000</v>
      </c>
      <c r="P65" s="132">
        <f t="shared" si="39"/>
        <v>4700000</v>
      </c>
      <c r="Q65" s="92"/>
      <c r="R65" s="92"/>
    </row>
    <row r="66" spans="1:18" x14ac:dyDescent="0.25">
      <c r="A66" s="353">
        <v>2029</v>
      </c>
      <c r="B66" s="353" t="s">
        <v>478</v>
      </c>
      <c r="C66" s="263" t="s">
        <v>685</v>
      </c>
      <c r="D66" s="157" t="s">
        <v>805</v>
      </c>
      <c r="E66" s="44">
        <v>47299</v>
      </c>
      <c r="F66" s="127" t="str">
        <f t="shared" si="33"/>
        <v>2028-29</v>
      </c>
      <c r="G66" s="1"/>
      <c r="H66" s="158"/>
      <c r="I66" s="37"/>
      <c r="J66" s="135">
        <v>1</v>
      </c>
      <c r="K66" s="112"/>
      <c r="L66" s="37">
        <v>1</v>
      </c>
      <c r="M66" s="37" t="s">
        <v>485</v>
      </c>
      <c r="N66" s="37">
        <v>22700000</v>
      </c>
      <c r="O66" s="130">
        <f t="shared" si="38"/>
        <v>22700000</v>
      </c>
      <c r="P66" s="132">
        <f t="shared" si="39"/>
        <v>22700000</v>
      </c>
      <c r="Q66" s="92"/>
      <c r="R66" s="92"/>
    </row>
    <row r="67" spans="1:18" x14ac:dyDescent="0.25">
      <c r="A67" s="353">
        <v>2029</v>
      </c>
      <c r="B67" s="353" t="s">
        <v>478</v>
      </c>
      <c r="C67" s="263" t="s">
        <v>685</v>
      </c>
      <c r="D67" s="157" t="s">
        <v>806</v>
      </c>
      <c r="E67" s="44">
        <v>47299</v>
      </c>
      <c r="F67" s="127" t="str">
        <f t="shared" si="33"/>
        <v>2028-29</v>
      </c>
      <c r="G67" s="1"/>
      <c r="H67" s="158"/>
      <c r="I67" s="37"/>
      <c r="J67" s="135">
        <v>1</v>
      </c>
      <c r="K67" s="112"/>
      <c r="L67" s="37">
        <v>1</v>
      </c>
      <c r="M67" s="37" t="s">
        <v>485</v>
      </c>
      <c r="N67" s="37">
        <v>3200000</v>
      </c>
      <c r="O67" s="130">
        <f t="shared" si="38"/>
        <v>3200000</v>
      </c>
      <c r="P67" s="132">
        <f t="shared" si="39"/>
        <v>3200000</v>
      </c>
      <c r="Q67" s="92"/>
      <c r="R67" s="92"/>
    </row>
    <row r="68" spans="1:18" x14ac:dyDescent="0.25">
      <c r="A68" s="353">
        <v>2027</v>
      </c>
      <c r="B68" s="353" t="s">
        <v>478</v>
      </c>
      <c r="C68" s="263" t="s">
        <v>685</v>
      </c>
      <c r="D68" s="157" t="s">
        <v>807</v>
      </c>
      <c r="E68" s="44">
        <v>46568</v>
      </c>
      <c r="F68" s="127" t="str">
        <f t="shared" si="33"/>
        <v>2026-27</v>
      </c>
      <c r="G68" s="1"/>
      <c r="H68" s="158"/>
      <c r="I68" s="37"/>
      <c r="J68" s="135">
        <v>1</v>
      </c>
      <c r="K68" s="112"/>
      <c r="L68" s="37">
        <v>1</v>
      </c>
      <c r="M68" s="37" t="s">
        <v>485</v>
      </c>
      <c r="N68" s="37">
        <v>12300000</v>
      </c>
      <c r="O68" s="130">
        <f t="shared" si="38"/>
        <v>12300000</v>
      </c>
      <c r="P68" s="132">
        <f t="shared" si="39"/>
        <v>12300000</v>
      </c>
      <c r="Q68" s="92"/>
      <c r="R68" s="92"/>
    </row>
    <row r="69" spans="1:18" x14ac:dyDescent="0.25">
      <c r="A69" s="353">
        <v>2027</v>
      </c>
      <c r="B69" s="353" t="s">
        <v>478</v>
      </c>
      <c r="C69" s="263" t="s">
        <v>685</v>
      </c>
      <c r="D69" s="157" t="s">
        <v>808</v>
      </c>
      <c r="E69" s="44">
        <v>46568</v>
      </c>
      <c r="F69" s="127" t="str">
        <f t="shared" si="33"/>
        <v>2026-27</v>
      </c>
      <c r="G69" s="1"/>
      <c r="H69" s="158"/>
      <c r="I69" s="37"/>
      <c r="J69" s="135">
        <v>1</v>
      </c>
      <c r="K69" s="112"/>
      <c r="L69" s="37">
        <v>1</v>
      </c>
      <c r="M69" s="37" t="s">
        <v>485</v>
      </c>
      <c r="N69" s="37">
        <v>300000</v>
      </c>
      <c r="O69" s="130">
        <f t="shared" si="38"/>
        <v>300000</v>
      </c>
      <c r="P69" s="132">
        <f t="shared" si="39"/>
        <v>300000</v>
      </c>
      <c r="Q69" s="92"/>
      <c r="R69" s="92"/>
    </row>
    <row r="70" spans="1:18" x14ac:dyDescent="0.25">
      <c r="C70" s="263"/>
      <c r="D70" s="157"/>
      <c r="E70" s="44"/>
      <c r="F70" s="127"/>
      <c r="G70" s="1"/>
      <c r="H70" s="158"/>
      <c r="I70" s="37"/>
      <c r="J70" s="135"/>
      <c r="K70" s="112"/>
      <c r="L70" s="37"/>
      <c r="M70" s="37"/>
      <c r="N70" s="37"/>
      <c r="O70" s="130"/>
      <c r="P70" s="132"/>
      <c r="Q70" s="92"/>
      <c r="R70" s="92"/>
    </row>
    <row r="71" spans="1:18" x14ac:dyDescent="0.25">
      <c r="A71" s="353">
        <v>2026</v>
      </c>
      <c r="B71" s="353" t="s">
        <v>810</v>
      </c>
      <c r="C71" s="263"/>
      <c r="D71" s="157" t="s">
        <v>811</v>
      </c>
      <c r="E71" s="44">
        <v>46203</v>
      </c>
      <c r="F71" s="127" t="str">
        <f t="shared" si="33"/>
        <v>2025-26</v>
      </c>
      <c r="G71" s="1"/>
      <c r="H71" s="158"/>
      <c r="I71" s="37"/>
      <c r="J71" s="135">
        <v>1</v>
      </c>
      <c r="K71" s="112"/>
      <c r="L71" s="37">
        <v>1</v>
      </c>
      <c r="M71" s="37" t="s">
        <v>809</v>
      </c>
      <c r="N71" s="37">
        <v>10400000</v>
      </c>
      <c r="O71" s="130">
        <f t="shared" si="36"/>
        <v>10400000</v>
      </c>
      <c r="P71" s="132">
        <f t="shared" si="37"/>
        <v>10400000</v>
      </c>
      <c r="Q71" s="92"/>
      <c r="R71" s="92"/>
    </row>
    <row r="72" spans="1:18" x14ac:dyDescent="0.25">
      <c r="A72" s="353">
        <v>2026</v>
      </c>
      <c r="B72" s="353" t="s">
        <v>810</v>
      </c>
      <c r="C72" s="263"/>
      <c r="D72" s="157" t="s">
        <v>812</v>
      </c>
      <c r="E72" s="44">
        <v>46203</v>
      </c>
      <c r="F72" s="127" t="str">
        <f t="shared" si="33"/>
        <v>2025-26</v>
      </c>
      <c r="G72" s="1"/>
      <c r="H72" s="158"/>
      <c r="I72" s="37"/>
      <c r="J72" s="135">
        <v>1</v>
      </c>
      <c r="K72" s="112"/>
      <c r="L72" s="37">
        <v>1</v>
      </c>
      <c r="M72" s="37" t="s">
        <v>809</v>
      </c>
      <c r="N72" s="37">
        <v>7800000</v>
      </c>
      <c r="O72" s="130">
        <f t="shared" si="36"/>
        <v>7800000</v>
      </c>
      <c r="P72" s="132">
        <f t="shared" si="37"/>
        <v>7800000</v>
      </c>
      <c r="Q72" s="92"/>
      <c r="R72" s="92"/>
    </row>
    <row r="73" spans="1:18" x14ac:dyDescent="0.25">
      <c r="A73" s="353">
        <v>2026</v>
      </c>
      <c r="B73" s="353" t="s">
        <v>810</v>
      </c>
      <c r="C73" s="263"/>
      <c r="D73" s="157" t="s">
        <v>813</v>
      </c>
      <c r="E73" s="44">
        <v>46203</v>
      </c>
      <c r="F73" s="127" t="str">
        <f t="shared" si="33"/>
        <v>2025-26</v>
      </c>
      <c r="G73" s="1"/>
      <c r="H73" s="158"/>
      <c r="I73" s="37"/>
      <c r="J73" s="135">
        <v>1</v>
      </c>
      <c r="K73" s="112"/>
      <c r="L73" s="37">
        <v>1</v>
      </c>
      <c r="M73" s="37" t="s">
        <v>809</v>
      </c>
      <c r="N73" s="37">
        <v>26600000</v>
      </c>
      <c r="O73" s="130">
        <f t="shared" si="36"/>
        <v>26600000</v>
      </c>
      <c r="P73" s="132">
        <f t="shared" si="37"/>
        <v>26600000</v>
      </c>
      <c r="Q73" s="92"/>
      <c r="R73" s="92"/>
    </row>
    <row r="74" spans="1:18" x14ac:dyDescent="0.25">
      <c r="A74" s="353">
        <v>2026</v>
      </c>
      <c r="B74" s="353" t="s">
        <v>810</v>
      </c>
      <c r="C74" s="263"/>
      <c r="D74" s="157" t="s">
        <v>814</v>
      </c>
      <c r="E74" s="44">
        <v>46203</v>
      </c>
      <c r="F74" s="127" t="str">
        <f t="shared" si="33"/>
        <v>2025-26</v>
      </c>
      <c r="G74" s="1"/>
      <c r="H74" s="158"/>
      <c r="I74" s="37"/>
      <c r="J74" s="135">
        <v>1</v>
      </c>
      <c r="K74" s="112"/>
      <c r="L74" s="37">
        <v>1</v>
      </c>
      <c r="M74" s="37" t="s">
        <v>809</v>
      </c>
      <c r="N74" s="37">
        <v>45900000</v>
      </c>
      <c r="O74" s="130">
        <f t="shared" si="36"/>
        <v>45900000</v>
      </c>
      <c r="P74" s="132">
        <f t="shared" si="37"/>
        <v>45900000</v>
      </c>
      <c r="Q74" s="92"/>
      <c r="R74" s="92"/>
    </row>
    <row r="75" spans="1:18" x14ac:dyDescent="0.25">
      <c r="A75" s="353">
        <v>2026</v>
      </c>
      <c r="B75" s="353" t="s">
        <v>810</v>
      </c>
      <c r="C75" s="263"/>
      <c r="D75" s="157" t="s">
        <v>815</v>
      </c>
      <c r="E75" s="44">
        <v>46203</v>
      </c>
      <c r="F75" s="127" t="str">
        <f t="shared" si="33"/>
        <v>2025-26</v>
      </c>
      <c r="G75" s="1"/>
      <c r="H75" s="158"/>
      <c r="I75" s="37"/>
      <c r="J75" s="135">
        <v>1</v>
      </c>
      <c r="K75" s="112"/>
      <c r="L75" s="37">
        <v>1</v>
      </c>
      <c r="M75" s="37" t="s">
        <v>809</v>
      </c>
      <c r="N75" s="37">
        <v>1200000</v>
      </c>
      <c r="O75" s="130">
        <f t="shared" si="36"/>
        <v>1200000</v>
      </c>
      <c r="P75" s="132">
        <f t="shared" si="37"/>
        <v>1200000</v>
      </c>
      <c r="Q75" s="92"/>
      <c r="R75" s="92"/>
    </row>
    <row r="76" spans="1:18" x14ac:dyDescent="0.25">
      <c r="A76" s="353">
        <v>2026</v>
      </c>
      <c r="B76" s="353" t="s">
        <v>810</v>
      </c>
      <c r="C76" s="263"/>
      <c r="D76" s="157" t="s">
        <v>816</v>
      </c>
      <c r="E76" s="44">
        <v>46203</v>
      </c>
      <c r="F76" s="127" t="str">
        <f t="shared" si="33"/>
        <v>2025-26</v>
      </c>
      <c r="G76" s="1"/>
      <c r="H76" s="158"/>
      <c r="I76" s="37"/>
      <c r="J76" s="135">
        <v>1</v>
      </c>
      <c r="K76" s="112"/>
      <c r="L76" s="37">
        <v>1</v>
      </c>
      <c r="M76" s="37" t="s">
        <v>809</v>
      </c>
      <c r="N76" s="37">
        <v>7200000</v>
      </c>
      <c r="O76" s="130">
        <f t="shared" si="36"/>
        <v>7200000</v>
      </c>
      <c r="P76" s="132">
        <f t="shared" si="37"/>
        <v>7200000</v>
      </c>
      <c r="Q76" s="92"/>
      <c r="R76" s="92"/>
    </row>
    <row r="77" spans="1:18" x14ac:dyDescent="0.25">
      <c r="A77" s="353">
        <v>2026</v>
      </c>
      <c r="B77" s="353" t="s">
        <v>810</v>
      </c>
      <c r="C77" s="263"/>
      <c r="D77" s="157" t="s">
        <v>817</v>
      </c>
      <c r="E77" s="44">
        <v>46203</v>
      </c>
      <c r="F77" s="127" t="str">
        <f t="shared" si="33"/>
        <v>2025-26</v>
      </c>
      <c r="G77" s="1"/>
      <c r="H77" s="158"/>
      <c r="I77" s="37"/>
      <c r="J77" s="135">
        <v>1</v>
      </c>
      <c r="K77" s="112"/>
      <c r="L77" s="37">
        <v>1</v>
      </c>
      <c r="M77" s="37" t="s">
        <v>809</v>
      </c>
      <c r="N77" s="37">
        <v>7300000</v>
      </c>
      <c r="O77" s="130">
        <f t="shared" si="36"/>
        <v>7300000</v>
      </c>
      <c r="P77" s="132">
        <f t="shared" si="37"/>
        <v>7300000</v>
      </c>
      <c r="Q77" s="92"/>
      <c r="R77" s="92"/>
    </row>
    <row r="78" spans="1:18" x14ac:dyDescent="0.25">
      <c r="A78" s="353">
        <v>2031</v>
      </c>
      <c r="B78" s="353" t="s">
        <v>810</v>
      </c>
      <c r="C78" s="263"/>
      <c r="D78" s="157" t="s">
        <v>818</v>
      </c>
      <c r="E78" s="44">
        <v>48029</v>
      </c>
      <c r="F78" s="127" t="str">
        <f t="shared" si="33"/>
        <v>2030-31</v>
      </c>
      <c r="G78" s="1"/>
      <c r="H78" s="158"/>
      <c r="I78" s="37"/>
      <c r="J78" s="135">
        <v>1</v>
      </c>
      <c r="K78" s="112"/>
      <c r="L78" s="37">
        <v>1</v>
      </c>
      <c r="M78" s="37" t="s">
        <v>809</v>
      </c>
      <c r="N78" s="37">
        <v>25500000</v>
      </c>
      <c r="O78" s="130">
        <f t="shared" si="36"/>
        <v>25500000</v>
      </c>
      <c r="P78" s="132">
        <f t="shared" si="37"/>
        <v>25500000</v>
      </c>
      <c r="Q78" s="92"/>
      <c r="R78" s="92"/>
    </row>
    <row r="79" spans="1:18" x14ac:dyDescent="0.25">
      <c r="A79" s="353">
        <v>2031</v>
      </c>
      <c r="B79" s="353" t="s">
        <v>810</v>
      </c>
      <c r="C79" s="263"/>
      <c r="D79" s="157" t="s">
        <v>819</v>
      </c>
      <c r="E79" s="44">
        <v>48029</v>
      </c>
      <c r="F79" s="127" t="str">
        <f t="shared" si="33"/>
        <v>2030-31</v>
      </c>
      <c r="G79" s="1"/>
      <c r="H79" s="158"/>
      <c r="I79" s="37"/>
      <c r="J79" s="135">
        <v>1</v>
      </c>
      <c r="K79" s="112"/>
      <c r="L79" s="37">
        <v>1</v>
      </c>
      <c r="M79" s="37" t="s">
        <v>809</v>
      </c>
      <c r="N79" s="37">
        <v>2700000</v>
      </c>
      <c r="O79" s="130">
        <f t="shared" si="36"/>
        <v>2700000</v>
      </c>
      <c r="P79" s="132">
        <f t="shared" si="37"/>
        <v>2700000</v>
      </c>
      <c r="Q79" s="92"/>
      <c r="R79" s="92"/>
    </row>
    <row r="80" spans="1:18" x14ac:dyDescent="0.25">
      <c r="A80" s="353">
        <v>2031</v>
      </c>
      <c r="B80" s="353" t="s">
        <v>810</v>
      </c>
      <c r="C80" s="263"/>
      <c r="D80" s="157" t="s">
        <v>820</v>
      </c>
      <c r="E80" s="44">
        <v>48029</v>
      </c>
      <c r="F80" s="127" t="str">
        <f t="shared" si="33"/>
        <v>2030-31</v>
      </c>
      <c r="G80" s="1"/>
      <c r="H80" s="158"/>
      <c r="I80" s="37"/>
      <c r="J80" s="135">
        <v>1</v>
      </c>
      <c r="K80" s="112"/>
      <c r="L80" s="37">
        <v>1</v>
      </c>
      <c r="M80" s="37" t="s">
        <v>809</v>
      </c>
      <c r="N80" s="37">
        <v>2000000</v>
      </c>
      <c r="O80" s="130">
        <f t="shared" si="36"/>
        <v>2000000</v>
      </c>
      <c r="P80" s="132">
        <f t="shared" si="37"/>
        <v>2000000</v>
      </c>
      <c r="Q80" s="92"/>
      <c r="R80" s="92"/>
    </row>
    <row r="81" spans="1:18" x14ac:dyDescent="0.25">
      <c r="A81" s="353">
        <v>2031</v>
      </c>
      <c r="B81" s="353" t="s">
        <v>810</v>
      </c>
      <c r="C81" s="263"/>
      <c r="D81" s="157" t="s">
        <v>821</v>
      </c>
      <c r="E81" s="44">
        <v>48029</v>
      </c>
      <c r="F81" s="127" t="str">
        <f t="shared" si="33"/>
        <v>2030-31</v>
      </c>
      <c r="G81" s="1"/>
      <c r="H81" s="158"/>
      <c r="I81" s="37"/>
      <c r="J81" s="135">
        <v>1</v>
      </c>
      <c r="K81" s="112"/>
      <c r="L81" s="37">
        <v>1</v>
      </c>
      <c r="M81" s="37" t="s">
        <v>809</v>
      </c>
      <c r="N81" s="37">
        <v>300000</v>
      </c>
      <c r="O81" s="130">
        <f t="shared" si="36"/>
        <v>300000</v>
      </c>
      <c r="P81" s="132">
        <f t="shared" si="37"/>
        <v>300000</v>
      </c>
      <c r="Q81" s="92"/>
      <c r="R81" s="92"/>
    </row>
    <row r="82" spans="1:18" x14ac:dyDescent="0.25">
      <c r="A82" s="353">
        <v>2031</v>
      </c>
      <c r="B82" s="353" t="s">
        <v>810</v>
      </c>
      <c r="C82" s="263"/>
      <c r="D82" s="157" t="s">
        <v>822</v>
      </c>
      <c r="E82" s="44">
        <v>48029</v>
      </c>
      <c r="F82" s="127" t="str">
        <f t="shared" si="33"/>
        <v>2030-31</v>
      </c>
      <c r="G82" s="1"/>
      <c r="H82" s="158"/>
      <c r="I82" s="37"/>
      <c r="J82" s="135">
        <v>1</v>
      </c>
      <c r="K82" s="112"/>
      <c r="L82" s="37">
        <v>1</v>
      </c>
      <c r="M82" s="37" t="s">
        <v>809</v>
      </c>
      <c r="N82" s="37">
        <v>4900000</v>
      </c>
      <c r="O82" s="130">
        <f t="shared" si="36"/>
        <v>4900000</v>
      </c>
      <c r="P82" s="132">
        <f t="shared" si="37"/>
        <v>4900000</v>
      </c>
      <c r="Q82" s="92"/>
      <c r="R82" s="92"/>
    </row>
    <row r="83" spans="1:18" x14ac:dyDescent="0.25">
      <c r="A83" s="353">
        <v>2031</v>
      </c>
      <c r="B83" s="353" t="s">
        <v>810</v>
      </c>
      <c r="C83" s="263"/>
      <c r="D83" s="157" t="s">
        <v>823</v>
      </c>
      <c r="E83" s="44">
        <v>48029</v>
      </c>
      <c r="F83" s="127" t="str">
        <f t="shared" si="33"/>
        <v>2030-31</v>
      </c>
      <c r="G83" s="1"/>
      <c r="H83" s="158"/>
      <c r="I83" s="37"/>
      <c r="J83" s="135">
        <v>0.8</v>
      </c>
      <c r="K83" s="112"/>
      <c r="L83" s="37">
        <v>1</v>
      </c>
      <c r="M83" s="37" t="s">
        <v>809</v>
      </c>
      <c r="N83" s="37">
        <v>38200000</v>
      </c>
      <c r="O83" s="130">
        <f t="shared" si="36"/>
        <v>38200000</v>
      </c>
      <c r="P83" s="132">
        <f t="shared" si="37"/>
        <v>30560000</v>
      </c>
      <c r="Q83" s="92"/>
      <c r="R83" s="92"/>
    </row>
    <row r="84" spans="1:18" x14ac:dyDescent="0.25">
      <c r="A84" s="353">
        <v>2031</v>
      </c>
      <c r="B84" s="353" t="s">
        <v>810</v>
      </c>
      <c r="C84" s="263"/>
      <c r="D84" s="157" t="s">
        <v>824</v>
      </c>
      <c r="E84" s="44">
        <v>48029</v>
      </c>
      <c r="F84" s="127" t="str">
        <f t="shared" si="33"/>
        <v>2030-31</v>
      </c>
      <c r="G84" s="1"/>
      <c r="H84" s="158"/>
      <c r="I84" s="37"/>
      <c r="J84" s="135">
        <v>0.8</v>
      </c>
      <c r="K84" s="112"/>
      <c r="L84" s="37">
        <v>1</v>
      </c>
      <c r="M84" s="37" t="s">
        <v>809</v>
      </c>
      <c r="N84" s="37">
        <v>11000000</v>
      </c>
      <c r="O84" s="130">
        <f t="shared" si="36"/>
        <v>11000000</v>
      </c>
      <c r="P84" s="132">
        <f t="shared" si="37"/>
        <v>8800000</v>
      </c>
      <c r="Q84" s="92"/>
      <c r="R84" s="92"/>
    </row>
    <row r="85" spans="1:18" x14ac:dyDescent="0.25">
      <c r="A85" s="353">
        <v>2031</v>
      </c>
      <c r="B85" s="353" t="s">
        <v>810</v>
      </c>
      <c r="C85" s="263"/>
      <c r="D85" s="157" t="s">
        <v>825</v>
      </c>
      <c r="E85" s="44">
        <v>48029</v>
      </c>
      <c r="F85" s="127" t="str">
        <f t="shared" si="33"/>
        <v>2030-31</v>
      </c>
      <c r="G85" s="1"/>
      <c r="H85" s="158"/>
      <c r="I85" s="37"/>
      <c r="J85" s="135">
        <v>1</v>
      </c>
      <c r="K85" s="112"/>
      <c r="L85" s="37">
        <v>1</v>
      </c>
      <c r="M85" s="37" t="s">
        <v>809</v>
      </c>
      <c r="N85" s="37">
        <v>500000</v>
      </c>
      <c r="O85" s="130">
        <f t="shared" si="36"/>
        <v>500000</v>
      </c>
      <c r="P85" s="132">
        <f t="shared" si="37"/>
        <v>500000</v>
      </c>
      <c r="Q85" s="92"/>
      <c r="R85" s="92"/>
    </row>
    <row r="86" spans="1:18" x14ac:dyDescent="0.25">
      <c r="A86" s="353">
        <v>2031</v>
      </c>
      <c r="B86" s="353" t="s">
        <v>810</v>
      </c>
      <c r="C86" s="263"/>
      <c r="D86" s="157" t="s">
        <v>826</v>
      </c>
      <c r="E86" s="44">
        <v>48029</v>
      </c>
      <c r="F86" s="127" t="str">
        <f t="shared" si="33"/>
        <v>2030-31</v>
      </c>
      <c r="G86" s="1"/>
      <c r="H86" s="158"/>
      <c r="I86" s="37"/>
      <c r="J86" s="135">
        <v>1</v>
      </c>
      <c r="K86" s="112"/>
      <c r="L86" s="37">
        <v>1</v>
      </c>
      <c r="M86" s="37" t="s">
        <v>809</v>
      </c>
      <c r="N86" s="37">
        <v>7100000</v>
      </c>
      <c r="O86" s="130">
        <f t="shared" si="36"/>
        <v>7100000</v>
      </c>
      <c r="P86" s="132">
        <f t="shared" si="37"/>
        <v>7100000</v>
      </c>
      <c r="Q86" s="92"/>
      <c r="R86" s="92"/>
    </row>
    <row r="87" spans="1:18" x14ac:dyDescent="0.25">
      <c r="A87" s="353">
        <v>2031</v>
      </c>
      <c r="B87" s="353" t="s">
        <v>810</v>
      </c>
      <c r="C87" s="263"/>
      <c r="D87" s="157" t="s">
        <v>827</v>
      </c>
      <c r="E87" s="44">
        <v>48029</v>
      </c>
      <c r="F87" s="127" t="str">
        <f t="shared" si="33"/>
        <v>2030-31</v>
      </c>
      <c r="G87" s="1"/>
      <c r="H87" s="158"/>
      <c r="I87" s="37"/>
      <c r="J87" s="135">
        <v>1</v>
      </c>
      <c r="K87" s="112"/>
      <c r="L87" s="37">
        <v>1</v>
      </c>
      <c r="M87" s="37" t="s">
        <v>809</v>
      </c>
      <c r="N87" s="37">
        <v>13300000</v>
      </c>
      <c r="O87" s="130">
        <f t="shared" ref="O87:O118" si="40">IF(N87="","-",L87*N87)</f>
        <v>13300000</v>
      </c>
      <c r="P87" s="132">
        <f t="shared" ref="P87:P118" si="41">IF(O87="-","-",IF(E87&lt;$E$15,0,O87*J87))</f>
        <v>13300000</v>
      </c>
      <c r="Q87" s="92"/>
      <c r="R87" s="92"/>
    </row>
    <row r="88" spans="1:18" x14ac:dyDescent="0.25">
      <c r="A88" s="353">
        <v>2031</v>
      </c>
      <c r="B88" s="353" t="s">
        <v>810</v>
      </c>
      <c r="C88" s="263"/>
      <c r="D88" s="157" t="s">
        <v>828</v>
      </c>
      <c r="E88" s="44">
        <v>48029</v>
      </c>
      <c r="F88" s="127" t="str">
        <f t="shared" si="33"/>
        <v>2030-31</v>
      </c>
      <c r="G88" s="1"/>
      <c r="H88" s="158"/>
      <c r="I88" s="37"/>
      <c r="J88" s="135">
        <v>1</v>
      </c>
      <c r="K88" s="112"/>
      <c r="L88" s="37">
        <v>1</v>
      </c>
      <c r="M88" s="37" t="s">
        <v>809</v>
      </c>
      <c r="N88" s="37">
        <v>8800000</v>
      </c>
      <c r="O88" s="130">
        <f t="shared" si="40"/>
        <v>8800000</v>
      </c>
      <c r="P88" s="132">
        <f t="shared" si="41"/>
        <v>8800000</v>
      </c>
      <c r="Q88" s="92"/>
      <c r="R88" s="92"/>
    </row>
    <row r="89" spans="1:18" x14ac:dyDescent="0.25">
      <c r="A89" s="353">
        <v>2031</v>
      </c>
      <c r="B89" s="353" t="s">
        <v>810</v>
      </c>
      <c r="C89" s="263"/>
      <c r="D89" s="157" t="s">
        <v>829</v>
      </c>
      <c r="E89" s="44">
        <v>48029</v>
      </c>
      <c r="F89" s="127" t="str">
        <f t="shared" si="33"/>
        <v>2030-31</v>
      </c>
      <c r="G89" s="1"/>
      <c r="H89" s="158"/>
      <c r="I89" s="37"/>
      <c r="J89" s="135">
        <v>1</v>
      </c>
      <c r="K89" s="112"/>
      <c r="L89" s="37">
        <v>1</v>
      </c>
      <c r="M89" s="37" t="s">
        <v>809</v>
      </c>
      <c r="N89" s="37">
        <v>28100000</v>
      </c>
      <c r="O89" s="130">
        <f t="shared" si="40"/>
        <v>28100000</v>
      </c>
      <c r="P89" s="132">
        <f t="shared" si="41"/>
        <v>28100000</v>
      </c>
      <c r="Q89" s="92"/>
      <c r="R89" s="92"/>
    </row>
    <row r="90" spans="1:18" x14ac:dyDescent="0.25">
      <c r="A90" s="353">
        <v>2031</v>
      </c>
      <c r="B90" s="353" t="s">
        <v>810</v>
      </c>
      <c r="C90" s="263"/>
      <c r="D90" s="157" t="s">
        <v>830</v>
      </c>
      <c r="E90" s="44">
        <v>48029</v>
      </c>
      <c r="F90" s="127" t="str">
        <f t="shared" si="33"/>
        <v>2030-31</v>
      </c>
      <c r="G90" s="1"/>
      <c r="H90" s="158"/>
      <c r="I90" s="37"/>
      <c r="J90" s="135">
        <v>1</v>
      </c>
      <c r="K90" s="112"/>
      <c r="L90" s="37">
        <v>1</v>
      </c>
      <c r="M90" s="37" t="s">
        <v>809</v>
      </c>
      <c r="N90" s="37">
        <v>7300000</v>
      </c>
      <c r="O90" s="130">
        <f t="shared" si="40"/>
        <v>7300000</v>
      </c>
      <c r="P90" s="132">
        <f t="shared" si="41"/>
        <v>7300000</v>
      </c>
      <c r="Q90" s="92"/>
      <c r="R90" s="92"/>
    </row>
    <row r="91" spans="1:18" x14ac:dyDescent="0.25">
      <c r="A91" s="353">
        <v>2031</v>
      </c>
      <c r="B91" s="353" t="s">
        <v>810</v>
      </c>
      <c r="C91" s="263"/>
      <c r="D91" s="157" t="s">
        <v>831</v>
      </c>
      <c r="E91" s="44">
        <v>48029</v>
      </c>
      <c r="F91" s="127" t="str">
        <f t="shared" si="33"/>
        <v>2030-31</v>
      </c>
      <c r="G91" s="1"/>
      <c r="H91" s="158"/>
      <c r="I91" s="37"/>
      <c r="J91" s="135">
        <v>1</v>
      </c>
      <c r="K91" s="112"/>
      <c r="L91" s="37">
        <v>1</v>
      </c>
      <c r="M91" s="37" t="s">
        <v>809</v>
      </c>
      <c r="N91" s="37">
        <v>22400000</v>
      </c>
      <c r="O91" s="130">
        <f t="shared" si="40"/>
        <v>22400000</v>
      </c>
      <c r="P91" s="132">
        <f t="shared" si="41"/>
        <v>22400000</v>
      </c>
      <c r="Q91" s="92"/>
      <c r="R91" s="92"/>
    </row>
    <row r="92" spans="1:18" x14ac:dyDescent="0.25">
      <c r="A92" s="353">
        <v>2031</v>
      </c>
      <c r="B92" s="353" t="s">
        <v>810</v>
      </c>
      <c r="C92" s="263"/>
      <c r="D92" s="157" t="s">
        <v>832</v>
      </c>
      <c r="E92" s="44">
        <v>48029</v>
      </c>
      <c r="F92" s="127" t="str">
        <f t="shared" si="33"/>
        <v>2030-31</v>
      </c>
      <c r="G92" s="1"/>
      <c r="H92" s="158"/>
      <c r="I92" s="37"/>
      <c r="J92" s="135">
        <v>1</v>
      </c>
      <c r="K92" s="112"/>
      <c r="L92" s="37">
        <v>1</v>
      </c>
      <c r="M92" s="37" t="s">
        <v>809</v>
      </c>
      <c r="N92" s="37">
        <v>17900000</v>
      </c>
      <c r="O92" s="130">
        <f t="shared" si="40"/>
        <v>17900000</v>
      </c>
      <c r="P92" s="132">
        <f t="shared" si="41"/>
        <v>17900000</v>
      </c>
      <c r="Q92" s="92"/>
      <c r="R92" s="92"/>
    </row>
    <row r="93" spans="1:18" x14ac:dyDescent="0.25">
      <c r="C93" s="263"/>
      <c r="D93" s="157"/>
      <c r="E93" s="44"/>
      <c r="F93" s="127" t="str">
        <f t="shared" si="33"/>
        <v>-</v>
      </c>
      <c r="G93" s="1"/>
      <c r="H93" s="158"/>
      <c r="I93" s="37"/>
      <c r="J93" s="135"/>
      <c r="K93" s="112"/>
      <c r="L93" s="37"/>
      <c r="M93" s="37"/>
      <c r="N93" s="37"/>
      <c r="O93" s="130"/>
      <c r="P93" s="132"/>
      <c r="Q93" s="92"/>
      <c r="R93" s="92"/>
    </row>
    <row r="94" spans="1:18" x14ac:dyDescent="0.25">
      <c r="C94" s="263"/>
      <c r="D94" s="157"/>
      <c r="E94" s="44"/>
      <c r="F94" s="127" t="str">
        <f t="shared" si="33"/>
        <v>-</v>
      </c>
      <c r="G94" s="1"/>
      <c r="H94" s="158"/>
      <c r="I94" s="37"/>
      <c r="J94" s="135"/>
      <c r="K94" s="112"/>
      <c r="L94" s="37"/>
      <c r="M94" s="37"/>
      <c r="N94" s="37"/>
      <c r="O94" s="130"/>
      <c r="P94" s="132"/>
      <c r="Q94" s="92"/>
      <c r="R94" s="92"/>
    </row>
    <row r="95" spans="1:18" x14ac:dyDescent="0.25">
      <c r="C95" s="263"/>
      <c r="D95" s="157"/>
      <c r="E95" s="44"/>
      <c r="F95" s="127" t="str">
        <f t="shared" si="33"/>
        <v>-</v>
      </c>
      <c r="G95" s="1"/>
      <c r="H95" s="158"/>
      <c r="I95" s="37"/>
      <c r="J95" s="135"/>
      <c r="K95" s="112"/>
      <c r="L95" s="37"/>
      <c r="M95" s="37"/>
      <c r="N95" s="37"/>
      <c r="O95" s="130" t="str">
        <f t="shared" si="40"/>
        <v>-</v>
      </c>
      <c r="P95" s="132" t="str">
        <f t="shared" si="41"/>
        <v>-</v>
      </c>
      <c r="Q95" s="92"/>
      <c r="R95" s="92"/>
    </row>
    <row r="96" spans="1:18" x14ac:dyDescent="0.25">
      <c r="A96" s="353">
        <v>2026</v>
      </c>
      <c r="B96" s="353" t="s">
        <v>283</v>
      </c>
      <c r="C96" s="263"/>
      <c r="D96" s="157" t="s">
        <v>833</v>
      </c>
      <c r="E96" s="44">
        <v>46203</v>
      </c>
      <c r="F96" s="127" t="str">
        <f t="shared" si="33"/>
        <v>2025-26</v>
      </c>
      <c r="G96" s="1"/>
      <c r="H96" s="158"/>
      <c r="I96" s="37"/>
      <c r="J96" s="135">
        <v>0.8</v>
      </c>
      <c r="K96" s="112"/>
      <c r="L96" s="37">
        <v>1</v>
      </c>
      <c r="M96" s="37" t="s">
        <v>809</v>
      </c>
      <c r="N96" s="37">
        <v>5000000</v>
      </c>
      <c r="O96" s="130">
        <f t="shared" si="40"/>
        <v>5000000</v>
      </c>
      <c r="P96" s="132">
        <f t="shared" si="41"/>
        <v>4000000</v>
      </c>
      <c r="Q96" s="92"/>
      <c r="R96" s="92"/>
    </row>
    <row r="97" spans="1:18" x14ac:dyDescent="0.25">
      <c r="A97" s="353">
        <v>2026</v>
      </c>
      <c r="B97" s="353" t="s">
        <v>283</v>
      </c>
      <c r="C97" s="263"/>
      <c r="D97" s="157" t="s">
        <v>834</v>
      </c>
      <c r="E97" s="44">
        <v>46203</v>
      </c>
      <c r="F97" s="127" t="str">
        <f t="shared" si="33"/>
        <v>2025-26</v>
      </c>
      <c r="G97" s="1"/>
      <c r="H97" s="158"/>
      <c r="I97" s="37"/>
      <c r="J97" s="135">
        <v>1</v>
      </c>
      <c r="K97" s="112"/>
      <c r="L97" s="37">
        <v>1</v>
      </c>
      <c r="M97" s="37" t="s">
        <v>809</v>
      </c>
      <c r="N97" s="37">
        <v>63300000</v>
      </c>
      <c r="O97" s="130">
        <f t="shared" si="40"/>
        <v>63300000</v>
      </c>
      <c r="P97" s="132">
        <f t="shared" si="41"/>
        <v>63300000</v>
      </c>
      <c r="Q97" s="92"/>
      <c r="R97" s="92"/>
    </row>
    <row r="98" spans="1:18" x14ac:dyDescent="0.25">
      <c r="A98" s="353">
        <v>2026</v>
      </c>
      <c r="B98" s="353" t="s">
        <v>283</v>
      </c>
      <c r="C98" s="263"/>
      <c r="D98" s="157" t="s">
        <v>835</v>
      </c>
      <c r="E98" s="44">
        <v>46203</v>
      </c>
      <c r="F98" s="127" t="str">
        <f t="shared" si="33"/>
        <v>2025-26</v>
      </c>
      <c r="G98" s="1"/>
      <c r="H98" s="158"/>
      <c r="I98" s="37"/>
      <c r="J98" s="135">
        <v>1</v>
      </c>
      <c r="K98" s="112"/>
      <c r="L98" s="37">
        <v>1</v>
      </c>
      <c r="M98" s="37" t="s">
        <v>809</v>
      </c>
      <c r="N98" s="37">
        <v>42200000</v>
      </c>
      <c r="O98" s="130">
        <f t="shared" si="40"/>
        <v>42200000</v>
      </c>
      <c r="P98" s="132">
        <f t="shared" si="41"/>
        <v>42200000</v>
      </c>
      <c r="Q98" s="92"/>
      <c r="R98" s="92"/>
    </row>
    <row r="99" spans="1:18" x14ac:dyDescent="0.25">
      <c r="A99" s="353">
        <v>2026</v>
      </c>
      <c r="B99" s="353" t="s">
        <v>283</v>
      </c>
      <c r="C99" s="263"/>
      <c r="D99" s="157" t="s">
        <v>836</v>
      </c>
      <c r="E99" s="44">
        <v>46203</v>
      </c>
      <c r="F99" s="127" t="str">
        <f t="shared" si="33"/>
        <v>2025-26</v>
      </c>
      <c r="G99" s="1"/>
      <c r="H99" s="158"/>
      <c r="I99" s="37"/>
      <c r="J99" s="135">
        <v>1</v>
      </c>
      <c r="K99" s="112"/>
      <c r="L99" s="37">
        <v>1</v>
      </c>
      <c r="M99" s="37" t="s">
        <v>809</v>
      </c>
      <c r="N99" s="37">
        <v>34900000</v>
      </c>
      <c r="O99" s="130">
        <f t="shared" si="40"/>
        <v>34900000</v>
      </c>
      <c r="P99" s="132">
        <f t="shared" si="41"/>
        <v>34900000</v>
      </c>
      <c r="Q99" s="92"/>
      <c r="R99" s="92"/>
    </row>
    <row r="100" spans="1:18" x14ac:dyDescent="0.25">
      <c r="A100" s="353">
        <v>2026</v>
      </c>
      <c r="B100" s="353" t="s">
        <v>283</v>
      </c>
      <c r="C100" s="263"/>
      <c r="D100" s="157" t="s">
        <v>837</v>
      </c>
      <c r="E100" s="44">
        <v>46203</v>
      </c>
      <c r="F100" s="127" t="str">
        <f t="shared" si="33"/>
        <v>2025-26</v>
      </c>
      <c r="G100" s="1"/>
      <c r="H100" s="158"/>
      <c r="I100" s="37"/>
      <c r="J100" s="135">
        <v>1</v>
      </c>
      <c r="K100" s="112"/>
      <c r="L100" s="37">
        <v>1</v>
      </c>
      <c r="M100" s="37" t="s">
        <v>809</v>
      </c>
      <c r="N100" s="37">
        <v>17900000</v>
      </c>
      <c r="O100" s="130">
        <f t="shared" si="40"/>
        <v>17900000</v>
      </c>
      <c r="P100" s="132">
        <f t="shared" si="41"/>
        <v>17900000</v>
      </c>
      <c r="Q100" s="92"/>
      <c r="R100" s="92"/>
    </row>
    <row r="101" spans="1:18" x14ac:dyDescent="0.25">
      <c r="A101" s="353">
        <v>2026</v>
      </c>
      <c r="B101" s="353" t="s">
        <v>283</v>
      </c>
      <c r="C101" s="263"/>
      <c r="D101" s="157" t="s">
        <v>838</v>
      </c>
      <c r="E101" s="44">
        <v>46203</v>
      </c>
      <c r="F101" s="127" t="str">
        <f t="shared" si="33"/>
        <v>2025-26</v>
      </c>
      <c r="G101" s="1"/>
      <c r="H101" s="158"/>
      <c r="I101" s="37"/>
      <c r="J101" s="135">
        <v>1</v>
      </c>
      <c r="K101" s="112"/>
      <c r="L101" s="37">
        <v>1</v>
      </c>
      <c r="M101" s="37" t="s">
        <v>809</v>
      </c>
      <c r="N101" s="37">
        <v>10600000</v>
      </c>
      <c r="O101" s="130">
        <f t="shared" si="40"/>
        <v>10600000</v>
      </c>
      <c r="P101" s="132">
        <f t="shared" si="41"/>
        <v>10600000</v>
      </c>
      <c r="Q101" s="92"/>
      <c r="R101" s="92"/>
    </row>
    <row r="102" spans="1:18" x14ac:dyDescent="0.25">
      <c r="A102" s="353">
        <v>2026</v>
      </c>
      <c r="B102" s="353" t="s">
        <v>283</v>
      </c>
      <c r="C102" s="263"/>
      <c r="D102" s="157" t="s">
        <v>839</v>
      </c>
      <c r="E102" s="44">
        <v>46203</v>
      </c>
      <c r="F102" s="127" t="str">
        <f t="shared" si="33"/>
        <v>2025-26</v>
      </c>
      <c r="G102" s="1"/>
      <c r="H102" s="158"/>
      <c r="I102" s="37"/>
      <c r="J102" s="135">
        <v>1</v>
      </c>
      <c r="K102" s="112"/>
      <c r="L102" s="37">
        <v>1</v>
      </c>
      <c r="M102" s="37" t="s">
        <v>809</v>
      </c>
      <c r="N102" s="37">
        <v>13100000</v>
      </c>
      <c r="O102" s="130">
        <f t="shared" si="40"/>
        <v>13100000</v>
      </c>
      <c r="P102" s="132">
        <f t="shared" si="41"/>
        <v>13100000</v>
      </c>
      <c r="Q102" s="92"/>
      <c r="R102" s="92"/>
    </row>
    <row r="103" spans="1:18" x14ac:dyDescent="0.25">
      <c r="A103" s="353">
        <v>2026</v>
      </c>
      <c r="B103" s="353" t="s">
        <v>283</v>
      </c>
      <c r="C103" s="263"/>
      <c r="D103" s="157" t="s">
        <v>840</v>
      </c>
      <c r="E103" s="44">
        <v>46203</v>
      </c>
      <c r="F103" s="127" t="str">
        <f t="shared" si="33"/>
        <v>2025-26</v>
      </c>
      <c r="G103" s="1"/>
      <c r="H103" s="158"/>
      <c r="I103" s="37"/>
      <c r="J103" s="135">
        <v>1</v>
      </c>
      <c r="K103" s="112"/>
      <c r="L103" s="37">
        <v>1</v>
      </c>
      <c r="M103" s="37" t="s">
        <v>809</v>
      </c>
      <c r="N103" s="37">
        <v>1800000</v>
      </c>
      <c r="O103" s="130">
        <f t="shared" si="40"/>
        <v>1800000</v>
      </c>
      <c r="P103" s="132">
        <f t="shared" si="41"/>
        <v>1800000</v>
      </c>
      <c r="Q103" s="92"/>
      <c r="R103" s="92"/>
    </row>
    <row r="104" spans="1:18" x14ac:dyDescent="0.25">
      <c r="C104" s="263"/>
      <c r="D104" s="157"/>
      <c r="E104" s="44"/>
      <c r="F104" s="127" t="str">
        <f t="shared" si="33"/>
        <v>-</v>
      </c>
      <c r="G104" s="1"/>
      <c r="H104" s="158"/>
      <c r="I104" s="37"/>
      <c r="J104" s="135"/>
      <c r="K104" s="112"/>
      <c r="L104" s="37"/>
      <c r="M104" s="37"/>
      <c r="N104" s="37"/>
      <c r="O104" s="130" t="str">
        <f t="shared" si="40"/>
        <v>-</v>
      </c>
      <c r="P104" s="132" t="str">
        <f t="shared" si="41"/>
        <v>-</v>
      </c>
      <c r="Q104" s="92"/>
      <c r="R104" s="92"/>
    </row>
    <row r="105" spans="1:18" x14ac:dyDescent="0.25">
      <c r="A105" s="353">
        <v>2026</v>
      </c>
      <c r="B105" s="353" t="s">
        <v>284</v>
      </c>
      <c r="C105" s="263"/>
      <c r="D105" s="157" t="s">
        <v>841</v>
      </c>
      <c r="E105" s="44">
        <v>46203</v>
      </c>
      <c r="F105" s="127" t="str">
        <f t="shared" si="33"/>
        <v>2025-26</v>
      </c>
      <c r="G105" s="1"/>
      <c r="H105" s="158"/>
      <c r="I105" s="37"/>
      <c r="J105" s="135">
        <v>1</v>
      </c>
      <c r="K105" s="112"/>
      <c r="L105" s="37">
        <v>1</v>
      </c>
      <c r="M105" s="37" t="s">
        <v>473</v>
      </c>
      <c r="N105" s="37">
        <v>2000000</v>
      </c>
      <c r="O105" s="130">
        <f t="shared" si="40"/>
        <v>2000000</v>
      </c>
      <c r="P105" s="132">
        <f t="shared" si="41"/>
        <v>2000000</v>
      </c>
      <c r="Q105" s="92"/>
      <c r="R105" s="92"/>
    </row>
    <row r="106" spans="1:18" x14ac:dyDescent="0.25">
      <c r="A106" s="353">
        <v>2026</v>
      </c>
      <c r="B106" s="353" t="s">
        <v>284</v>
      </c>
      <c r="C106" s="263"/>
      <c r="D106" s="157" t="s">
        <v>842</v>
      </c>
      <c r="E106" s="44">
        <v>46203</v>
      </c>
      <c r="F106" s="127" t="str">
        <f t="shared" si="33"/>
        <v>2025-26</v>
      </c>
      <c r="G106" s="1"/>
      <c r="H106" s="158"/>
      <c r="I106" s="37"/>
      <c r="J106" s="135">
        <v>1</v>
      </c>
      <c r="K106" s="112"/>
      <c r="L106" s="37">
        <v>1</v>
      </c>
      <c r="M106" s="37" t="s">
        <v>473</v>
      </c>
      <c r="N106" s="37">
        <v>2100000</v>
      </c>
      <c r="O106" s="130">
        <f t="shared" si="40"/>
        <v>2100000</v>
      </c>
      <c r="P106" s="132">
        <f t="shared" si="41"/>
        <v>2100000</v>
      </c>
      <c r="Q106" s="92"/>
      <c r="R106" s="92"/>
    </row>
    <row r="107" spans="1:18" x14ac:dyDescent="0.25">
      <c r="A107" s="353">
        <v>2026</v>
      </c>
      <c r="B107" s="353" t="s">
        <v>284</v>
      </c>
      <c r="C107" s="263"/>
      <c r="D107" s="157" t="s">
        <v>843</v>
      </c>
      <c r="E107" s="44">
        <v>46203</v>
      </c>
      <c r="F107" s="127" t="str">
        <f t="shared" si="33"/>
        <v>2025-26</v>
      </c>
      <c r="G107" s="1"/>
      <c r="H107" s="158"/>
      <c r="I107" s="37"/>
      <c r="J107" s="135">
        <v>1</v>
      </c>
      <c r="K107" s="112"/>
      <c r="L107" s="37">
        <v>1</v>
      </c>
      <c r="M107" s="37" t="s">
        <v>473</v>
      </c>
      <c r="N107" s="37">
        <v>2000000</v>
      </c>
      <c r="O107" s="130">
        <f t="shared" si="40"/>
        <v>2000000</v>
      </c>
      <c r="P107" s="132">
        <f t="shared" si="41"/>
        <v>2000000</v>
      </c>
      <c r="Q107" s="92"/>
      <c r="R107" s="92"/>
    </row>
    <row r="108" spans="1:18" x14ac:dyDescent="0.25">
      <c r="A108" s="353">
        <v>2026</v>
      </c>
      <c r="B108" s="353" t="s">
        <v>284</v>
      </c>
      <c r="C108" s="263"/>
      <c r="D108" s="157" t="s">
        <v>844</v>
      </c>
      <c r="E108" s="44">
        <v>46203</v>
      </c>
      <c r="F108" s="127" t="str">
        <f t="shared" si="33"/>
        <v>2025-26</v>
      </c>
      <c r="G108" s="1"/>
      <c r="H108" s="158"/>
      <c r="I108" s="37"/>
      <c r="J108" s="135">
        <v>1</v>
      </c>
      <c r="K108" s="112"/>
      <c r="L108" s="37">
        <v>1</v>
      </c>
      <c r="M108" s="37" t="s">
        <v>473</v>
      </c>
      <c r="N108" s="37">
        <v>1300000</v>
      </c>
      <c r="O108" s="130">
        <f t="shared" si="40"/>
        <v>1300000</v>
      </c>
      <c r="P108" s="132">
        <f t="shared" si="41"/>
        <v>1300000</v>
      </c>
      <c r="Q108" s="92"/>
      <c r="R108" s="92"/>
    </row>
    <row r="109" spans="1:18" x14ac:dyDescent="0.25">
      <c r="A109" s="353">
        <v>2026</v>
      </c>
      <c r="B109" s="353" t="s">
        <v>284</v>
      </c>
      <c r="C109" s="263"/>
      <c r="D109" s="157" t="s">
        <v>845</v>
      </c>
      <c r="E109" s="44">
        <v>46203</v>
      </c>
      <c r="F109" s="127" t="str">
        <f t="shared" si="33"/>
        <v>2025-26</v>
      </c>
      <c r="G109" s="1"/>
      <c r="H109" s="158"/>
      <c r="I109" s="37"/>
      <c r="J109" s="135">
        <v>0.8</v>
      </c>
      <c r="K109" s="112"/>
      <c r="L109" s="37">
        <v>1</v>
      </c>
      <c r="M109" s="37" t="s">
        <v>473</v>
      </c>
      <c r="N109" s="37">
        <v>73200000</v>
      </c>
      <c r="O109" s="130">
        <f t="shared" si="40"/>
        <v>73200000</v>
      </c>
      <c r="P109" s="132">
        <f t="shared" si="41"/>
        <v>58560000</v>
      </c>
      <c r="Q109" s="92"/>
      <c r="R109" s="92"/>
    </row>
    <row r="110" spans="1:18" x14ac:dyDescent="0.25">
      <c r="A110" s="353">
        <v>2026</v>
      </c>
      <c r="B110" s="353" t="s">
        <v>284</v>
      </c>
      <c r="C110" s="263"/>
      <c r="D110" s="157" t="s">
        <v>846</v>
      </c>
      <c r="E110" s="44">
        <v>46203</v>
      </c>
      <c r="F110" s="127" t="str">
        <f t="shared" si="33"/>
        <v>2025-26</v>
      </c>
      <c r="G110" s="1"/>
      <c r="H110" s="158"/>
      <c r="I110" s="37"/>
      <c r="J110" s="135">
        <v>1</v>
      </c>
      <c r="K110" s="112"/>
      <c r="L110" s="37">
        <v>1</v>
      </c>
      <c r="M110" s="37" t="s">
        <v>473</v>
      </c>
      <c r="N110" s="37">
        <v>3900000</v>
      </c>
      <c r="O110" s="130">
        <f t="shared" si="40"/>
        <v>3900000</v>
      </c>
      <c r="P110" s="132">
        <f t="shared" si="41"/>
        <v>3900000</v>
      </c>
      <c r="Q110" s="92"/>
      <c r="R110" s="92"/>
    </row>
    <row r="111" spans="1:18" x14ac:dyDescent="0.25">
      <c r="A111" s="353">
        <v>2026</v>
      </c>
      <c r="B111" s="353" t="s">
        <v>284</v>
      </c>
      <c r="C111" s="263"/>
      <c r="D111" s="157" t="s">
        <v>847</v>
      </c>
      <c r="E111" s="44">
        <v>46203</v>
      </c>
      <c r="F111" s="127" t="str">
        <f t="shared" si="33"/>
        <v>2025-26</v>
      </c>
      <c r="G111" s="1"/>
      <c r="H111" s="158"/>
      <c r="I111" s="37"/>
      <c r="J111" s="135">
        <v>1</v>
      </c>
      <c r="K111" s="112"/>
      <c r="L111" s="37">
        <v>1</v>
      </c>
      <c r="M111" s="37" t="s">
        <v>473</v>
      </c>
      <c r="N111" s="37">
        <v>3900000</v>
      </c>
      <c r="O111" s="130">
        <f t="shared" si="40"/>
        <v>3900000</v>
      </c>
      <c r="P111" s="132">
        <f t="shared" si="41"/>
        <v>3900000</v>
      </c>
      <c r="Q111" s="92"/>
      <c r="R111" s="92"/>
    </row>
    <row r="112" spans="1:18" x14ac:dyDescent="0.25">
      <c r="A112" s="353">
        <v>2026</v>
      </c>
      <c r="B112" s="353" t="s">
        <v>284</v>
      </c>
      <c r="C112" s="263"/>
      <c r="D112" s="157" t="s">
        <v>848</v>
      </c>
      <c r="E112" s="44">
        <v>46203</v>
      </c>
      <c r="F112" s="127" t="str">
        <f t="shared" si="33"/>
        <v>2025-26</v>
      </c>
      <c r="G112" s="1"/>
      <c r="H112" s="158"/>
      <c r="I112" s="37"/>
      <c r="J112" s="135">
        <v>1</v>
      </c>
      <c r="K112" s="112"/>
      <c r="L112" s="37">
        <v>1</v>
      </c>
      <c r="M112" s="37" t="s">
        <v>473</v>
      </c>
      <c r="N112" s="37">
        <v>9600000</v>
      </c>
      <c r="O112" s="130">
        <f t="shared" si="40"/>
        <v>9600000</v>
      </c>
      <c r="P112" s="132">
        <f t="shared" si="41"/>
        <v>9600000</v>
      </c>
      <c r="Q112" s="92"/>
      <c r="R112" s="92"/>
    </row>
    <row r="113" spans="1:18" x14ac:dyDescent="0.25">
      <c r="A113" s="353">
        <v>2026</v>
      </c>
      <c r="B113" s="353" t="s">
        <v>284</v>
      </c>
      <c r="C113" s="263"/>
      <c r="D113" s="157" t="s">
        <v>849</v>
      </c>
      <c r="E113" s="44">
        <v>46203</v>
      </c>
      <c r="F113" s="127" t="str">
        <f t="shared" si="33"/>
        <v>2025-26</v>
      </c>
      <c r="G113" s="1"/>
      <c r="H113" s="158"/>
      <c r="I113" s="37"/>
      <c r="J113" s="135">
        <v>1</v>
      </c>
      <c r="K113" s="112"/>
      <c r="L113" s="37">
        <v>1</v>
      </c>
      <c r="M113" s="37" t="s">
        <v>473</v>
      </c>
      <c r="N113" s="37">
        <v>11600000</v>
      </c>
      <c r="O113" s="130">
        <f t="shared" si="40"/>
        <v>11600000</v>
      </c>
      <c r="P113" s="132">
        <f t="shared" si="41"/>
        <v>11600000</v>
      </c>
      <c r="Q113" s="92"/>
      <c r="R113" s="92"/>
    </row>
    <row r="114" spans="1:18" x14ac:dyDescent="0.25">
      <c r="A114" s="353">
        <v>2026</v>
      </c>
      <c r="B114" s="353" t="s">
        <v>284</v>
      </c>
      <c r="C114" s="263"/>
      <c r="D114" s="157" t="s">
        <v>850</v>
      </c>
      <c r="E114" s="44">
        <v>46203</v>
      </c>
      <c r="F114" s="127" t="str">
        <f t="shared" si="33"/>
        <v>2025-26</v>
      </c>
      <c r="G114" s="1"/>
      <c r="H114" s="158"/>
      <c r="I114" s="37"/>
      <c r="J114" s="135">
        <v>1</v>
      </c>
      <c r="K114" s="112"/>
      <c r="L114" s="37">
        <v>1</v>
      </c>
      <c r="M114" s="37" t="s">
        <v>473</v>
      </c>
      <c r="N114" s="37">
        <v>7000000</v>
      </c>
      <c r="O114" s="130">
        <f t="shared" si="40"/>
        <v>7000000</v>
      </c>
      <c r="P114" s="132">
        <f t="shared" si="41"/>
        <v>7000000</v>
      </c>
      <c r="Q114" s="92"/>
      <c r="R114" s="92"/>
    </row>
    <row r="115" spans="1:18" x14ac:dyDescent="0.25">
      <c r="A115" s="353">
        <v>2026</v>
      </c>
      <c r="B115" s="353" t="s">
        <v>284</v>
      </c>
      <c r="C115" s="263"/>
      <c r="D115" s="157" t="s">
        <v>851</v>
      </c>
      <c r="E115" s="44">
        <v>46203</v>
      </c>
      <c r="F115" s="127" t="str">
        <f t="shared" si="33"/>
        <v>2025-26</v>
      </c>
      <c r="G115" s="1"/>
      <c r="H115" s="158"/>
      <c r="I115" s="37"/>
      <c r="J115" s="135">
        <v>1</v>
      </c>
      <c r="K115" s="112"/>
      <c r="L115" s="37">
        <v>1</v>
      </c>
      <c r="M115" s="37" t="s">
        <v>473</v>
      </c>
      <c r="N115" s="37">
        <v>41900000</v>
      </c>
      <c r="O115" s="130">
        <f t="shared" si="40"/>
        <v>41900000</v>
      </c>
      <c r="P115" s="132">
        <f t="shared" si="41"/>
        <v>41900000</v>
      </c>
      <c r="Q115" s="92"/>
      <c r="R115" s="92"/>
    </row>
    <row r="116" spans="1:18" x14ac:dyDescent="0.25">
      <c r="A116" s="353">
        <v>2026</v>
      </c>
      <c r="B116" s="353" t="s">
        <v>284</v>
      </c>
      <c r="C116" s="263"/>
      <c r="D116" s="157" t="s">
        <v>852</v>
      </c>
      <c r="E116" s="44">
        <v>46203</v>
      </c>
      <c r="F116" s="127" t="str">
        <f t="shared" si="33"/>
        <v>2025-26</v>
      </c>
      <c r="G116" s="1"/>
      <c r="H116" s="158"/>
      <c r="I116" s="37"/>
      <c r="J116" s="135">
        <v>1</v>
      </c>
      <c r="K116" s="112"/>
      <c r="L116" s="37">
        <v>1</v>
      </c>
      <c r="M116" s="37" t="s">
        <v>473</v>
      </c>
      <c r="N116" s="37">
        <v>41300000</v>
      </c>
      <c r="O116" s="130">
        <f t="shared" si="40"/>
        <v>41300000</v>
      </c>
      <c r="P116" s="132">
        <f t="shared" si="41"/>
        <v>41300000</v>
      </c>
      <c r="Q116" s="92"/>
      <c r="R116" s="92"/>
    </row>
    <row r="117" spans="1:18" x14ac:dyDescent="0.25">
      <c r="C117" s="263"/>
      <c r="D117" s="157"/>
      <c r="E117" s="44"/>
      <c r="F117" s="127" t="str">
        <f t="shared" si="33"/>
        <v>-</v>
      </c>
      <c r="G117" s="1"/>
      <c r="H117" s="158"/>
      <c r="I117" s="37"/>
      <c r="J117" s="135"/>
      <c r="K117" s="112"/>
      <c r="L117" s="37"/>
      <c r="M117" s="37"/>
      <c r="N117" s="37"/>
      <c r="O117" s="130" t="str">
        <f t="shared" si="40"/>
        <v>-</v>
      </c>
      <c r="P117" s="132" t="str">
        <f t="shared" si="41"/>
        <v>-</v>
      </c>
      <c r="Q117" s="92"/>
      <c r="R117" s="92"/>
    </row>
    <row r="118" spans="1:18" x14ac:dyDescent="0.25">
      <c r="A118" s="353">
        <v>2025</v>
      </c>
      <c r="B118" s="353" t="s">
        <v>478</v>
      </c>
      <c r="C118" s="263" t="s">
        <v>853</v>
      </c>
      <c r="D118" s="157" t="s">
        <v>854</v>
      </c>
      <c r="E118" s="44">
        <v>45838</v>
      </c>
      <c r="F118" s="127" t="str">
        <f t="shared" si="33"/>
        <v>2024-25</v>
      </c>
      <c r="G118" s="1"/>
      <c r="H118" s="158"/>
      <c r="I118" s="37"/>
      <c r="J118" s="135">
        <v>1</v>
      </c>
      <c r="K118" s="112"/>
      <c r="L118" s="37">
        <v>1</v>
      </c>
      <c r="M118" s="37" t="s">
        <v>485</v>
      </c>
      <c r="N118" s="37">
        <v>232044923.74618614</v>
      </c>
      <c r="O118" s="130">
        <f t="shared" si="40"/>
        <v>232044923.74618614</v>
      </c>
      <c r="P118" s="132">
        <f t="shared" si="41"/>
        <v>232044923.74618614</v>
      </c>
      <c r="Q118" s="92"/>
      <c r="R118" s="92"/>
    </row>
    <row r="119" spans="1:18" x14ac:dyDescent="0.25">
      <c r="C119" s="263"/>
      <c r="D119" s="157"/>
      <c r="E119" s="44"/>
      <c r="F119" s="127"/>
      <c r="G119" s="1"/>
      <c r="H119" s="158"/>
      <c r="I119" s="37"/>
      <c r="J119" s="135"/>
      <c r="K119" s="112"/>
      <c r="L119" s="37"/>
      <c r="M119" s="37"/>
      <c r="N119" s="37"/>
      <c r="O119" s="130"/>
      <c r="P119" s="132"/>
      <c r="Q119" s="92"/>
      <c r="R119" s="92"/>
    </row>
    <row r="120" spans="1:18" ht="34.5" x14ac:dyDescent="0.25">
      <c r="A120" s="353">
        <v>2022</v>
      </c>
      <c r="B120" s="353" t="s">
        <v>282</v>
      </c>
      <c r="C120" s="351"/>
      <c r="D120" s="349" t="s">
        <v>860</v>
      </c>
      <c r="E120" s="344">
        <v>44742</v>
      </c>
      <c r="F120" s="346" t="str">
        <f t="shared" si="33"/>
        <v>2021-22</v>
      </c>
      <c r="G120" s="342"/>
      <c r="H120" s="350"/>
      <c r="I120" s="343"/>
      <c r="J120" s="348">
        <v>1</v>
      </c>
      <c r="K120" s="345"/>
      <c r="L120" s="343">
        <v>1</v>
      </c>
      <c r="M120" s="343" t="s">
        <v>496</v>
      </c>
      <c r="N120" s="343">
        <v>10714247</v>
      </c>
      <c r="O120" s="347">
        <f t="shared" ref="O120:O124" si="42">IF(N120="","-",L120*N120)</f>
        <v>10714247</v>
      </c>
      <c r="P120" s="132">
        <f t="shared" ref="P120:P124" si="43">IF(O120="-","-",IF(E120&lt;$E$15,0,O120*J120))</f>
        <v>10714247</v>
      </c>
      <c r="Q120" s="92"/>
      <c r="R120" s="92"/>
    </row>
    <row r="121" spans="1:18" ht="23" x14ac:dyDescent="0.25">
      <c r="A121" s="353">
        <v>2022</v>
      </c>
      <c r="B121" s="353" t="s">
        <v>282</v>
      </c>
      <c r="C121" s="351"/>
      <c r="D121" s="349" t="s">
        <v>861</v>
      </c>
      <c r="E121" s="344">
        <v>44742</v>
      </c>
      <c r="F121" s="346" t="str">
        <f t="shared" ref="F121:F124" si="44">IF(E121="","-",IF(E121&lt;$E$15,"ERROR - date outside of range",IF(MONTH(E121)&gt;=7,YEAR(E121)&amp;"-"&amp;RIGHT(YEAR(E121),2)+1,YEAR(E121)-1&amp;"-"&amp;RIGHT(YEAR(E121),2))))</f>
        <v>2021-22</v>
      </c>
      <c r="G121" s="342"/>
      <c r="H121" s="350"/>
      <c r="I121" s="343"/>
      <c r="J121" s="348">
        <v>1</v>
      </c>
      <c r="K121" s="345"/>
      <c r="L121" s="343">
        <v>1</v>
      </c>
      <c r="M121" s="343" t="s">
        <v>496</v>
      </c>
      <c r="N121" s="343">
        <v>3387452.6010951004</v>
      </c>
      <c r="O121" s="347">
        <f t="shared" si="42"/>
        <v>3387452.6010951004</v>
      </c>
      <c r="P121" s="132">
        <f t="shared" si="43"/>
        <v>3387452.6010951004</v>
      </c>
      <c r="Q121" s="92"/>
      <c r="R121" s="92"/>
    </row>
    <row r="122" spans="1:18" ht="34.5" x14ac:dyDescent="0.25">
      <c r="A122" s="353">
        <v>2022</v>
      </c>
      <c r="B122" s="353" t="s">
        <v>282</v>
      </c>
      <c r="C122" s="351"/>
      <c r="D122" s="349" t="s">
        <v>862</v>
      </c>
      <c r="E122" s="344">
        <v>44742</v>
      </c>
      <c r="F122" s="346" t="str">
        <f t="shared" si="44"/>
        <v>2021-22</v>
      </c>
      <c r="G122" s="342"/>
      <c r="H122" s="350"/>
      <c r="I122" s="343"/>
      <c r="J122" s="348">
        <v>1</v>
      </c>
      <c r="K122" s="345"/>
      <c r="L122" s="343">
        <v>1</v>
      </c>
      <c r="M122" s="343" t="s">
        <v>496</v>
      </c>
      <c r="N122" s="343">
        <v>2419609.0007822155</v>
      </c>
      <c r="O122" s="347">
        <f t="shared" si="42"/>
        <v>2419609.0007822155</v>
      </c>
      <c r="P122" s="132">
        <f t="shared" si="43"/>
        <v>2419609.0007822155</v>
      </c>
      <c r="Q122" s="92"/>
      <c r="R122" s="92"/>
    </row>
    <row r="123" spans="1:18" ht="34.5" x14ac:dyDescent="0.25">
      <c r="A123" s="353">
        <v>2022</v>
      </c>
      <c r="B123" s="353" t="s">
        <v>282</v>
      </c>
      <c r="C123" s="351"/>
      <c r="D123" s="349" t="s">
        <v>863</v>
      </c>
      <c r="E123" s="344">
        <v>44742</v>
      </c>
      <c r="F123" s="346" t="str">
        <f t="shared" si="44"/>
        <v>2021-22</v>
      </c>
      <c r="G123" s="342"/>
      <c r="H123" s="350"/>
      <c r="I123" s="343"/>
      <c r="J123" s="348">
        <v>1</v>
      </c>
      <c r="K123" s="345"/>
      <c r="L123" s="343">
        <v>1</v>
      </c>
      <c r="M123" s="343" t="s">
        <v>496</v>
      </c>
      <c r="N123" s="343">
        <v>8640537.9444387127</v>
      </c>
      <c r="O123" s="347">
        <f t="shared" si="42"/>
        <v>8640537.9444387127</v>
      </c>
      <c r="P123" s="132">
        <f t="shared" si="43"/>
        <v>8640537.9444387127</v>
      </c>
      <c r="Q123" s="92"/>
      <c r="R123" s="92"/>
    </row>
    <row r="124" spans="1:18" ht="34.5" x14ac:dyDescent="0.25">
      <c r="A124" s="353">
        <v>2022</v>
      </c>
      <c r="B124" s="353" t="s">
        <v>282</v>
      </c>
      <c r="C124" s="351"/>
      <c r="D124" s="349" t="s">
        <v>864</v>
      </c>
      <c r="E124" s="344">
        <v>44742</v>
      </c>
      <c r="F124" s="346" t="str">
        <f t="shared" si="44"/>
        <v>2021-22</v>
      </c>
      <c r="G124" s="342"/>
      <c r="H124" s="350"/>
      <c r="I124" s="343"/>
      <c r="J124" s="348">
        <v>1</v>
      </c>
      <c r="K124" s="345"/>
      <c r="L124" s="343">
        <v>1</v>
      </c>
      <c r="M124" s="343" t="s">
        <v>496</v>
      </c>
      <c r="N124" s="343">
        <v>7141810.4536839714</v>
      </c>
      <c r="O124" s="347">
        <f t="shared" si="42"/>
        <v>7141810.4536839714</v>
      </c>
      <c r="P124" s="132">
        <f t="shared" si="43"/>
        <v>7141810.4536839714</v>
      </c>
      <c r="Q124" s="92"/>
      <c r="R124" s="92"/>
    </row>
    <row r="125" spans="1:18" x14ac:dyDescent="0.25">
      <c r="C125" s="37"/>
      <c r="D125" s="157"/>
      <c r="E125" s="44"/>
      <c r="F125" s="127"/>
      <c r="G125" s="1"/>
      <c r="H125" s="158"/>
      <c r="I125" s="37"/>
      <c r="J125" s="135"/>
      <c r="K125" s="112"/>
      <c r="L125" s="37"/>
      <c r="M125" s="37"/>
      <c r="N125" s="37"/>
      <c r="O125" s="130"/>
      <c r="P125" s="132"/>
      <c r="Q125" s="92"/>
      <c r="R125" s="92"/>
    </row>
    <row r="126" spans="1:18" x14ac:dyDescent="0.25">
      <c r="C126" s="37"/>
      <c r="D126" s="157"/>
      <c r="E126" s="44"/>
      <c r="F126" s="127"/>
      <c r="G126" s="1"/>
      <c r="H126" s="158"/>
      <c r="I126" s="37"/>
      <c r="J126" s="135"/>
      <c r="K126" s="112"/>
      <c r="L126" s="37"/>
      <c r="M126" s="37"/>
      <c r="N126" s="37"/>
      <c r="O126" s="130"/>
      <c r="P126" s="132"/>
      <c r="Q126" s="92"/>
      <c r="R126" s="92"/>
    </row>
    <row r="127" spans="1:18" x14ac:dyDescent="0.25">
      <c r="C127" s="37"/>
      <c r="D127" s="157"/>
      <c r="E127" s="44"/>
      <c r="F127" s="127"/>
      <c r="G127" s="1"/>
      <c r="H127" s="158"/>
      <c r="I127" s="37"/>
      <c r="J127" s="135"/>
      <c r="K127" s="112"/>
      <c r="L127" s="37"/>
      <c r="M127" s="37"/>
      <c r="N127" s="37"/>
      <c r="O127" s="130"/>
      <c r="P127" s="132"/>
      <c r="Q127" s="92"/>
      <c r="R127" s="92"/>
    </row>
    <row r="128" spans="1:18" x14ac:dyDescent="0.25">
      <c r="C128" s="37"/>
      <c r="D128" s="157"/>
      <c r="E128" s="44"/>
      <c r="F128" s="127"/>
      <c r="G128" s="1"/>
      <c r="H128" s="158"/>
      <c r="I128" s="37"/>
      <c r="J128" s="135"/>
      <c r="K128" s="112"/>
      <c r="L128" s="37"/>
      <c r="M128" s="37"/>
      <c r="N128" s="37"/>
      <c r="O128" s="130"/>
      <c r="P128" s="132"/>
      <c r="Q128" s="92"/>
      <c r="R128" s="92"/>
    </row>
    <row r="129" spans="3:18" x14ac:dyDescent="0.25">
      <c r="C129" s="37"/>
      <c r="D129" s="157"/>
      <c r="E129" s="44"/>
      <c r="F129" s="127"/>
      <c r="G129" s="1"/>
      <c r="H129" s="158"/>
      <c r="I129" s="37"/>
      <c r="J129" s="135"/>
      <c r="K129" s="112"/>
      <c r="L129" s="37"/>
      <c r="M129" s="37"/>
      <c r="N129" s="37"/>
      <c r="O129" s="130"/>
      <c r="P129" s="132"/>
      <c r="Q129" s="92"/>
      <c r="R129" s="92"/>
    </row>
    <row r="130" spans="3:18" x14ac:dyDescent="0.25">
      <c r="C130" s="37"/>
      <c r="D130" s="157"/>
      <c r="E130" s="44"/>
      <c r="F130" s="127"/>
      <c r="G130" s="1"/>
      <c r="H130" s="158"/>
      <c r="I130" s="37"/>
      <c r="J130" s="135"/>
      <c r="K130" s="112"/>
      <c r="L130" s="37"/>
      <c r="M130" s="37"/>
      <c r="N130" s="37"/>
      <c r="O130" s="130"/>
      <c r="P130" s="132"/>
      <c r="Q130" s="92"/>
      <c r="R130" s="92"/>
    </row>
    <row r="131" spans="3:18" x14ac:dyDescent="0.25">
      <c r="C131" s="37"/>
      <c r="D131" s="157"/>
      <c r="E131" s="44"/>
      <c r="F131" s="127"/>
      <c r="G131" s="1"/>
      <c r="H131" s="158"/>
      <c r="I131" s="37"/>
      <c r="J131" s="135"/>
      <c r="K131" s="112"/>
      <c r="L131" s="37"/>
      <c r="M131" s="37"/>
      <c r="N131" s="37"/>
      <c r="O131" s="130"/>
      <c r="P131" s="132"/>
      <c r="Q131" s="92"/>
      <c r="R131" s="92"/>
    </row>
    <row r="132" spans="3:18" x14ac:dyDescent="0.25">
      <c r="C132" s="37"/>
      <c r="D132" s="157"/>
      <c r="E132" s="44"/>
      <c r="F132" s="127"/>
      <c r="G132" s="1"/>
      <c r="H132" s="158"/>
      <c r="I132" s="37"/>
      <c r="J132" s="135"/>
      <c r="K132" s="112"/>
      <c r="L132" s="37"/>
      <c r="M132" s="37"/>
      <c r="N132" s="37"/>
      <c r="O132" s="130"/>
      <c r="P132" s="132"/>
      <c r="Q132" s="92"/>
      <c r="R132" s="92"/>
    </row>
    <row r="133" spans="3:18" x14ac:dyDescent="0.25">
      <c r="C133" s="37"/>
      <c r="D133" s="157"/>
      <c r="E133" s="44"/>
      <c r="F133" s="127"/>
      <c r="G133" s="1"/>
      <c r="H133" s="158"/>
      <c r="I133" s="37"/>
      <c r="J133" s="135"/>
      <c r="K133" s="112"/>
      <c r="L133" s="37"/>
      <c r="M133" s="37"/>
      <c r="N133" s="37"/>
      <c r="O133" s="130"/>
      <c r="P133" s="132"/>
      <c r="Q133" s="92"/>
      <c r="R133" s="92"/>
    </row>
    <row r="134" spans="3:18" x14ac:dyDescent="0.25">
      <c r="C134" s="37"/>
      <c r="D134" s="157"/>
      <c r="E134" s="44"/>
      <c r="F134" s="127"/>
      <c r="G134" s="1"/>
      <c r="H134" s="158"/>
      <c r="I134" s="37"/>
      <c r="J134" s="135"/>
      <c r="K134" s="112"/>
      <c r="L134" s="37"/>
      <c r="M134" s="37"/>
      <c r="N134" s="37"/>
      <c r="O134" s="130"/>
      <c r="P134" s="132"/>
      <c r="Q134" s="92"/>
      <c r="R134" s="92"/>
    </row>
    <row r="135" spans="3:18" x14ac:dyDescent="0.25">
      <c r="C135" s="37"/>
      <c r="D135" s="157"/>
      <c r="E135" s="44"/>
      <c r="F135" s="127"/>
      <c r="G135" s="1"/>
      <c r="H135" s="158"/>
      <c r="I135" s="37"/>
      <c r="J135" s="135"/>
      <c r="K135" s="112"/>
      <c r="L135" s="37"/>
      <c r="M135" s="37"/>
      <c r="N135" s="37"/>
      <c r="O135" s="130"/>
      <c r="P135" s="132"/>
      <c r="Q135" s="92"/>
      <c r="R135" s="92"/>
    </row>
    <row r="136" spans="3:18" x14ac:dyDescent="0.25">
      <c r="C136" s="37"/>
      <c r="D136" s="157"/>
      <c r="E136" s="44"/>
      <c r="F136" s="127"/>
      <c r="G136" s="1"/>
      <c r="H136" s="158"/>
      <c r="I136" s="37"/>
      <c r="J136" s="135"/>
      <c r="K136" s="112"/>
      <c r="L136" s="37"/>
      <c r="M136" s="37"/>
      <c r="N136" s="37"/>
      <c r="O136" s="130"/>
      <c r="P136" s="132"/>
      <c r="Q136" s="92"/>
      <c r="R136" s="92"/>
    </row>
    <row r="137" spans="3:18" x14ac:dyDescent="0.25">
      <c r="C137" s="37"/>
      <c r="D137" s="157"/>
      <c r="E137" s="44"/>
      <c r="F137" s="127"/>
      <c r="G137" s="1"/>
      <c r="H137" s="158"/>
      <c r="I137" s="37"/>
      <c r="J137" s="135"/>
      <c r="K137" s="112"/>
      <c r="L137" s="37"/>
      <c r="M137" s="37"/>
      <c r="N137" s="37"/>
      <c r="O137" s="130"/>
      <c r="P137" s="132"/>
      <c r="Q137" s="92"/>
      <c r="R137" s="92"/>
    </row>
    <row r="138" spans="3:18" x14ac:dyDescent="0.25">
      <c r="C138" s="37"/>
      <c r="D138" s="157"/>
      <c r="E138" s="44"/>
      <c r="F138" s="127"/>
      <c r="G138" s="1"/>
      <c r="H138" s="158"/>
      <c r="I138" s="37"/>
      <c r="J138" s="135"/>
      <c r="K138" s="112"/>
      <c r="L138" s="37"/>
      <c r="M138" s="37"/>
      <c r="N138" s="37"/>
      <c r="O138" s="130"/>
      <c r="P138" s="132"/>
      <c r="Q138" s="92"/>
      <c r="R138" s="92"/>
    </row>
    <row r="139" spans="3:18" x14ac:dyDescent="0.25">
      <c r="C139" s="37"/>
      <c r="D139" s="157"/>
      <c r="E139" s="44"/>
      <c r="F139" s="127"/>
      <c r="G139" s="1"/>
      <c r="H139" s="158"/>
      <c r="I139" s="37"/>
      <c r="J139" s="135"/>
      <c r="K139" s="112"/>
      <c r="L139" s="37"/>
      <c r="M139" s="37"/>
      <c r="N139" s="37"/>
      <c r="O139" s="130"/>
      <c r="P139" s="132"/>
      <c r="Q139" s="92"/>
      <c r="R139" s="92"/>
    </row>
    <row r="140" spans="3:18" x14ac:dyDescent="0.25">
      <c r="C140" s="37"/>
      <c r="D140" s="157"/>
      <c r="E140" s="44"/>
      <c r="F140" s="127"/>
      <c r="G140" s="1"/>
      <c r="H140" s="158"/>
      <c r="I140" s="37"/>
      <c r="J140" s="135"/>
      <c r="K140" s="112"/>
      <c r="L140" s="37"/>
      <c r="M140" s="37"/>
      <c r="N140" s="37"/>
      <c r="O140" s="130"/>
      <c r="P140" s="132"/>
      <c r="Q140" s="92"/>
      <c r="R140" s="92"/>
    </row>
    <row r="141" spans="3:18" x14ac:dyDescent="0.25">
      <c r="C141" s="37"/>
      <c r="D141" s="157"/>
      <c r="E141" s="44"/>
      <c r="F141" s="127"/>
      <c r="G141" s="1"/>
      <c r="H141" s="158"/>
      <c r="I141" s="37"/>
      <c r="J141" s="135"/>
      <c r="K141" s="112"/>
      <c r="L141" s="37"/>
      <c r="M141" s="37"/>
      <c r="N141" s="37"/>
      <c r="O141" s="130"/>
      <c r="P141" s="132"/>
      <c r="Q141" s="92"/>
      <c r="R141" s="92"/>
    </row>
    <row r="142" spans="3:18" x14ac:dyDescent="0.25">
      <c r="C142" s="37"/>
      <c r="D142" s="157"/>
      <c r="E142" s="44"/>
      <c r="F142" s="127"/>
      <c r="G142" s="1"/>
      <c r="H142" s="158"/>
      <c r="I142" s="37"/>
      <c r="J142" s="135"/>
      <c r="K142" s="112"/>
      <c r="L142" s="37"/>
      <c r="M142" s="37"/>
      <c r="N142" s="37"/>
      <c r="O142" s="130"/>
      <c r="P142" s="132"/>
      <c r="Q142" s="92"/>
      <c r="R142" s="92"/>
    </row>
    <row r="143" spans="3:18" x14ac:dyDescent="0.25">
      <c r="C143" s="37"/>
      <c r="D143" s="157"/>
      <c r="E143" s="44"/>
      <c r="F143" s="127"/>
      <c r="G143" s="1"/>
      <c r="H143" s="158"/>
      <c r="I143" s="37"/>
      <c r="J143" s="135"/>
      <c r="K143" s="112"/>
      <c r="L143" s="37"/>
      <c r="M143" s="37"/>
      <c r="N143" s="37"/>
      <c r="O143" s="130"/>
      <c r="P143" s="132"/>
      <c r="Q143" s="92"/>
      <c r="R143" s="92"/>
    </row>
    <row r="144" spans="3:18" x14ac:dyDescent="0.25">
      <c r="C144" s="37"/>
      <c r="D144" s="157"/>
      <c r="E144" s="44"/>
      <c r="F144" s="127"/>
      <c r="G144" s="1"/>
      <c r="H144" s="158"/>
      <c r="I144" s="37"/>
      <c r="J144" s="135"/>
      <c r="K144" s="112"/>
      <c r="L144" s="37"/>
      <c r="M144" s="37"/>
      <c r="N144" s="37"/>
      <c r="O144" s="130"/>
      <c r="P144" s="132"/>
      <c r="Q144" s="92"/>
      <c r="R144" s="92"/>
    </row>
    <row r="145" spans="3:18" x14ac:dyDescent="0.25">
      <c r="C145" s="37"/>
      <c r="D145" s="157"/>
      <c r="E145" s="44"/>
      <c r="F145" s="127"/>
      <c r="G145" s="1"/>
      <c r="H145" s="158"/>
      <c r="I145" s="37"/>
      <c r="J145" s="135"/>
      <c r="K145" s="112"/>
      <c r="L145" s="37"/>
      <c r="M145" s="37"/>
      <c r="N145" s="37"/>
      <c r="O145" s="130"/>
      <c r="P145" s="132"/>
      <c r="Q145" s="92"/>
      <c r="R145" s="92"/>
    </row>
    <row r="146" spans="3:18" x14ac:dyDescent="0.25">
      <c r="C146" s="37"/>
      <c r="D146" s="157"/>
      <c r="E146" s="44"/>
      <c r="F146" s="127"/>
      <c r="G146" s="1"/>
      <c r="H146" s="158"/>
      <c r="I146" s="37"/>
      <c r="J146" s="135"/>
      <c r="K146" s="112"/>
      <c r="L146" s="37"/>
      <c r="M146" s="37"/>
      <c r="N146" s="37"/>
      <c r="O146" s="130"/>
      <c r="P146" s="132"/>
      <c r="Q146" s="92"/>
      <c r="R146" s="92"/>
    </row>
    <row r="147" spans="3:18" x14ac:dyDescent="0.25">
      <c r="C147" s="37"/>
      <c r="D147" s="157"/>
      <c r="E147" s="44"/>
      <c r="F147" s="127"/>
      <c r="G147" s="1"/>
      <c r="H147" s="158"/>
      <c r="I147" s="37"/>
      <c r="J147" s="135"/>
      <c r="K147" s="112"/>
      <c r="L147" s="37"/>
      <c r="M147" s="37"/>
      <c r="N147" s="37"/>
      <c r="O147" s="130"/>
      <c r="P147" s="132"/>
      <c r="Q147" s="92"/>
      <c r="R147" s="92"/>
    </row>
    <row r="148" spans="3:18" x14ac:dyDescent="0.25">
      <c r="C148" s="37"/>
      <c r="D148" s="157"/>
      <c r="E148" s="44"/>
      <c r="F148" s="127"/>
      <c r="G148" s="1"/>
      <c r="H148" s="158"/>
      <c r="I148" s="37"/>
      <c r="J148" s="135"/>
      <c r="K148" s="112"/>
      <c r="L148" s="37"/>
      <c r="M148" s="37"/>
      <c r="N148" s="37"/>
      <c r="O148" s="130"/>
      <c r="P148" s="132"/>
      <c r="Q148" s="92"/>
      <c r="R148" s="92"/>
    </row>
    <row r="149" spans="3:18" x14ac:dyDescent="0.25">
      <c r="C149" s="37"/>
      <c r="D149" s="157"/>
      <c r="E149" s="44"/>
      <c r="F149" s="127"/>
      <c r="G149" s="1"/>
      <c r="H149" s="158"/>
      <c r="I149" s="37"/>
      <c r="J149" s="135"/>
      <c r="K149" s="112"/>
      <c r="L149" s="37"/>
      <c r="M149" s="37"/>
      <c r="N149" s="37"/>
      <c r="O149" s="130"/>
      <c r="P149" s="132"/>
      <c r="Q149" s="92"/>
      <c r="R149" s="92"/>
    </row>
    <row r="150" spans="3:18" x14ac:dyDescent="0.25">
      <c r="C150" s="37"/>
      <c r="D150" s="157"/>
      <c r="E150" s="44"/>
      <c r="F150" s="127"/>
      <c r="G150" s="1"/>
      <c r="H150" s="158"/>
      <c r="I150" s="37"/>
      <c r="J150" s="135"/>
      <c r="K150" s="112"/>
      <c r="L150" s="37"/>
      <c r="M150" s="37"/>
      <c r="N150" s="37"/>
      <c r="O150" s="130"/>
      <c r="P150" s="132"/>
      <c r="Q150" s="92"/>
      <c r="R150" s="92"/>
    </row>
    <row r="151" spans="3:18" x14ac:dyDescent="0.25">
      <c r="C151" s="37"/>
      <c r="D151" s="157"/>
      <c r="E151" s="44"/>
      <c r="F151" s="127"/>
      <c r="G151" s="1"/>
      <c r="H151" s="158"/>
      <c r="I151" s="37"/>
      <c r="J151" s="135"/>
      <c r="K151" s="112"/>
      <c r="L151" s="37"/>
      <c r="M151" s="37"/>
      <c r="N151" s="37"/>
      <c r="O151" s="130"/>
      <c r="P151" s="132"/>
      <c r="Q151" s="92"/>
      <c r="R151" s="92"/>
    </row>
    <row r="152" spans="3:18" x14ac:dyDescent="0.25">
      <c r="C152" s="37"/>
      <c r="D152" s="157"/>
      <c r="E152" s="44"/>
      <c r="F152" s="127"/>
      <c r="G152" s="1"/>
      <c r="H152" s="158"/>
      <c r="I152" s="37"/>
      <c r="J152" s="135"/>
      <c r="K152" s="112"/>
      <c r="L152" s="37"/>
      <c r="M152" s="37"/>
      <c r="N152" s="37"/>
      <c r="O152" s="130"/>
      <c r="P152" s="132"/>
      <c r="Q152" s="92"/>
      <c r="R152" s="92"/>
    </row>
    <row r="153" spans="3:18" x14ac:dyDescent="0.25">
      <c r="C153" s="37"/>
      <c r="D153" s="157"/>
      <c r="E153" s="44"/>
      <c r="F153" s="127"/>
      <c r="G153" s="1"/>
      <c r="H153" s="158"/>
      <c r="I153" s="37"/>
      <c r="J153" s="135"/>
      <c r="K153" s="112"/>
      <c r="L153" s="37"/>
      <c r="M153" s="37"/>
      <c r="N153" s="37"/>
      <c r="O153" s="130"/>
      <c r="P153" s="132"/>
      <c r="Q153" s="92"/>
      <c r="R153" s="92"/>
    </row>
    <row r="154" spans="3:18" x14ac:dyDescent="0.25">
      <c r="C154" s="37"/>
      <c r="D154" s="157"/>
      <c r="E154" s="44"/>
      <c r="F154" s="127"/>
      <c r="G154" s="1"/>
      <c r="H154" s="158"/>
      <c r="I154" s="37"/>
      <c r="J154" s="135"/>
      <c r="K154" s="112"/>
      <c r="L154" s="37"/>
      <c r="M154" s="37"/>
      <c r="N154" s="37"/>
      <c r="O154" s="130"/>
      <c r="P154" s="132"/>
      <c r="Q154" s="92"/>
      <c r="R154" s="92"/>
    </row>
    <row r="155" spans="3:18" x14ac:dyDescent="0.25">
      <c r="C155" s="37"/>
      <c r="D155" s="157"/>
      <c r="E155" s="44"/>
      <c r="F155" s="127"/>
      <c r="G155" s="1"/>
      <c r="H155" s="158"/>
      <c r="I155" s="37"/>
      <c r="J155" s="135"/>
      <c r="K155" s="112"/>
      <c r="L155" s="37"/>
      <c r="M155" s="37"/>
      <c r="N155" s="37"/>
      <c r="O155" s="130"/>
      <c r="P155" s="132"/>
      <c r="Q155" s="92"/>
      <c r="R155" s="92"/>
    </row>
    <row r="156" spans="3:18" x14ac:dyDescent="0.25">
      <c r="C156" s="37"/>
      <c r="D156" s="157"/>
      <c r="E156" s="44"/>
      <c r="F156" s="127"/>
      <c r="G156" s="1"/>
      <c r="H156" s="158"/>
      <c r="I156" s="37"/>
      <c r="J156" s="135"/>
      <c r="K156" s="112"/>
      <c r="L156" s="37"/>
      <c r="M156" s="37"/>
      <c r="N156" s="37"/>
      <c r="O156" s="130"/>
      <c r="P156" s="132"/>
      <c r="Q156" s="92"/>
      <c r="R156" s="92"/>
    </row>
    <row r="157" spans="3:18" x14ac:dyDescent="0.25">
      <c r="C157" s="37"/>
      <c r="D157" s="157"/>
      <c r="E157" s="44"/>
      <c r="F157" s="127"/>
      <c r="G157" s="1"/>
      <c r="H157" s="158"/>
      <c r="I157" s="37"/>
      <c r="J157" s="135"/>
      <c r="K157" s="112"/>
      <c r="L157" s="37"/>
      <c r="M157" s="37"/>
      <c r="N157" s="37"/>
      <c r="O157" s="130"/>
      <c r="P157" s="132"/>
      <c r="Q157" s="92"/>
      <c r="R157" s="92"/>
    </row>
    <row r="158" spans="3:18" x14ac:dyDescent="0.25">
      <c r="C158" s="37"/>
      <c r="D158" s="157"/>
      <c r="E158" s="44"/>
      <c r="F158" s="127"/>
      <c r="G158" s="1"/>
      <c r="H158" s="158"/>
      <c r="I158" s="37"/>
      <c r="J158" s="135"/>
      <c r="K158" s="112"/>
      <c r="L158" s="37"/>
      <c r="M158" s="37"/>
      <c r="N158" s="37"/>
      <c r="O158" s="130"/>
      <c r="P158" s="132"/>
      <c r="Q158" s="92"/>
      <c r="R158" s="92"/>
    </row>
    <row r="159" spans="3:18" x14ac:dyDescent="0.25">
      <c r="C159" s="37"/>
      <c r="D159" s="157"/>
      <c r="E159" s="44"/>
      <c r="F159" s="127"/>
      <c r="G159" s="1"/>
      <c r="H159" s="158"/>
      <c r="I159" s="37"/>
      <c r="J159" s="135"/>
      <c r="K159" s="112"/>
      <c r="L159" s="37"/>
      <c r="M159" s="37"/>
      <c r="N159" s="37"/>
      <c r="O159" s="130"/>
      <c r="P159" s="132"/>
      <c r="Q159" s="92"/>
      <c r="R159" s="92"/>
    </row>
    <row r="160" spans="3:18" x14ac:dyDescent="0.25">
      <c r="C160" s="37"/>
      <c r="D160" s="157"/>
      <c r="E160" s="44"/>
      <c r="F160" s="127"/>
      <c r="G160" s="1"/>
      <c r="H160" s="158"/>
      <c r="I160" s="37"/>
      <c r="J160" s="135"/>
      <c r="K160" s="112"/>
      <c r="L160" s="37"/>
      <c r="M160" s="37"/>
      <c r="N160" s="37"/>
      <c r="O160" s="130"/>
      <c r="P160" s="132"/>
      <c r="Q160" s="92"/>
      <c r="R160" s="92"/>
    </row>
    <row r="161" spans="3:18" x14ac:dyDescent="0.25">
      <c r="C161" s="37"/>
      <c r="D161" s="157"/>
      <c r="E161" s="44"/>
      <c r="F161" s="127"/>
      <c r="G161" s="1"/>
      <c r="H161" s="158"/>
      <c r="I161" s="37"/>
      <c r="J161" s="135"/>
      <c r="K161" s="112"/>
      <c r="L161" s="37"/>
      <c r="M161" s="37"/>
      <c r="N161" s="37"/>
      <c r="O161" s="130"/>
      <c r="P161" s="132"/>
      <c r="Q161" s="92"/>
      <c r="R161" s="92"/>
    </row>
    <row r="162" spans="3:18" x14ac:dyDescent="0.25">
      <c r="C162" s="37"/>
      <c r="D162" s="157"/>
      <c r="E162" s="44"/>
      <c r="F162" s="127"/>
      <c r="G162" s="1"/>
      <c r="H162" s="158"/>
      <c r="I162" s="37"/>
      <c r="J162" s="135"/>
      <c r="K162" s="112"/>
      <c r="L162" s="37"/>
      <c r="M162" s="37"/>
      <c r="N162" s="37"/>
      <c r="O162" s="130"/>
      <c r="P162" s="132"/>
      <c r="Q162" s="92"/>
      <c r="R162" s="92"/>
    </row>
    <row r="163" spans="3:18" x14ac:dyDescent="0.25">
      <c r="C163" s="37"/>
      <c r="D163" s="157"/>
      <c r="E163" s="44"/>
      <c r="F163" s="127"/>
      <c r="G163" s="1"/>
      <c r="H163" s="158"/>
      <c r="I163" s="37"/>
      <c r="J163" s="135"/>
      <c r="K163" s="112"/>
      <c r="L163" s="37"/>
      <c r="M163" s="37"/>
      <c r="N163" s="37"/>
      <c r="O163" s="130"/>
      <c r="P163" s="132"/>
      <c r="Q163" s="92"/>
      <c r="R163" s="92"/>
    </row>
    <row r="164" spans="3:18" x14ac:dyDescent="0.25">
      <c r="C164" s="37"/>
      <c r="D164" s="157"/>
      <c r="E164" s="44"/>
      <c r="F164" s="127"/>
      <c r="G164" s="1"/>
      <c r="H164" s="158"/>
      <c r="I164" s="37"/>
      <c r="J164" s="135"/>
      <c r="K164" s="112"/>
      <c r="L164" s="37"/>
      <c r="M164" s="37"/>
      <c r="N164" s="37"/>
      <c r="O164" s="130"/>
      <c r="P164" s="132"/>
      <c r="Q164" s="92"/>
      <c r="R164" s="92"/>
    </row>
    <row r="165" spans="3:18" x14ac:dyDescent="0.25">
      <c r="C165" s="37"/>
      <c r="D165" s="157"/>
      <c r="E165" s="44"/>
      <c r="F165" s="127"/>
      <c r="G165" s="1"/>
      <c r="H165" s="158"/>
      <c r="I165" s="37"/>
      <c r="J165" s="135"/>
      <c r="K165" s="112"/>
      <c r="L165" s="37"/>
      <c r="M165" s="37"/>
      <c r="N165" s="37"/>
      <c r="O165" s="130"/>
      <c r="P165" s="132"/>
      <c r="Q165" s="92"/>
      <c r="R165" s="92"/>
    </row>
    <row r="166" spans="3:18" x14ac:dyDescent="0.25">
      <c r="C166" s="37"/>
      <c r="D166" s="157"/>
      <c r="E166" s="44"/>
      <c r="F166" s="127"/>
      <c r="G166" s="1"/>
      <c r="H166" s="158"/>
      <c r="I166" s="37"/>
      <c r="J166" s="135"/>
      <c r="K166" s="112"/>
      <c r="L166" s="37"/>
      <c r="M166" s="37"/>
      <c r="N166" s="37"/>
      <c r="O166" s="130"/>
      <c r="P166" s="132"/>
      <c r="Q166" s="92"/>
      <c r="R166" s="92"/>
    </row>
    <row r="167" spans="3:18" x14ac:dyDescent="0.25">
      <c r="C167" s="37"/>
      <c r="D167" s="157"/>
      <c r="E167" s="44"/>
      <c r="F167" s="127"/>
      <c r="G167" s="1"/>
      <c r="H167" s="158"/>
      <c r="I167" s="37"/>
      <c r="J167" s="135"/>
      <c r="K167" s="112"/>
      <c r="L167" s="37"/>
      <c r="M167" s="37"/>
      <c r="N167" s="37"/>
      <c r="O167" s="130"/>
      <c r="P167" s="132"/>
      <c r="Q167" s="92"/>
      <c r="R167" s="92"/>
    </row>
    <row r="168" spans="3:18" x14ac:dyDescent="0.25">
      <c r="C168" s="37"/>
      <c r="D168" s="157"/>
      <c r="E168" s="44"/>
      <c r="F168" s="127"/>
      <c r="G168" s="1"/>
      <c r="H168" s="158"/>
      <c r="I168" s="37"/>
      <c r="J168" s="135"/>
      <c r="K168" s="112"/>
      <c r="L168" s="37"/>
      <c r="M168" s="37"/>
      <c r="N168" s="37"/>
      <c r="O168" s="130"/>
      <c r="P168" s="132"/>
      <c r="Q168" s="92"/>
      <c r="R168" s="92"/>
    </row>
    <row r="169" spans="3:18" x14ac:dyDescent="0.25">
      <c r="C169" s="37"/>
      <c r="D169" s="157"/>
      <c r="E169" s="44"/>
      <c r="F169" s="127"/>
      <c r="G169" s="1"/>
      <c r="H169" s="158"/>
      <c r="I169" s="37"/>
      <c r="J169" s="135"/>
      <c r="K169" s="112"/>
      <c r="L169" s="37"/>
      <c r="M169" s="37"/>
      <c r="N169" s="37"/>
      <c r="O169" s="130"/>
      <c r="P169" s="132"/>
      <c r="Q169" s="92"/>
      <c r="R169" s="92"/>
    </row>
    <row r="170" spans="3:18" x14ac:dyDescent="0.25">
      <c r="C170" s="37"/>
      <c r="D170" s="157"/>
      <c r="E170" s="44"/>
      <c r="F170" s="127"/>
      <c r="G170" s="1"/>
      <c r="H170" s="158"/>
      <c r="I170" s="37"/>
      <c r="J170" s="135"/>
      <c r="K170" s="112"/>
      <c r="L170" s="37"/>
      <c r="M170" s="37"/>
      <c r="N170" s="37"/>
      <c r="O170" s="130"/>
      <c r="P170" s="132"/>
      <c r="Q170" s="92"/>
      <c r="R170" s="92"/>
    </row>
    <row r="171" spans="3:18" x14ac:dyDescent="0.25">
      <c r="C171" s="37"/>
      <c r="D171" s="157"/>
      <c r="E171" s="44"/>
      <c r="F171" s="127"/>
      <c r="G171" s="1"/>
      <c r="H171" s="158"/>
      <c r="I171" s="37"/>
      <c r="J171" s="135"/>
      <c r="K171" s="112"/>
      <c r="L171" s="37"/>
      <c r="M171" s="37"/>
      <c r="N171" s="37"/>
      <c r="O171" s="130"/>
      <c r="P171" s="132"/>
      <c r="Q171" s="92"/>
      <c r="R171" s="92"/>
    </row>
    <row r="172" spans="3:18" x14ac:dyDescent="0.25">
      <c r="C172" s="37"/>
      <c r="D172" s="157"/>
      <c r="E172" s="44"/>
      <c r="F172" s="127"/>
      <c r="G172" s="1"/>
      <c r="H172" s="158"/>
      <c r="I172" s="37"/>
      <c r="J172" s="135"/>
      <c r="K172" s="112"/>
      <c r="L172" s="37"/>
      <c r="M172" s="37"/>
      <c r="N172" s="37"/>
      <c r="O172" s="130"/>
      <c r="P172" s="132"/>
      <c r="Q172" s="92"/>
      <c r="R172" s="92"/>
    </row>
    <row r="173" spans="3:18" x14ac:dyDescent="0.25">
      <c r="C173" s="37"/>
      <c r="D173" s="157"/>
      <c r="E173" s="44"/>
      <c r="F173" s="127"/>
      <c r="G173" s="1"/>
      <c r="H173" s="158"/>
      <c r="I173" s="37"/>
      <c r="J173" s="135"/>
      <c r="K173" s="112"/>
      <c r="L173" s="37"/>
      <c r="M173" s="37"/>
      <c r="N173" s="37"/>
      <c r="O173" s="130"/>
      <c r="P173" s="132"/>
      <c r="Q173" s="92"/>
      <c r="R173" s="92"/>
    </row>
    <row r="174" spans="3:18" x14ac:dyDescent="0.25">
      <c r="C174" s="37"/>
      <c r="D174" s="157"/>
      <c r="E174" s="44"/>
      <c r="F174" s="127"/>
      <c r="G174" s="1"/>
      <c r="H174" s="158"/>
      <c r="I174" s="37"/>
      <c r="J174" s="135"/>
      <c r="K174" s="112"/>
      <c r="L174" s="37"/>
      <c r="M174" s="37"/>
      <c r="N174" s="37"/>
      <c r="O174" s="130"/>
      <c r="P174" s="132"/>
      <c r="Q174" s="92"/>
      <c r="R174" s="92"/>
    </row>
    <row r="175" spans="3:18" x14ac:dyDescent="0.25">
      <c r="C175" s="37"/>
      <c r="D175" s="157"/>
      <c r="E175" s="44"/>
      <c r="F175" s="127"/>
      <c r="G175" s="1"/>
      <c r="H175" s="158"/>
      <c r="I175" s="37"/>
      <c r="J175" s="135"/>
      <c r="K175" s="112"/>
      <c r="L175" s="37"/>
      <c r="M175" s="37"/>
      <c r="N175" s="37"/>
      <c r="O175" s="130"/>
      <c r="P175" s="132"/>
      <c r="Q175" s="92"/>
      <c r="R175" s="92"/>
    </row>
    <row r="176" spans="3:18" x14ac:dyDescent="0.25">
      <c r="C176" s="37"/>
      <c r="D176" s="157"/>
      <c r="E176" s="44"/>
      <c r="F176" s="127"/>
      <c r="G176" s="1"/>
      <c r="H176" s="158"/>
      <c r="I176" s="37"/>
      <c r="J176" s="135"/>
      <c r="K176" s="112"/>
      <c r="L176" s="37"/>
      <c r="M176" s="37"/>
      <c r="N176" s="37"/>
      <c r="O176" s="130"/>
      <c r="P176" s="132"/>
      <c r="Q176" s="92"/>
      <c r="R176" s="92"/>
    </row>
    <row r="177" spans="3:18" x14ac:dyDescent="0.25">
      <c r="C177" s="37"/>
      <c r="D177" s="157"/>
      <c r="E177" s="44"/>
      <c r="F177" s="127"/>
      <c r="G177" s="1"/>
      <c r="H177" s="158"/>
      <c r="I177" s="37"/>
      <c r="J177" s="135"/>
      <c r="K177" s="112"/>
      <c r="L177" s="37"/>
      <c r="M177" s="37"/>
      <c r="N177" s="37"/>
      <c r="O177" s="130"/>
      <c r="P177" s="132"/>
      <c r="Q177" s="92"/>
      <c r="R177" s="92"/>
    </row>
    <row r="178" spans="3:18" x14ac:dyDescent="0.25">
      <c r="C178" s="37"/>
      <c r="D178" s="157"/>
      <c r="E178" s="44"/>
      <c r="F178" s="127"/>
      <c r="G178" s="1"/>
      <c r="H178" s="158"/>
      <c r="I178" s="37"/>
      <c r="J178" s="135"/>
      <c r="K178" s="112"/>
      <c r="L178" s="37"/>
      <c r="M178" s="37"/>
      <c r="N178" s="37"/>
      <c r="O178" s="130"/>
      <c r="P178" s="132"/>
      <c r="Q178" s="92"/>
      <c r="R178" s="92"/>
    </row>
    <row r="179" spans="3:18" x14ac:dyDescent="0.25">
      <c r="C179" s="37"/>
      <c r="D179" s="157"/>
      <c r="E179" s="44"/>
      <c r="F179" s="127"/>
      <c r="G179" s="1"/>
      <c r="H179" s="158"/>
      <c r="I179" s="37"/>
      <c r="J179" s="135"/>
      <c r="K179" s="112"/>
      <c r="L179" s="37"/>
      <c r="M179" s="37"/>
      <c r="N179" s="37"/>
      <c r="O179" s="130"/>
      <c r="P179" s="132"/>
      <c r="Q179" s="92"/>
      <c r="R179" s="92"/>
    </row>
    <row r="180" spans="3:18" x14ac:dyDescent="0.25">
      <c r="C180" s="37"/>
      <c r="D180" s="157"/>
      <c r="E180" s="44"/>
      <c r="F180" s="127"/>
      <c r="G180" s="1"/>
      <c r="H180" s="158"/>
      <c r="I180" s="37"/>
      <c r="J180" s="135"/>
      <c r="K180" s="112"/>
      <c r="L180" s="37"/>
      <c r="M180" s="37"/>
      <c r="N180" s="37"/>
      <c r="O180" s="130"/>
      <c r="P180" s="132"/>
      <c r="Q180" s="92"/>
      <c r="R180" s="92"/>
    </row>
    <row r="181" spans="3:18" x14ac:dyDescent="0.25">
      <c r="C181" s="37"/>
      <c r="D181" s="157"/>
      <c r="E181" s="44"/>
      <c r="F181" s="127"/>
      <c r="G181" s="1"/>
      <c r="H181" s="158"/>
      <c r="I181" s="37"/>
      <c r="J181" s="135"/>
      <c r="K181" s="112"/>
      <c r="L181" s="37"/>
      <c r="M181" s="37"/>
      <c r="N181" s="37"/>
      <c r="O181" s="130"/>
      <c r="P181" s="132"/>
      <c r="Q181" s="92"/>
      <c r="R181" s="92"/>
    </row>
    <row r="182" spans="3:18" x14ac:dyDescent="0.25">
      <c r="C182" s="37"/>
      <c r="D182" s="157"/>
      <c r="E182" s="44"/>
      <c r="F182" s="127"/>
      <c r="G182" s="1"/>
      <c r="H182" s="158"/>
      <c r="I182" s="37"/>
      <c r="J182" s="135"/>
      <c r="K182" s="112"/>
      <c r="L182" s="37"/>
      <c r="M182" s="37"/>
      <c r="N182" s="37"/>
      <c r="O182" s="130"/>
      <c r="P182" s="132"/>
      <c r="Q182" s="92"/>
      <c r="R182" s="92"/>
    </row>
    <row r="183" spans="3:18" x14ac:dyDescent="0.25">
      <c r="C183" s="37"/>
      <c r="D183" s="157"/>
      <c r="E183" s="44"/>
      <c r="F183" s="127"/>
      <c r="G183" s="1"/>
      <c r="H183" s="158"/>
      <c r="I183" s="37"/>
      <c r="J183" s="135"/>
      <c r="K183" s="112"/>
      <c r="L183" s="37"/>
      <c r="M183" s="37"/>
      <c r="N183" s="37"/>
      <c r="O183" s="130"/>
      <c r="P183" s="132"/>
      <c r="Q183" s="92"/>
      <c r="R183" s="92"/>
    </row>
    <row r="184" spans="3:18" x14ac:dyDescent="0.25">
      <c r="C184" s="37"/>
      <c r="D184" s="157"/>
      <c r="E184" s="44"/>
      <c r="F184" s="127"/>
      <c r="G184" s="1"/>
      <c r="H184" s="158"/>
      <c r="I184" s="37"/>
      <c r="J184" s="135"/>
      <c r="K184" s="112"/>
      <c r="L184" s="37"/>
      <c r="M184" s="37"/>
      <c r="N184" s="37"/>
      <c r="O184" s="130"/>
      <c r="P184" s="132"/>
      <c r="Q184" s="92"/>
      <c r="R184" s="92"/>
    </row>
    <row r="185" spans="3:18" x14ac:dyDescent="0.25">
      <c r="C185" s="37"/>
      <c r="D185" s="157"/>
      <c r="E185" s="44"/>
      <c r="F185" s="127"/>
      <c r="G185" s="1"/>
      <c r="H185" s="158"/>
      <c r="I185" s="37"/>
      <c r="J185" s="135"/>
      <c r="K185" s="112"/>
      <c r="L185" s="37"/>
      <c r="M185" s="37"/>
      <c r="N185" s="37"/>
      <c r="O185" s="130"/>
      <c r="P185" s="132"/>
      <c r="Q185" s="92"/>
      <c r="R185" s="92"/>
    </row>
    <row r="186" spans="3:18" x14ac:dyDescent="0.25">
      <c r="C186" s="37"/>
      <c r="D186" s="157"/>
      <c r="E186" s="44"/>
      <c r="F186" s="127"/>
      <c r="G186" s="1"/>
      <c r="H186" s="158"/>
      <c r="I186" s="37"/>
      <c r="J186" s="135"/>
      <c r="K186" s="112"/>
      <c r="L186" s="37"/>
      <c r="M186" s="37"/>
      <c r="N186" s="37"/>
      <c r="O186" s="130"/>
      <c r="P186" s="132"/>
      <c r="Q186" s="92"/>
      <c r="R186" s="92"/>
    </row>
    <row r="187" spans="3:18" x14ac:dyDescent="0.25">
      <c r="C187" s="37"/>
      <c r="D187" s="157"/>
      <c r="E187" s="44"/>
      <c r="F187" s="127"/>
      <c r="G187" s="1"/>
      <c r="H187" s="158"/>
      <c r="I187" s="37"/>
      <c r="J187" s="135"/>
      <c r="K187" s="112"/>
      <c r="L187" s="37"/>
      <c r="M187" s="37"/>
      <c r="N187" s="37"/>
      <c r="O187" s="130"/>
      <c r="P187" s="132"/>
      <c r="Q187" s="92"/>
      <c r="R187" s="92"/>
    </row>
    <row r="188" spans="3:18" x14ac:dyDescent="0.25">
      <c r="C188" s="37"/>
      <c r="D188" s="157"/>
      <c r="E188" s="44"/>
      <c r="F188" s="127"/>
      <c r="G188" s="1"/>
      <c r="H188" s="158"/>
      <c r="I188" s="37"/>
      <c r="J188" s="135"/>
      <c r="K188" s="112"/>
      <c r="L188" s="37"/>
      <c r="M188" s="37"/>
      <c r="N188" s="37"/>
      <c r="O188" s="130"/>
      <c r="P188" s="132"/>
      <c r="Q188" s="92"/>
      <c r="R188" s="92"/>
    </row>
    <row r="189" spans="3:18" x14ac:dyDescent="0.25">
      <c r="C189" s="37"/>
      <c r="D189" s="157"/>
      <c r="E189" s="44"/>
      <c r="F189" s="127"/>
      <c r="G189" s="1"/>
      <c r="H189" s="158"/>
      <c r="I189" s="37"/>
      <c r="J189" s="135"/>
      <c r="K189" s="112"/>
      <c r="L189" s="37"/>
      <c r="M189" s="37"/>
      <c r="N189" s="37"/>
      <c r="O189" s="130"/>
      <c r="P189" s="132"/>
      <c r="Q189" s="92"/>
      <c r="R189" s="92"/>
    </row>
    <row r="190" spans="3:18" x14ac:dyDescent="0.25">
      <c r="C190" s="37"/>
      <c r="D190" s="157"/>
      <c r="E190" s="44"/>
      <c r="F190" s="127"/>
      <c r="G190" s="1"/>
      <c r="H190" s="158"/>
      <c r="I190" s="37"/>
      <c r="J190" s="135"/>
      <c r="K190" s="112"/>
      <c r="L190" s="37"/>
      <c r="M190" s="37"/>
      <c r="N190" s="37"/>
      <c r="O190" s="130"/>
      <c r="P190" s="132"/>
      <c r="Q190" s="92"/>
      <c r="R190" s="92"/>
    </row>
    <row r="191" spans="3:18" x14ac:dyDescent="0.25">
      <c r="C191" s="37"/>
      <c r="D191" s="157"/>
      <c r="E191" s="44"/>
      <c r="F191" s="127"/>
      <c r="G191" s="1"/>
      <c r="H191" s="158"/>
      <c r="I191" s="37"/>
      <c r="J191" s="135"/>
      <c r="K191" s="112"/>
      <c r="L191" s="37"/>
      <c r="M191" s="37"/>
      <c r="N191" s="37"/>
      <c r="O191" s="130"/>
      <c r="P191" s="132"/>
      <c r="Q191" s="92"/>
      <c r="R191" s="92"/>
    </row>
    <row r="192" spans="3:18" x14ac:dyDescent="0.25">
      <c r="C192" s="37"/>
      <c r="D192" s="157"/>
      <c r="E192" s="44"/>
      <c r="F192" s="127"/>
      <c r="G192" s="1"/>
      <c r="H192" s="158"/>
      <c r="I192" s="37"/>
      <c r="J192" s="135"/>
      <c r="K192" s="112"/>
      <c r="L192" s="37"/>
      <c r="M192" s="37"/>
      <c r="N192" s="37"/>
      <c r="O192" s="130"/>
      <c r="P192" s="132"/>
      <c r="Q192" s="92"/>
      <c r="R192" s="92"/>
    </row>
    <row r="193" spans="3:18" x14ac:dyDescent="0.25">
      <c r="C193" s="37"/>
      <c r="D193" s="157"/>
      <c r="E193" s="44"/>
      <c r="F193" s="127"/>
      <c r="G193" s="1"/>
      <c r="H193" s="158"/>
      <c r="I193" s="37"/>
      <c r="J193" s="135"/>
      <c r="K193" s="112"/>
      <c r="L193" s="37"/>
      <c r="M193" s="37"/>
      <c r="N193" s="37"/>
      <c r="O193" s="130"/>
      <c r="P193" s="132"/>
      <c r="Q193" s="92"/>
      <c r="R193" s="92"/>
    </row>
    <row r="194" spans="3:18" x14ac:dyDescent="0.25">
      <c r="C194" s="37"/>
      <c r="D194" s="157"/>
      <c r="E194" s="44"/>
      <c r="F194" s="127"/>
      <c r="G194" s="1"/>
      <c r="H194" s="158"/>
      <c r="I194" s="37"/>
      <c r="J194" s="135"/>
      <c r="K194" s="112"/>
      <c r="L194" s="37"/>
      <c r="M194" s="37"/>
      <c r="N194" s="37"/>
      <c r="O194" s="130"/>
      <c r="P194" s="132"/>
      <c r="Q194" s="92"/>
      <c r="R194" s="92"/>
    </row>
    <row r="195" spans="3:18" x14ac:dyDescent="0.25">
      <c r="C195" s="37"/>
      <c r="D195" s="157"/>
      <c r="E195" s="44"/>
      <c r="F195" s="127"/>
      <c r="G195" s="1"/>
      <c r="H195" s="158"/>
      <c r="I195" s="37"/>
      <c r="J195" s="135"/>
      <c r="K195" s="112"/>
      <c r="L195" s="37"/>
      <c r="M195" s="37"/>
      <c r="N195" s="37"/>
      <c r="O195" s="130"/>
      <c r="P195" s="132"/>
      <c r="Q195" s="92"/>
      <c r="R195" s="92"/>
    </row>
    <row r="196" spans="3:18" x14ac:dyDescent="0.25">
      <c r="C196" s="37"/>
      <c r="D196" s="157"/>
      <c r="E196" s="44"/>
      <c r="F196" s="127"/>
      <c r="G196" s="1"/>
      <c r="H196" s="158"/>
      <c r="I196" s="37"/>
      <c r="J196" s="135"/>
      <c r="K196" s="112"/>
      <c r="L196" s="37"/>
      <c r="M196" s="37"/>
      <c r="N196" s="37"/>
      <c r="O196" s="130"/>
      <c r="P196" s="132"/>
      <c r="Q196" s="92"/>
      <c r="R196" s="92"/>
    </row>
    <row r="197" spans="3:18" x14ac:dyDescent="0.25">
      <c r="C197" s="37"/>
      <c r="D197" s="157"/>
      <c r="E197" s="44"/>
      <c r="F197" s="127"/>
      <c r="G197" s="1"/>
      <c r="H197" s="158"/>
      <c r="I197" s="37"/>
      <c r="J197" s="135"/>
      <c r="K197" s="112"/>
      <c r="L197" s="37"/>
      <c r="M197" s="37"/>
      <c r="N197" s="37"/>
      <c r="O197" s="130"/>
      <c r="P197" s="132"/>
      <c r="Q197" s="92"/>
      <c r="R197" s="92"/>
    </row>
    <row r="198" spans="3:18" x14ac:dyDescent="0.25">
      <c r="C198" s="37"/>
      <c r="D198" s="157"/>
      <c r="E198" s="44"/>
      <c r="F198" s="127"/>
      <c r="G198" s="1"/>
      <c r="H198" s="158"/>
      <c r="I198" s="37"/>
      <c r="J198" s="135"/>
      <c r="K198" s="112"/>
      <c r="L198" s="37"/>
      <c r="M198" s="37"/>
      <c r="N198" s="37"/>
      <c r="O198" s="130"/>
      <c r="P198" s="132"/>
      <c r="Q198" s="92"/>
      <c r="R198" s="92"/>
    </row>
    <row r="199" spans="3:18" x14ac:dyDescent="0.25">
      <c r="C199" s="37"/>
      <c r="D199" s="157"/>
      <c r="E199" s="44"/>
      <c r="F199" s="127"/>
      <c r="G199" s="1"/>
      <c r="H199" s="158"/>
      <c r="I199" s="37"/>
      <c r="J199" s="135"/>
      <c r="K199" s="112"/>
      <c r="L199" s="37"/>
      <c r="M199" s="37"/>
      <c r="N199" s="37"/>
      <c r="O199" s="130"/>
      <c r="P199" s="132"/>
      <c r="Q199" s="92"/>
      <c r="R199" s="92"/>
    </row>
    <row r="200" spans="3:18" x14ac:dyDescent="0.25">
      <c r="C200" s="37"/>
      <c r="D200" s="157"/>
      <c r="E200" s="44"/>
      <c r="F200" s="127"/>
      <c r="G200" s="1"/>
      <c r="H200" s="158"/>
      <c r="I200" s="37"/>
      <c r="J200" s="135"/>
      <c r="K200" s="112"/>
      <c r="L200" s="37"/>
      <c r="M200" s="37"/>
      <c r="N200" s="37"/>
      <c r="O200" s="130"/>
      <c r="P200" s="132"/>
      <c r="Q200" s="92"/>
      <c r="R200" s="92"/>
    </row>
    <row r="201" spans="3:18" x14ac:dyDescent="0.25">
      <c r="C201" s="37"/>
      <c r="D201" s="157"/>
      <c r="E201" s="44"/>
      <c r="F201" s="127"/>
      <c r="G201" s="1"/>
      <c r="H201" s="158"/>
      <c r="I201" s="37"/>
      <c r="J201" s="135"/>
      <c r="K201" s="112"/>
      <c r="L201" s="37"/>
      <c r="M201" s="37"/>
      <c r="N201" s="37"/>
      <c r="O201" s="130"/>
      <c r="P201" s="132"/>
      <c r="Q201" s="92"/>
      <c r="R201" s="92"/>
    </row>
    <row r="202" spans="3:18" x14ac:dyDescent="0.25">
      <c r="C202" s="37"/>
      <c r="D202" s="157"/>
      <c r="E202" s="44"/>
      <c r="F202" s="127"/>
      <c r="G202" s="1"/>
      <c r="H202" s="158"/>
      <c r="I202" s="37"/>
      <c r="J202" s="135"/>
      <c r="K202" s="112"/>
      <c r="L202" s="37"/>
      <c r="M202" s="37"/>
      <c r="N202" s="37"/>
      <c r="O202" s="130"/>
      <c r="P202" s="132"/>
      <c r="Q202" s="92"/>
      <c r="R202" s="92"/>
    </row>
    <row r="203" spans="3:18" x14ac:dyDescent="0.25">
      <c r="C203" s="37"/>
      <c r="D203" s="157"/>
      <c r="E203" s="44"/>
      <c r="F203" s="127"/>
      <c r="G203" s="1"/>
      <c r="H203" s="158"/>
      <c r="I203" s="37"/>
      <c r="J203" s="135"/>
      <c r="K203" s="112"/>
      <c r="L203" s="37"/>
      <c r="M203" s="37"/>
      <c r="N203" s="37"/>
      <c r="O203" s="130"/>
      <c r="P203" s="132"/>
      <c r="Q203" s="92"/>
      <c r="R203" s="92"/>
    </row>
    <row r="204" spans="3:18" x14ac:dyDescent="0.25">
      <c r="C204" s="37"/>
      <c r="D204" s="157"/>
      <c r="E204" s="44"/>
      <c r="F204" s="127" t="str">
        <f t="shared" ref="F204:F228" si="45">IF(E204="","-",IF(E204&lt;$E$15,"ERROR - date outside of range",IF(MONTH(E204)&gt;=7,YEAR(E204)&amp;"-"&amp;RIGHT(YEAR(E204),2)+1,YEAR(E204)-1&amp;"-"&amp;RIGHT(YEAR(E204),2))))</f>
        <v>-</v>
      </c>
      <c r="G204" s="1"/>
      <c r="H204" s="158"/>
      <c r="I204" s="37"/>
      <c r="J204" s="135"/>
      <c r="K204" s="112"/>
      <c r="L204" s="37"/>
      <c r="M204" s="37"/>
      <c r="N204" s="37"/>
      <c r="O204" s="130" t="str">
        <f t="shared" ref="O204:O225" si="46">IF(N204="","-",L204*N204)</f>
        <v>-</v>
      </c>
      <c r="P204" s="132" t="str">
        <f t="shared" ref="P204:P228" si="47">IF(O204="-","-",IF(E204&lt;$E$15,0,O204*J204))</f>
        <v>-</v>
      </c>
      <c r="Q204" s="92"/>
      <c r="R204" s="92"/>
    </row>
    <row r="205" spans="3:18" x14ac:dyDescent="0.25">
      <c r="C205" s="37"/>
      <c r="D205" s="157"/>
      <c r="E205" s="44"/>
      <c r="F205" s="127" t="str">
        <f t="shared" si="45"/>
        <v>-</v>
      </c>
      <c r="G205" s="1"/>
      <c r="H205" s="158"/>
      <c r="I205" s="37"/>
      <c r="J205" s="135"/>
      <c r="K205" s="112"/>
      <c r="L205" s="37"/>
      <c r="M205" s="37"/>
      <c r="N205" s="37"/>
      <c r="O205" s="130" t="str">
        <f t="shared" si="46"/>
        <v>-</v>
      </c>
      <c r="P205" s="132" t="str">
        <f t="shared" si="47"/>
        <v>-</v>
      </c>
      <c r="Q205" s="92"/>
      <c r="R205" s="92"/>
    </row>
    <row r="206" spans="3:18" x14ac:dyDescent="0.25">
      <c r="C206" s="37"/>
      <c r="D206" s="157"/>
      <c r="E206" s="44"/>
      <c r="F206" s="127" t="str">
        <f t="shared" si="45"/>
        <v>-</v>
      </c>
      <c r="G206" s="1"/>
      <c r="H206" s="158"/>
      <c r="I206" s="37"/>
      <c r="J206" s="135"/>
      <c r="K206" s="112"/>
      <c r="L206" s="37"/>
      <c r="M206" s="37"/>
      <c r="N206" s="37"/>
      <c r="O206" s="130" t="str">
        <f t="shared" si="46"/>
        <v>-</v>
      </c>
      <c r="P206" s="132" t="str">
        <f t="shared" si="47"/>
        <v>-</v>
      </c>
      <c r="Q206" s="92"/>
      <c r="R206" s="92"/>
    </row>
    <row r="207" spans="3:18" x14ac:dyDescent="0.25">
      <c r="C207" s="37"/>
      <c r="D207" s="157"/>
      <c r="E207" s="44"/>
      <c r="F207" s="127" t="str">
        <f t="shared" si="45"/>
        <v>-</v>
      </c>
      <c r="G207" s="1"/>
      <c r="H207" s="158"/>
      <c r="I207" s="37"/>
      <c r="J207" s="135"/>
      <c r="K207" s="112"/>
      <c r="L207" s="37"/>
      <c r="M207" s="37"/>
      <c r="N207" s="37"/>
      <c r="O207" s="130" t="str">
        <f t="shared" si="46"/>
        <v>-</v>
      </c>
      <c r="P207" s="132" t="str">
        <f t="shared" si="47"/>
        <v>-</v>
      </c>
      <c r="Q207" s="92"/>
      <c r="R207" s="92"/>
    </row>
    <row r="208" spans="3:18" x14ac:dyDescent="0.25">
      <c r="C208" s="37"/>
      <c r="D208" s="157"/>
      <c r="E208" s="44"/>
      <c r="F208" s="127" t="str">
        <f t="shared" si="45"/>
        <v>-</v>
      </c>
      <c r="G208" s="1"/>
      <c r="H208" s="158"/>
      <c r="I208" s="37"/>
      <c r="J208" s="135"/>
      <c r="K208" s="112"/>
      <c r="L208" s="37"/>
      <c r="M208" s="37"/>
      <c r="N208" s="37"/>
      <c r="O208" s="130" t="str">
        <f t="shared" si="46"/>
        <v>-</v>
      </c>
      <c r="P208" s="132" t="str">
        <f t="shared" si="47"/>
        <v>-</v>
      </c>
      <c r="Q208" s="92"/>
      <c r="R208" s="92"/>
    </row>
    <row r="209" spans="3:18" x14ac:dyDescent="0.25">
      <c r="C209" s="37"/>
      <c r="D209" s="157"/>
      <c r="E209" s="44"/>
      <c r="F209" s="127" t="str">
        <f t="shared" si="45"/>
        <v>-</v>
      </c>
      <c r="G209" s="1"/>
      <c r="H209" s="158"/>
      <c r="I209" s="37"/>
      <c r="J209" s="135"/>
      <c r="K209" s="112"/>
      <c r="L209" s="37"/>
      <c r="M209" s="37"/>
      <c r="N209" s="37"/>
      <c r="O209" s="130" t="str">
        <f t="shared" si="46"/>
        <v>-</v>
      </c>
      <c r="P209" s="132" t="str">
        <f t="shared" si="47"/>
        <v>-</v>
      </c>
      <c r="Q209" s="92"/>
      <c r="R209" s="92"/>
    </row>
    <row r="210" spans="3:18" x14ac:dyDescent="0.25">
      <c r="C210" s="37"/>
      <c r="D210" s="157"/>
      <c r="E210" s="44"/>
      <c r="F210" s="127" t="str">
        <f t="shared" si="45"/>
        <v>-</v>
      </c>
      <c r="G210" s="1"/>
      <c r="H210" s="158"/>
      <c r="I210" s="37"/>
      <c r="J210" s="135"/>
      <c r="K210" s="112"/>
      <c r="L210" s="37"/>
      <c r="M210" s="37"/>
      <c r="N210" s="37"/>
      <c r="O210" s="130" t="str">
        <f t="shared" si="46"/>
        <v>-</v>
      </c>
      <c r="P210" s="132" t="str">
        <f t="shared" si="47"/>
        <v>-</v>
      </c>
      <c r="Q210" s="92"/>
      <c r="R210" s="92"/>
    </row>
    <row r="211" spans="3:18" x14ac:dyDescent="0.25">
      <c r="C211" s="37"/>
      <c r="D211" s="157"/>
      <c r="E211" s="44"/>
      <c r="F211" s="127" t="str">
        <f t="shared" si="45"/>
        <v>-</v>
      </c>
      <c r="G211" s="1"/>
      <c r="H211" s="158"/>
      <c r="I211" s="37"/>
      <c r="J211" s="135"/>
      <c r="K211" s="112"/>
      <c r="L211" s="37"/>
      <c r="M211" s="37"/>
      <c r="N211" s="37"/>
      <c r="O211" s="130" t="str">
        <f t="shared" si="46"/>
        <v>-</v>
      </c>
      <c r="P211" s="132" t="str">
        <f t="shared" si="47"/>
        <v>-</v>
      </c>
      <c r="Q211" s="92"/>
      <c r="R211" s="92"/>
    </row>
    <row r="212" spans="3:18" x14ac:dyDescent="0.25">
      <c r="C212" s="37"/>
      <c r="D212" s="157"/>
      <c r="E212" s="44"/>
      <c r="F212" s="127" t="str">
        <f t="shared" si="45"/>
        <v>-</v>
      </c>
      <c r="G212" s="1"/>
      <c r="H212" s="158"/>
      <c r="I212" s="37"/>
      <c r="J212" s="135"/>
      <c r="K212" s="112"/>
      <c r="L212" s="37"/>
      <c r="M212" s="37"/>
      <c r="N212" s="37"/>
      <c r="O212" s="130" t="str">
        <f t="shared" si="46"/>
        <v>-</v>
      </c>
      <c r="P212" s="132" t="str">
        <f t="shared" si="47"/>
        <v>-</v>
      </c>
      <c r="Q212" s="92"/>
      <c r="R212" s="92"/>
    </row>
    <row r="213" spans="3:18" x14ac:dyDescent="0.25">
      <c r="C213" s="37"/>
      <c r="D213" s="157"/>
      <c r="E213" s="44"/>
      <c r="F213" s="127" t="str">
        <f t="shared" si="45"/>
        <v>-</v>
      </c>
      <c r="G213" s="1"/>
      <c r="H213" s="158"/>
      <c r="I213" s="37"/>
      <c r="J213" s="135"/>
      <c r="K213" s="112"/>
      <c r="L213" s="37"/>
      <c r="M213" s="37"/>
      <c r="N213" s="37"/>
      <c r="O213" s="130" t="str">
        <f t="shared" si="46"/>
        <v>-</v>
      </c>
      <c r="P213" s="132" t="str">
        <f t="shared" si="47"/>
        <v>-</v>
      </c>
      <c r="Q213" s="92"/>
      <c r="R213" s="92"/>
    </row>
    <row r="214" spans="3:18" x14ac:dyDescent="0.25">
      <c r="C214" s="37"/>
      <c r="D214" s="157"/>
      <c r="E214" s="44"/>
      <c r="F214" s="127" t="str">
        <f t="shared" si="45"/>
        <v>-</v>
      </c>
      <c r="G214" s="1"/>
      <c r="H214" s="158"/>
      <c r="I214" s="37"/>
      <c r="J214" s="135"/>
      <c r="K214" s="112"/>
      <c r="L214" s="37"/>
      <c r="M214" s="37"/>
      <c r="N214" s="37"/>
      <c r="O214" s="130" t="str">
        <f t="shared" si="46"/>
        <v>-</v>
      </c>
      <c r="P214" s="132" t="str">
        <f t="shared" si="47"/>
        <v>-</v>
      </c>
      <c r="Q214" s="92"/>
      <c r="R214" s="92"/>
    </row>
    <row r="215" spans="3:18" x14ac:dyDescent="0.25">
      <c r="C215" s="37"/>
      <c r="D215" s="157"/>
      <c r="E215" s="44"/>
      <c r="F215" s="127" t="str">
        <f t="shared" si="45"/>
        <v>-</v>
      </c>
      <c r="G215" s="1"/>
      <c r="H215" s="158"/>
      <c r="I215" s="37"/>
      <c r="J215" s="135"/>
      <c r="K215" s="112"/>
      <c r="L215" s="37"/>
      <c r="M215" s="37"/>
      <c r="N215" s="37"/>
      <c r="O215" s="130" t="str">
        <f t="shared" si="46"/>
        <v>-</v>
      </c>
      <c r="P215" s="132" t="str">
        <f t="shared" si="47"/>
        <v>-</v>
      </c>
      <c r="Q215" s="92"/>
      <c r="R215" s="92"/>
    </row>
    <row r="216" spans="3:18" x14ac:dyDescent="0.25">
      <c r="C216" s="37"/>
      <c r="D216" s="157"/>
      <c r="E216" s="44"/>
      <c r="F216" s="127" t="str">
        <f t="shared" si="45"/>
        <v>-</v>
      </c>
      <c r="G216" s="1"/>
      <c r="H216" s="158"/>
      <c r="I216" s="37"/>
      <c r="J216" s="135"/>
      <c r="K216" s="112"/>
      <c r="L216" s="37"/>
      <c r="M216" s="37"/>
      <c r="N216" s="37"/>
      <c r="O216" s="130" t="str">
        <f t="shared" si="46"/>
        <v>-</v>
      </c>
      <c r="P216" s="132" t="str">
        <f t="shared" si="47"/>
        <v>-</v>
      </c>
      <c r="Q216" s="92"/>
      <c r="R216" s="92"/>
    </row>
    <row r="217" spans="3:18" x14ac:dyDescent="0.25">
      <c r="C217" s="37"/>
      <c r="D217" s="157"/>
      <c r="E217" s="44"/>
      <c r="F217" s="127" t="str">
        <f t="shared" si="45"/>
        <v>-</v>
      </c>
      <c r="G217" s="1"/>
      <c r="H217" s="158"/>
      <c r="I217" s="37"/>
      <c r="J217" s="135"/>
      <c r="K217" s="112"/>
      <c r="L217" s="37"/>
      <c r="M217" s="37"/>
      <c r="N217" s="37"/>
      <c r="O217" s="130" t="str">
        <f t="shared" si="46"/>
        <v>-</v>
      </c>
      <c r="P217" s="132" t="str">
        <f t="shared" si="47"/>
        <v>-</v>
      </c>
      <c r="Q217" s="92"/>
      <c r="R217" s="92"/>
    </row>
    <row r="218" spans="3:18" x14ac:dyDescent="0.25">
      <c r="C218" s="37"/>
      <c r="D218" s="157"/>
      <c r="E218" s="44"/>
      <c r="F218" s="127" t="str">
        <f t="shared" si="45"/>
        <v>-</v>
      </c>
      <c r="G218" s="1"/>
      <c r="H218" s="158"/>
      <c r="I218" s="37"/>
      <c r="J218" s="135"/>
      <c r="K218" s="112"/>
      <c r="L218" s="37"/>
      <c r="M218" s="37"/>
      <c r="N218" s="37"/>
      <c r="O218" s="130" t="str">
        <f t="shared" si="46"/>
        <v>-</v>
      </c>
      <c r="P218" s="132" t="str">
        <f t="shared" si="47"/>
        <v>-</v>
      </c>
      <c r="Q218" s="92"/>
      <c r="R218" s="92"/>
    </row>
    <row r="219" spans="3:18" x14ac:dyDescent="0.25">
      <c r="C219" s="37"/>
      <c r="D219" s="157"/>
      <c r="E219" s="44"/>
      <c r="F219" s="127" t="str">
        <f t="shared" si="45"/>
        <v>-</v>
      </c>
      <c r="G219" s="1"/>
      <c r="H219" s="158"/>
      <c r="I219" s="37"/>
      <c r="J219" s="135"/>
      <c r="K219" s="112"/>
      <c r="L219" s="37"/>
      <c r="M219" s="37"/>
      <c r="N219" s="37"/>
      <c r="O219" s="130" t="str">
        <f t="shared" si="46"/>
        <v>-</v>
      </c>
      <c r="P219" s="132" t="str">
        <f t="shared" si="47"/>
        <v>-</v>
      </c>
      <c r="Q219" s="92"/>
      <c r="R219" s="92"/>
    </row>
    <row r="220" spans="3:18" x14ac:dyDescent="0.25">
      <c r="C220" s="37"/>
      <c r="D220" s="157"/>
      <c r="E220" s="44"/>
      <c r="F220" s="127" t="str">
        <f t="shared" si="45"/>
        <v>-</v>
      </c>
      <c r="G220" s="1"/>
      <c r="H220" s="158"/>
      <c r="I220" s="37"/>
      <c r="J220" s="135"/>
      <c r="K220" s="112"/>
      <c r="L220" s="37"/>
      <c r="M220" s="37"/>
      <c r="N220" s="37"/>
      <c r="O220" s="130" t="str">
        <f t="shared" si="46"/>
        <v>-</v>
      </c>
      <c r="P220" s="132" t="str">
        <f t="shared" si="47"/>
        <v>-</v>
      </c>
      <c r="Q220" s="92"/>
      <c r="R220" s="92"/>
    </row>
    <row r="221" spans="3:18" x14ac:dyDescent="0.25">
      <c r="C221" s="37"/>
      <c r="D221" s="157"/>
      <c r="E221" s="44"/>
      <c r="F221" s="127" t="str">
        <f t="shared" si="45"/>
        <v>-</v>
      </c>
      <c r="G221" s="1"/>
      <c r="H221" s="158"/>
      <c r="I221" s="37"/>
      <c r="J221" s="135"/>
      <c r="K221" s="112"/>
      <c r="L221" s="37"/>
      <c r="M221" s="37"/>
      <c r="N221" s="37"/>
      <c r="O221" s="130" t="str">
        <f t="shared" si="46"/>
        <v>-</v>
      </c>
      <c r="P221" s="132" t="str">
        <f t="shared" si="47"/>
        <v>-</v>
      </c>
      <c r="Q221" s="92"/>
      <c r="R221" s="92"/>
    </row>
    <row r="222" spans="3:18" x14ac:dyDescent="0.25">
      <c r="C222" s="37"/>
      <c r="D222" s="157"/>
      <c r="E222" s="44"/>
      <c r="F222" s="127" t="str">
        <f t="shared" si="45"/>
        <v>-</v>
      </c>
      <c r="G222" s="1"/>
      <c r="H222" s="158"/>
      <c r="I222" s="37"/>
      <c r="J222" s="135"/>
      <c r="K222" s="112"/>
      <c r="L222" s="37"/>
      <c r="M222" s="37"/>
      <c r="N222" s="37"/>
      <c r="O222" s="130" t="str">
        <f t="shared" si="46"/>
        <v>-</v>
      </c>
      <c r="P222" s="132" t="str">
        <f t="shared" si="47"/>
        <v>-</v>
      </c>
      <c r="Q222" s="92"/>
      <c r="R222" s="92"/>
    </row>
    <row r="223" spans="3:18" x14ac:dyDescent="0.25">
      <c r="C223" s="37"/>
      <c r="D223" s="157"/>
      <c r="E223" s="44"/>
      <c r="F223" s="127" t="str">
        <f t="shared" si="45"/>
        <v>-</v>
      </c>
      <c r="G223" s="1"/>
      <c r="H223" s="158"/>
      <c r="I223" s="37"/>
      <c r="J223" s="135"/>
      <c r="K223" s="112"/>
      <c r="L223" s="37"/>
      <c r="M223" s="37"/>
      <c r="N223" s="37"/>
      <c r="O223" s="130" t="str">
        <f t="shared" si="46"/>
        <v>-</v>
      </c>
      <c r="P223" s="132" t="str">
        <f t="shared" si="47"/>
        <v>-</v>
      </c>
      <c r="Q223" s="92"/>
      <c r="R223" s="92"/>
    </row>
    <row r="224" spans="3:18" x14ac:dyDescent="0.25">
      <c r="C224" s="37"/>
      <c r="D224" s="157"/>
      <c r="E224" s="44"/>
      <c r="F224" s="127" t="str">
        <f t="shared" si="45"/>
        <v>-</v>
      </c>
      <c r="G224" s="1"/>
      <c r="H224" s="158"/>
      <c r="I224" s="37"/>
      <c r="J224" s="135"/>
      <c r="K224" s="112"/>
      <c r="L224" s="37"/>
      <c r="M224" s="37"/>
      <c r="N224" s="37"/>
      <c r="O224" s="130" t="str">
        <f t="shared" si="46"/>
        <v>-</v>
      </c>
      <c r="P224" s="132" t="str">
        <f t="shared" si="47"/>
        <v>-</v>
      </c>
      <c r="Q224" s="92"/>
      <c r="R224" s="92"/>
    </row>
    <row r="225" spans="3:18" x14ac:dyDescent="0.25">
      <c r="C225" s="37"/>
      <c r="D225" s="157"/>
      <c r="E225" s="44"/>
      <c r="F225" s="127" t="str">
        <f t="shared" si="45"/>
        <v>-</v>
      </c>
      <c r="G225" s="1"/>
      <c r="H225" s="158"/>
      <c r="I225" s="37"/>
      <c r="J225" s="135"/>
      <c r="K225" s="112"/>
      <c r="L225" s="37"/>
      <c r="M225" s="37"/>
      <c r="N225" s="37"/>
      <c r="O225" s="130" t="str">
        <f t="shared" si="46"/>
        <v>-</v>
      </c>
      <c r="P225" s="132" t="str">
        <f t="shared" si="47"/>
        <v>-</v>
      </c>
      <c r="Q225" s="92"/>
      <c r="R225" s="92"/>
    </row>
    <row r="226" spans="3:18" x14ac:dyDescent="0.25">
      <c r="C226" s="37"/>
      <c r="D226" s="157"/>
      <c r="E226" s="44"/>
      <c r="F226" s="127" t="str">
        <f t="shared" si="45"/>
        <v>-</v>
      </c>
      <c r="G226" s="1"/>
      <c r="H226" s="158"/>
      <c r="I226" s="37"/>
      <c r="J226" s="135"/>
      <c r="K226" s="112"/>
      <c r="L226" s="37"/>
      <c r="M226" s="37"/>
      <c r="N226" s="37"/>
      <c r="O226" s="130" t="str">
        <f t="shared" ref="O226:O229" si="48">IF(N226="","-",L226*N226)</f>
        <v>-</v>
      </c>
      <c r="P226" s="132" t="str">
        <f t="shared" si="47"/>
        <v>-</v>
      </c>
      <c r="Q226" s="92"/>
      <c r="R226" s="92"/>
    </row>
    <row r="227" spans="3:18" x14ac:dyDescent="0.25">
      <c r="C227" s="37"/>
      <c r="D227" s="157"/>
      <c r="E227" s="44"/>
      <c r="F227" s="127" t="str">
        <f t="shared" si="45"/>
        <v>-</v>
      </c>
      <c r="G227" s="1"/>
      <c r="H227" s="158"/>
      <c r="I227" s="37"/>
      <c r="J227" s="135"/>
      <c r="K227" s="112"/>
      <c r="L227" s="37"/>
      <c r="M227" s="37"/>
      <c r="N227" s="37"/>
      <c r="O227" s="130" t="str">
        <f t="shared" si="48"/>
        <v>-</v>
      </c>
      <c r="P227" s="132" t="str">
        <f t="shared" si="47"/>
        <v>-</v>
      </c>
      <c r="Q227" s="92"/>
      <c r="R227" s="92"/>
    </row>
    <row r="228" spans="3:18" x14ac:dyDescent="0.25">
      <c r="C228" s="37"/>
      <c r="D228" s="157"/>
      <c r="E228" s="44"/>
      <c r="F228" s="127" t="str">
        <f t="shared" si="45"/>
        <v>-</v>
      </c>
      <c r="G228" s="1"/>
      <c r="H228" s="158"/>
      <c r="I228" s="37"/>
      <c r="J228" s="135"/>
      <c r="K228" s="112"/>
      <c r="L228" s="37"/>
      <c r="M228" s="37"/>
      <c r="N228" s="37"/>
      <c r="O228" s="130" t="str">
        <f t="shared" si="48"/>
        <v>-</v>
      </c>
      <c r="P228" s="132" t="str">
        <f t="shared" si="47"/>
        <v>-</v>
      </c>
      <c r="Q228" s="92"/>
      <c r="R228" s="92"/>
    </row>
    <row r="229" spans="3:18" x14ac:dyDescent="0.25">
      <c r="C229" s="40"/>
      <c r="D229" s="176"/>
      <c r="E229" s="177"/>
      <c r="F229" s="128" t="str">
        <f t="shared" ref="F229" si="49">IF(E229="","-",IF(E229&lt;$E$15,"ERROR - date outside of range",IF(MONTH(E229)&gt;=7,YEAR(E229)&amp;"-"&amp;RIGHT(YEAR(E229),2)+1,YEAR(E229)-1&amp;"-"&amp;RIGHT(YEAR(E229),2))))</f>
        <v>-</v>
      </c>
      <c r="G229" s="1"/>
      <c r="H229" s="159"/>
      <c r="I229" s="41"/>
      <c r="J229" s="162"/>
      <c r="K229" s="91"/>
      <c r="L229" s="41"/>
      <c r="M229" s="41"/>
      <c r="N229" s="41"/>
      <c r="O229" s="163" t="str">
        <f t="shared" si="48"/>
        <v>-</v>
      </c>
      <c r="P229" s="133" t="str">
        <f t="shared" ref="P229" si="50">IF(O229="-","-",IF(E229&lt;$E$15,0,O229*J229))</f>
        <v>-</v>
      </c>
      <c r="Q229" s="92"/>
      <c r="R229" s="92"/>
    </row>
  </sheetData>
  <conditionalFormatting sqref="F130:F229 F119 F22:F49 F56:F86">
    <cfRule type="containsText" dxfId="9" priority="12" operator="containsText" text="ERROR">
      <formula>NOT(ISERROR(SEARCH("ERROR",F22)))</formula>
    </cfRule>
  </conditionalFormatting>
  <conditionalFormatting sqref="J22:J229">
    <cfRule type="cellIs" dxfId="8" priority="11" operator="equal">
      <formula>1</formula>
    </cfRule>
  </conditionalFormatting>
  <conditionalFormatting sqref="F125:F129">
    <cfRule type="containsText" dxfId="7" priority="10" operator="containsText" text="ERROR">
      <formula>NOT(ISERROR(SEARCH("ERROR",F125)))</formula>
    </cfRule>
  </conditionalFormatting>
  <conditionalFormatting sqref="F51:F53">
    <cfRule type="containsText" dxfId="6" priority="7" operator="containsText" text="ERROR">
      <formula>NOT(ISERROR(SEARCH("ERROR",F51)))</formula>
    </cfRule>
  </conditionalFormatting>
  <conditionalFormatting sqref="F50">
    <cfRule type="containsText" dxfId="5" priority="6" operator="containsText" text="ERROR">
      <formula>NOT(ISERROR(SEARCH("ERROR",F50)))</formula>
    </cfRule>
  </conditionalFormatting>
  <conditionalFormatting sqref="F54:F55">
    <cfRule type="containsText" dxfId="4" priority="4" operator="containsText" text="ERROR">
      <formula>NOT(ISERROR(SEARCH("ERROR",F54)))</formula>
    </cfRule>
  </conditionalFormatting>
  <conditionalFormatting sqref="F87:F118">
    <cfRule type="containsText" dxfId="3" priority="2" operator="containsText" text="ERROR">
      <formula>NOT(ISERROR(SEARCH("ERROR",F87)))</formula>
    </cfRule>
  </conditionalFormatting>
  <conditionalFormatting sqref="F120:F124">
    <cfRule type="containsText" dxfId="2" priority="1" operator="containsText" text="ERROR">
      <formula>NOT(ISERROR(SEARCH("ERROR",F120)))</formula>
    </cfRule>
  </conditionalFormatting>
  <hyperlinks>
    <hyperlink ref="E7" location="'Asset exclusions'!A1" display="'Asset exclusions'!A1" xr:uid="{00000000-0004-0000-0700-000000000000}"/>
  </hyperlinks>
  <pageMargins left="0.7" right="0.7" top="0.75" bottom="0.75" header="0.3" footer="0.3"/>
  <pageSetup paperSize="9" orientation="portrait" verticalDpi="598"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T103"/>
  <sheetViews>
    <sheetView showGridLines="0" zoomScaleNormal="100" workbookViewId="0"/>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2.8984375" customWidth="1"/>
    <col min="8" max="8" width="2.69921875" customWidth="1"/>
    <col min="9" max="9" width="15.69921875" customWidth="1"/>
    <col min="10" max="10" width="15.8984375" customWidth="1"/>
    <col min="11" max="11" width="2.69921875" customWidth="1"/>
    <col min="12" max="12" width="15.69921875" customWidth="1"/>
    <col min="13" max="13" width="17"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9765625" hidden="1" customWidth="1" outlineLevel="1"/>
    <col min="37" max="37" width="23.59765625" hidden="1" customWidth="1" outlineLevel="1"/>
    <col min="38" max="39" width="9" hidden="1" customWidth="1" outlineLevel="1"/>
    <col min="40" max="40" width="9" collapsed="1"/>
    <col min="41" max="41" width="28.19921875" bestFit="1" customWidth="1"/>
    <col min="42" max="42" width="11.8984375" customWidth="1"/>
    <col min="45" max="46" width="9" style="1"/>
  </cols>
  <sheetData>
    <row r="3" spans="3:46" ht="20" x14ac:dyDescent="0.4">
      <c r="C3" s="70" t="s">
        <v>116</v>
      </c>
    </row>
    <row r="6" spans="3:46" x14ac:dyDescent="0.25">
      <c r="C6" s="56" t="s">
        <v>117</v>
      </c>
      <c r="F6" s="299">
        <f>'General inputs'!H36</f>
        <v>130.53379320156029</v>
      </c>
      <c r="G6" s="225" t="str">
        <f ca="1">"Input entered at "&amp;ADDRESS(ROW('General inputs'!$H$36),COLUMN('General inputs'!$H$36))&amp;" on the '"&amp;MID(CELL("filename",'General inputs'!$A$1),FIND("]",CELL("filename",'General inputs'!$A$1))+1,255)&amp;"' worksheet. "</f>
        <v xml:space="preserve">Input entered at $H$36 on the 'General inputs' worksheet. </v>
      </c>
      <c r="H6" s="92"/>
      <c r="I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row>
    <row r="7" spans="3:46" x14ac:dyDescent="0.25">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1"/>
      <c r="AP7" s="91"/>
    </row>
    <row r="8" spans="3:46" x14ac:dyDescent="0.25">
      <c r="F8" s="57" t="s">
        <v>19</v>
      </c>
      <c r="G8" s="57"/>
      <c r="H8" s="58"/>
      <c r="I8" s="57" t="s">
        <v>20</v>
      </c>
      <c r="J8" s="57"/>
      <c r="K8" s="58"/>
      <c r="L8" s="366" t="s">
        <v>269</v>
      </c>
      <c r="M8" s="367"/>
      <c r="N8" s="58"/>
      <c r="O8" s="366" t="s">
        <v>94</v>
      </c>
      <c r="P8" s="367"/>
      <c r="Q8" s="58"/>
      <c r="R8" s="366" t="s">
        <v>93</v>
      </c>
      <c r="S8" s="367"/>
      <c r="T8" s="58"/>
      <c r="U8" s="366" t="s">
        <v>118</v>
      </c>
      <c r="V8" s="367"/>
      <c r="W8" s="58"/>
      <c r="X8" s="366" t="s">
        <v>119</v>
      </c>
      <c r="Y8" s="367"/>
      <c r="Z8" s="58"/>
      <c r="AA8" s="366" t="s">
        <v>120</v>
      </c>
      <c r="AB8" s="367"/>
      <c r="AC8" s="58"/>
      <c r="AD8" s="366" t="s">
        <v>121</v>
      </c>
      <c r="AE8" s="367"/>
      <c r="AF8" s="58"/>
      <c r="AG8" s="366" t="s">
        <v>122</v>
      </c>
      <c r="AH8" s="367"/>
      <c r="AO8" s="91"/>
      <c r="AP8" s="91"/>
    </row>
    <row r="9" spans="3:46" x14ac:dyDescent="0.25">
      <c r="C9" s="56" t="s">
        <v>31</v>
      </c>
      <c r="F9" s="34" t="s">
        <v>32</v>
      </c>
      <c r="G9" s="298">
        <f>F6</f>
        <v>130.53379320156029</v>
      </c>
      <c r="H9" s="47"/>
      <c r="I9" s="34" t="s">
        <v>32</v>
      </c>
      <c r="J9" s="298">
        <v>93.10388994042458</v>
      </c>
      <c r="K9" s="47"/>
      <c r="L9" s="73" t="s">
        <v>37</v>
      </c>
      <c r="M9" s="74" t="s">
        <v>270</v>
      </c>
      <c r="N9" s="47"/>
      <c r="O9" s="73" t="s">
        <v>36</v>
      </c>
      <c r="P9" s="74">
        <v>5000</v>
      </c>
      <c r="Q9" s="47"/>
      <c r="R9" s="73" t="s">
        <v>37</v>
      </c>
      <c r="S9" s="74">
        <v>20000</v>
      </c>
      <c r="T9" s="47"/>
      <c r="U9" s="73" t="s">
        <v>36</v>
      </c>
      <c r="V9" s="74">
        <v>5000</v>
      </c>
      <c r="W9" s="47"/>
      <c r="X9" s="73" t="s">
        <v>37</v>
      </c>
      <c r="Y9" s="74">
        <v>20000</v>
      </c>
      <c r="Z9" s="47"/>
      <c r="AA9" s="73" t="s">
        <v>36</v>
      </c>
      <c r="AB9" s="74">
        <v>5000</v>
      </c>
      <c r="AC9" s="47"/>
      <c r="AD9" s="73" t="s">
        <v>37</v>
      </c>
      <c r="AE9" s="74">
        <v>20000</v>
      </c>
      <c r="AF9" s="47"/>
      <c r="AG9" s="73" t="s">
        <v>36</v>
      </c>
      <c r="AH9" s="74">
        <v>5000</v>
      </c>
      <c r="AO9" s="101"/>
      <c r="AP9" s="91"/>
    </row>
    <row r="10" spans="3:46" x14ac:dyDescent="0.25">
      <c r="AO10" s="101"/>
      <c r="AP10" s="356"/>
    </row>
    <row r="11" spans="3:46" ht="34.5" x14ac:dyDescent="0.25">
      <c r="D11" s="224" t="s">
        <v>91</v>
      </c>
      <c r="E11" s="45"/>
      <c r="F11" s="224" t="s">
        <v>142</v>
      </c>
      <c r="G11" s="139" t="s">
        <v>21</v>
      </c>
      <c r="H11" s="139"/>
      <c r="I11" s="138" t="s">
        <v>143</v>
      </c>
      <c r="J11" s="139" t="s">
        <v>21</v>
      </c>
      <c r="K11" s="139"/>
      <c r="L11" s="138" t="s">
        <v>271</v>
      </c>
      <c r="M11" s="139" t="s">
        <v>21</v>
      </c>
      <c r="N11" s="139"/>
      <c r="O11" s="138" t="str">
        <f>"Annual take-up of "&amp;INDEX($AK$12:$AK$19,MATCH(O9,$AJ$12:$AJ$20,0))&amp;" for "&amp;O8</f>
        <v>Annual take-up of properties for Commercial</v>
      </c>
      <c r="P11" s="139" t="s">
        <v>21</v>
      </c>
      <c r="Q11" s="139"/>
      <c r="R11" s="138" t="str">
        <f>"Annual take-up of "&amp;INDEX($AK$12:$AK$19,MATCH(R9,$AJ$12:$AJ$20,0))&amp;" for "&amp;R8</f>
        <v>Annual take-up of hectares for Light industrial</v>
      </c>
      <c r="S11" s="139" t="s">
        <v>21</v>
      </c>
      <c r="T11" s="139"/>
      <c r="U11" s="138" t="str">
        <f>"Annual take-up of "&amp;INDEX($AK$12:$AK$19,MATCH(U9,$AJ$12:$AJ$20,0))&amp;" for "&amp;U8</f>
        <v>Annual take-up of properties for Non-res 4</v>
      </c>
      <c r="V11" s="139" t="s">
        <v>21</v>
      </c>
      <c r="W11" s="139"/>
      <c r="X11" s="138" t="str">
        <f>"Annual take-up of "&amp;INDEX($AK$12:$AK$19,MATCH(X9,$AJ$12:$AJ$20,0))&amp;" for "&amp;X8</f>
        <v>Annual take-up of hectares for Non-res 5</v>
      </c>
      <c r="Y11" s="139" t="s">
        <v>21</v>
      </c>
      <c r="Z11" s="139"/>
      <c r="AA11" s="138" t="str">
        <f>"Annual take-up of "&amp;INDEX($AK$12:$AK$19,MATCH(AA9,$AJ$12:$AJ$20,0))&amp;" for "&amp;AA8</f>
        <v>Annual take-up of properties for Non-res 6</v>
      </c>
      <c r="AB11" s="139" t="s">
        <v>21</v>
      </c>
      <c r="AC11" s="139"/>
      <c r="AD11" s="138" t="str">
        <f>"Annual take-up of "&amp;INDEX($AK$12:$AK$19,MATCH(AD9,$AJ$12:$AJ$20,0))&amp;" for "&amp;AD8</f>
        <v>Annual take-up of hectares for Non-res 7</v>
      </c>
      <c r="AE11" s="139" t="s">
        <v>21</v>
      </c>
      <c r="AF11" s="139"/>
      <c r="AG11" s="138" t="str">
        <f>"Annual take-up of "&amp;INDEX($AK$12:$AK$19,MATCH(AG9,$AJ$12:$AJ$20,0))&amp;" for "&amp;AG8</f>
        <v>Annual take-up of properties for Non-res 8</v>
      </c>
      <c r="AH11" s="139" t="s">
        <v>21</v>
      </c>
      <c r="AI11" s="92"/>
      <c r="AJ11" s="140" t="s">
        <v>38</v>
      </c>
      <c r="AK11" s="100"/>
      <c r="AL11" s="92"/>
      <c r="AM11" s="178"/>
      <c r="AN11" s="100"/>
      <c r="AO11" s="250" t="str">
        <f>"Total ET in "&amp;'General inputs'!H7</f>
        <v>Total ET in Lower South Creek Wastewater</v>
      </c>
      <c r="AS11" s="357"/>
      <c r="AT11" s="358"/>
    </row>
    <row r="12" spans="3:46" ht="12" customHeight="1" x14ac:dyDescent="0.25">
      <c r="C12" s="100" t="str">
        <f>'MP Calculations'!D39</f>
        <v>1995-96</v>
      </c>
      <c r="D12" s="284">
        <f>IF(LEFT($C12,4)*1&lt;LEFT('General inputs'!$I$16,4)+'General inputs'!$H$38,SUM(G12,J12,M12,P12,S12,V12,Y12,AB12,AE12,AH12),"")</f>
        <v>764.13556966383658</v>
      </c>
      <c r="E12" s="286"/>
      <c r="F12" s="287"/>
      <c r="G12" s="284">
        <v>593.5</v>
      </c>
      <c r="H12" s="288"/>
      <c r="I12" s="300"/>
      <c r="J12" s="284">
        <v>170.63556966383663</v>
      </c>
      <c r="K12" s="288"/>
      <c r="L12" s="300"/>
      <c r="M12" s="284">
        <v>0</v>
      </c>
      <c r="N12" s="92"/>
      <c r="O12" s="59">
        <v>0</v>
      </c>
      <c r="P12" s="141">
        <f t="shared" ref="P12:P43" si="0">O12*$P$9/$F$6</f>
        <v>0</v>
      </c>
      <c r="Q12" s="92"/>
      <c r="R12" s="59">
        <v>0</v>
      </c>
      <c r="S12" s="141">
        <f t="shared" ref="S12:S43" si="1">R12*$S$9/$F$6</f>
        <v>0</v>
      </c>
      <c r="T12" s="92"/>
      <c r="U12" s="59">
        <v>0</v>
      </c>
      <c r="V12" s="141">
        <f t="shared" ref="V12:V43" si="2">U12*$V$9/$F$6</f>
        <v>0</v>
      </c>
      <c r="W12" s="92"/>
      <c r="X12" s="59">
        <v>0</v>
      </c>
      <c r="Y12" s="141">
        <f t="shared" ref="Y12:Y43" si="3">X12*$Y$9/$F$6</f>
        <v>0</v>
      </c>
      <c r="Z12" s="92"/>
      <c r="AA12" s="59">
        <v>0</v>
      </c>
      <c r="AB12" s="141">
        <f t="shared" ref="AB12:AB43" si="4">AA12*$AB$9/$F$6</f>
        <v>0</v>
      </c>
      <c r="AC12" s="92"/>
      <c r="AD12" s="59">
        <v>0</v>
      </c>
      <c r="AE12" s="141">
        <f t="shared" ref="AE12:AE43" si="5">AD12*$AE$9/$F$6</f>
        <v>0</v>
      </c>
      <c r="AF12" s="92"/>
      <c r="AG12" s="59">
        <v>0</v>
      </c>
      <c r="AH12" s="141">
        <f t="shared" ref="AH12:AH43" si="6">AG12*$AH$9/$F$6</f>
        <v>0</v>
      </c>
      <c r="AI12" s="142">
        <v>1</v>
      </c>
      <c r="AJ12" s="75" t="s">
        <v>36</v>
      </c>
      <c r="AK12" s="75" t="s">
        <v>95</v>
      </c>
      <c r="AO12" t="s">
        <v>531</v>
      </c>
      <c r="AP12" s="251">
        <v>46714.306724020586</v>
      </c>
      <c r="AS12" s="359"/>
      <c r="AT12" s="359"/>
    </row>
    <row r="13" spans="3:46" x14ac:dyDescent="0.25">
      <c r="C13" s="100" t="str">
        <f>'MP Calculations'!D40</f>
        <v>1996-97</v>
      </c>
      <c r="D13" s="285">
        <f>IF(LEFT($C13,4)*1&lt;LEFT('General inputs'!$I$16,4)+'General inputs'!$H$38,SUM(G13,J13,M13,P13,S13,V13,Y13,AB13,AE13,AH13),"")</f>
        <v>3860.1765822701213</v>
      </c>
      <c r="E13" s="288"/>
      <c r="F13" s="289"/>
      <c r="G13" s="285">
        <v>933</v>
      </c>
      <c r="H13" s="288"/>
      <c r="I13" s="301"/>
      <c r="J13" s="285">
        <v>259.28576514323646</v>
      </c>
      <c r="K13" s="288"/>
      <c r="L13" s="301"/>
      <c r="M13" s="285">
        <v>2667.8908171268849</v>
      </c>
      <c r="N13" s="92"/>
      <c r="O13" s="49">
        <v>0</v>
      </c>
      <c r="P13" s="115">
        <f t="shared" si="0"/>
        <v>0</v>
      </c>
      <c r="Q13" s="92"/>
      <c r="R13" s="49">
        <v>0</v>
      </c>
      <c r="S13" s="115">
        <f t="shared" si="1"/>
        <v>0</v>
      </c>
      <c r="T13" s="92"/>
      <c r="U13" s="49">
        <v>0</v>
      </c>
      <c r="V13" s="115">
        <f t="shared" si="2"/>
        <v>0</v>
      </c>
      <c r="W13" s="92"/>
      <c r="X13" s="49">
        <v>0</v>
      </c>
      <c r="Y13" s="115">
        <f t="shared" si="3"/>
        <v>0</v>
      </c>
      <c r="Z13" s="92"/>
      <c r="AA13" s="49">
        <v>0</v>
      </c>
      <c r="AB13" s="115">
        <f t="shared" si="4"/>
        <v>0</v>
      </c>
      <c r="AC13" s="92"/>
      <c r="AD13" s="49">
        <v>0</v>
      </c>
      <c r="AE13" s="115">
        <f t="shared" si="5"/>
        <v>0</v>
      </c>
      <c r="AF13" s="92"/>
      <c r="AG13" s="49">
        <v>0</v>
      </c>
      <c r="AH13" s="115">
        <f t="shared" si="6"/>
        <v>0</v>
      </c>
      <c r="AI13" s="92">
        <f>AI12+1</f>
        <v>2</v>
      </c>
      <c r="AJ13" s="38" t="s">
        <v>37</v>
      </c>
      <c r="AK13" s="38" t="s">
        <v>96</v>
      </c>
      <c r="AO13" t="s">
        <v>532</v>
      </c>
      <c r="AP13" s="251">
        <v>104176.20616916506</v>
      </c>
      <c r="AS13" s="359"/>
      <c r="AT13" s="359"/>
    </row>
    <row r="14" spans="3:46" x14ac:dyDescent="0.25">
      <c r="C14" s="100" t="str">
        <f>'MP Calculations'!D41</f>
        <v>1997-98</v>
      </c>
      <c r="D14" s="285">
        <f>IF(LEFT($C14,4)*1&lt;LEFT('General inputs'!$I$16,4)+'General inputs'!$H$38,SUM(G14,J14,M14,P14,S14,V14,Y14,AB14,AE14,AH14),"")</f>
        <v>4224.6618359606873</v>
      </c>
      <c r="E14" s="288"/>
      <c r="F14" s="289"/>
      <c r="G14" s="285">
        <v>946</v>
      </c>
      <c r="H14" s="288"/>
      <c r="I14" s="301"/>
      <c r="J14" s="285">
        <v>375.89289163482152</v>
      </c>
      <c r="K14" s="288"/>
      <c r="L14" s="301"/>
      <c r="M14" s="285">
        <v>2902.768944325866</v>
      </c>
      <c r="N14" s="92"/>
      <c r="O14" s="49">
        <v>0</v>
      </c>
      <c r="P14" s="115">
        <f t="shared" si="0"/>
        <v>0</v>
      </c>
      <c r="Q14" s="92"/>
      <c r="R14" s="49">
        <v>0</v>
      </c>
      <c r="S14" s="115">
        <f t="shared" si="1"/>
        <v>0</v>
      </c>
      <c r="T14" s="92"/>
      <c r="U14" s="49">
        <v>0</v>
      </c>
      <c r="V14" s="115">
        <f t="shared" si="2"/>
        <v>0</v>
      </c>
      <c r="W14" s="92"/>
      <c r="X14" s="49">
        <v>0</v>
      </c>
      <c r="Y14" s="115">
        <f t="shared" si="3"/>
        <v>0</v>
      </c>
      <c r="Z14" s="92"/>
      <c r="AA14" s="49">
        <v>0</v>
      </c>
      <c r="AB14" s="115">
        <f t="shared" si="4"/>
        <v>0</v>
      </c>
      <c r="AC14" s="92"/>
      <c r="AD14" s="49">
        <v>0</v>
      </c>
      <c r="AE14" s="115">
        <f t="shared" si="5"/>
        <v>0</v>
      </c>
      <c r="AF14" s="92"/>
      <c r="AG14" s="49">
        <v>0</v>
      </c>
      <c r="AH14" s="115">
        <f t="shared" si="6"/>
        <v>0</v>
      </c>
      <c r="AI14" s="92">
        <f t="shared" ref="AI14:AI18" si="7">AI13+1</f>
        <v>3</v>
      </c>
      <c r="AJ14" s="38"/>
      <c r="AK14" s="38"/>
      <c r="AO14" t="s">
        <v>533</v>
      </c>
      <c r="AP14" s="252">
        <f>SUM(AP13,D12:D102)</f>
        <v>394060.69108456786</v>
      </c>
      <c r="AS14" s="359"/>
      <c r="AT14" s="359"/>
    </row>
    <row r="15" spans="3:46" x14ac:dyDescent="0.25">
      <c r="C15" s="100" t="str">
        <f>'MP Calculations'!D42</f>
        <v>1998-99</v>
      </c>
      <c r="D15" s="285">
        <f>IF(LEFT($C15,4)*1&lt;LEFT('General inputs'!$I$16,4)+'General inputs'!$H$38,SUM(G15,J15,M15,P15,S15,V15,Y15,AB15,AE15,AH15),"")</f>
        <v>1503.5770792616095</v>
      </c>
      <c r="E15" s="288"/>
      <c r="F15" s="289"/>
      <c r="G15" s="285">
        <v>1131</v>
      </c>
      <c r="H15" s="288"/>
      <c r="I15" s="301"/>
      <c r="J15" s="285">
        <v>372.57707926160936</v>
      </c>
      <c r="K15" s="288"/>
      <c r="L15" s="301"/>
      <c r="M15" s="285">
        <v>0</v>
      </c>
      <c r="N15" s="92"/>
      <c r="O15" s="49">
        <v>0</v>
      </c>
      <c r="P15" s="115">
        <f t="shared" si="0"/>
        <v>0</v>
      </c>
      <c r="Q15" s="92"/>
      <c r="R15" s="49">
        <v>0</v>
      </c>
      <c r="S15" s="115">
        <f t="shared" si="1"/>
        <v>0</v>
      </c>
      <c r="T15" s="92"/>
      <c r="U15" s="49">
        <v>0</v>
      </c>
      <c r="V15" s="115">
        <f t="shared" si="2"/>
        <v>0</v>
      </c>
      <c r="W15" s="92"/>
      <c r="X15" s="49">
        <v>0</v>
      </c>
      <c r="Y15" s="115">
        <f t="shared" si="3"/>
        <v>0</v>
      </c>
      <c r="Z15" s="92"/>
      <c r="AA15" s="49">
        <v>0</v>
      </c>
      <c r="AB15" s="115">
        <f t="shared" si="4"/>
        <v>0</v>
      </c>
      <c r="AC15" s="92"/>
      <c r="AD15" s="49">
        <v>0</v>
      </c>
      <c r="AE15" s="115">
        <f t="shared" si="5"/>
        <v>0</v>
      </c>
      <c r="AF15" s="92"/>
      <c r="AG15" s="49">
        <v>0</v>
      </c>
      <c r="AH15" s="115">
        <f t="shared" si="6"/>
        <v>0</v>
      </c>
      <c r="AI15" s="92">
        <f t="shared" si="7"/>
        <v>4</v>
      </c>
      <c r="AJ15" s="38"/>
      <c r="AK15" s="38"/>
      <c r="AL15" s="179" t="str">
        <f>"Provide plural notation for the units of measure entered at "&amp;ADDRESS(ROW($AJ$12),COLUMN($AJ$12))&amp;" to "&amp;ADDRESS(ROW($AJ$18),COLUMN($AJ$18))&amp;"."</f>
        <v>Provide plural notation for the units of measure entered at $AJ$12 to $AJ$18.</v>
      </c>
      <c r="AM15" s="92"/>
      <c r="AN15" s="92"/>
      <c r="AP15" s="82"/>
      <c r="AS15" s="359"/>
      <c r="AT15" s="359"/>
    </row>
    <row r="16" spans="3:46" x14ac:dyDescent="0.25">
      <c r="C16" s="100" t="str">
        <f>'MP Calculations'!D43</f>
        <v>1999-00</v>
      </c>
      <c r="D16" s="285">
        <f>IF(LEFT($C16,4)*1&lt;LEFT('General inputs'!$I$16,4)+'General inputs'!$H$38,SUM(G16,J16,M16,P16,S16,V16,Y16,AB16,AE16,AH16),"")</f>
        <v>3130.9053224972331</v>
      </c>
      <c r="E16" s="288"/>
      <c r="F16" s="289"/>
      <c r="G16" s="285">
        <v>779</v>
      </c>
      <c r="H16" s="288"/>
      <c r="I16" s="301"/>
      <c r="J16" s="285">
        <v>505.48638925871455</v>
      </c>
      <c r="K16" s="288"/>
      <c r="L16" s="301"/>
      <c r="M16" s="285">
        <v>1846.4189332385188</v>
      </c>
      <c r="N16" s="92"/>
      <c r="O16" s="49">
        <v>0</v>
      </c>
      <c r="P16" s="115">
        <f t="shared" si="0"/>
        <v>0</v>
      </c>
      <c r="Q16" s="92"/>
      <c r="R16" s="49">
        <v>0</v>
      </c>
      <c r="S16" s="115">
        <f t="shared" si="1"/>
        <v>0</v>
      </c>
      <c r="T16" s="92"/>
      <c r="U16" s="49">
        <v>0</v>
      </c>
      <c r="V16" s="115">
        <f t="shared" si="2"/>
        <v>0</v>
      </c>
      <c r="W16" s="92"/>
      <c r="X16" s="49">
        <v>0</v>
      </c>
      <c r="Y16" s="115">
        <f t="shared" si="3"/>
        <v>0</v>
      </c>
      <c r="Z16" s="92"/>
      <c r="AA16" s="49">
        <v>0</v>
      </c>
      <c r="AB16" s="115">
        <f t="shared" si="4"/>
        <v>0</v>
      </c>
      <c r="AC16" s="92"/>
      <c r="AD16" s="49">
        <v>0</v>
      </c>
      <c r="AE16" s="115">
        <f t="shared" si="5"/>
        <v>0</v>
      </c>
      <c r="AF16" s="92"/>
      <c r="AG16" s="49">
        <v>0</v>
      </c>
      <c r="AH16" s="115">
        <f t="shared" si="6"/>
        <v>0</v>
      </c>
      <c r="AI16" s="92">
        <f t="shared" si="7"/>
        <v>5</v>
      </c>
      <c r="AJ16" s="186"/>
      <c r="AK16" s="186"/>
      <c r="AL16" s="179" t="s">
        <v>115</v>
      </c>
      <c r="AM16" s="92"/>
      <c r="AN16" s="92"/>
      <c r="AS16" s="359"/>
      <c r="AT16" s="359"/>
    </row>
    <row r="17" spans="3:46" x14ac:dyDescent="0.25">
      <c r="C17" s="100" t="str">
        <f>'MP Calculations'!D44</f>
        <v>2000-01</v>
      </c>
      <c r="D17" s="285">
        <f>IF(LEFT($C17,4)*1&lt;LEFT('General inputs'!$I$16,4)+'General inputs'!$H$38,SUM(G17,J17,M17,P17,S17,V17,Y17,AB17,AE17,AH17),"")</f>
        <v>1971.1582574551851</v>
      </c>
      <c r="E17" s="288"/>
      <c r="F17" s="289"/>
      <c r="G17" s="285">
        <v>747</v>
      </c>
      <c r="H17" s="288"/>
      <c r="I17" s="301"/>
      <c r="J17" s="285">
        <v>471.60344250719373</v>
      </c>
      <c r="K17" s="288"/>
      <c r="L17" s="301"/>
      <c r="M17" s="285">
        <v>752.55481494799142</v>
      </c>
      <c r="N17" s="92"/>
      <c r="O17" s="49">
        <v>0</v>
      </c>
      <c r="P17" s="115">
        <f t="shared" si="0"/>
        <v>0</v>
      </c>
      <c r="Q17" s="92"/>
      <c r="R17" s="49">
        <v>0</v>
      </c>
      <c r="S17" s="115">
        <f t="shared" si="1"/>
        <v>0</v>
      </c>
      <c r="T17" s="92"/>
      <c r="U17" s="49">
        <v>0</v>
      </c>
      <c r="V17" s="115">
        <f t="shared" si="2"/>
        <v>0</v>
      </c>
      <c r="W17" s="92"/>
      <c r="X17" s="49">
        <v>0</v>
      </c>
      <c r="Y17" s="115">
        <f t="shared" si="3"/>
        <v>0</v>
      </c>
      <c r="Z17" s="92"/>
      <c r="AA17" s="49">
        <v>0</v>
      </c>
      <c r="AB17" s="115">
        <f t="shared" si="4"/>
        <v>0</v>
      </c>
      <c r="AC17" s="92"/>
      <c r="AD17" s="49">
        <v>0</v>
      </c>
      <c r="AE17" s="115">
        <f t="shared" si="5"/>
        <v>0</v>
      </c>
      <c r="AF17" s="92"/>
      <c r="AG17" s="49">
        <v>0</v>
      </c>
      <c r="AH17" s="115">
        <f t="shared" si="6"/>
        <v>0</v>
      </c>
      <c r="AI17" s="92">
        <f t="shared" si="7"/>
        <v>6</v>
      </c>
      <c r="AJ17" s="38"/>
      <c r="AK17" s="38"/>
      <c r="AL17" s="92"/>
      <c r="AM17" s="92"/>
      <c r="AN17" s="92"/>
      <c r="AO17" s="250" t="s">
        <v>534</v>
      </c>
      <c r="AS17" s="359"/>
      <c r="AT17" s="359"/>
    </row>
    <row r="18" spans="3:46" x14ac:dyDescent="0.25">
      <c r="C18" s="100" t="str">
        <f>'MP Calculations'!D45</f>
        <v>2001-02</v>
      </c>
      <c r="D18" s="285">
        <f>IF(LEFT($C18,4)*1&lt;LEFT('General inputs'!$I$16,4)+'General inputs'!$H$38,SUM(G18,J18,M18,P18,S18,V18,Y18,AB18,AE18,AH18),"")</f>
        <v>3637.0045786847922</v>
      </c>
      <c r="E18" s="288"/>
      <c r="F18" s="289"/>
      <c r="G18" s="285">
        <v>793</v>
      </c>
      <c r="H18" s="288"/>
      <c r="I18" s="301"/>
      <c r="J18" s="285">
        <v>564.89995835975594</v>
      </c>
      <c r="K18" s="288"/>
      <c r="L18" s="301"/>
      <c r="M18" s="285">
        <v>2279.1046203250362</v>
      </c>
      <c r="N18" s="92"/>
      <c r="O18" s="49">
        <v>0</v>
      </c>
      <c r="P18" s="115">
        <f t="shared" si="0"/>
        <v>0</v>
      </c>
      <c r="Q18" s="92"/>
      <c r="R18" s="49">
        <v>0</v>
      </c>
      <c r="S18" s="115">
        <f t="shared" si="1"/>
        <v>0</v>
      </c>
      <c r="T18" s="92"/>
      <c r="U18" s="49">
        <v>0</v>
      </c>
      <c r="V18" s="115">
        <f t="shared" si="2"/>
        <v>0</v>
      </c>
      <c r="W18" s="92"/>
      <c r="X18" s="49">
        <v>0</v>
      </c>
      <c r="Y18" s="115">
        <f t="shared" si="3"/>
        <v>0</v>
      </c>
      <c r="Z18" s="92"/>
      <c r="AA18" s="49">
        <v>0</v>
      </c>
      <c r="AB18" s="115">
        <f t="shared" si="4"/>
        <v>0</v>
      </c>
      <c r="AC18" s="92"/>
      <c r="AD18" s="49">
        <v>0</v>
      </c>
      <c r="AE18" s="115">
        <f t="shared" si="5"/>
        <v>0</v>
      </c>
      <c r="AF18" s="92"/>
      <c r="AG18" s="49">
        <v>0</v>
      </c>
      <c r="AH18" s="115">
        <f t="shared" si="6"/>
        <v>0</v>
      </c>
      <c r="AI18" s="92">
        <f t="shared" si="7"/>
        <v>7</v>
      </c>
      <c r="AJ18" s="38"/>
      <c r="AK18" s="38"/>
      <c r="AL18" s="92"/>
      <c r="AM18" s="92"/>
      <c r="AN18" s="92"/>
      <c r="AO18" t="s">
        <v>535</v>
      </c>
      <c r="AP18" s="252">
        <f>AP13-AP12</f>
        <v>57461.899445144474</v>
      </c>
      <c r="AS18" s="359"/>
      <c r="AT18" s="359"/>
    </row>
    <row r="19" spans="3:46" x14ac:dyDescent="0.25">
      <c r="C19" s="100" t="str">
        <f>'MP Calculations'!D46</f>
        <v>2002-03</v>
      </c>
      <c r="D19" s="285">
        <f>IF(LEFT($C19,4)*1&lt;LEFT('General inputs'!$I$16,4)+'General inputs'!$H$38,SUM(G19,J19,M19,P19,S19,V19,Y19,AB19,AE19,AH19),"")</f>
        <v>2674.7706877553642</v>
      </c>
      <c r="E19" s="288"/>
      <c r="F19" s="289"/>
      <c r="G19" s="285">
        <v>578</v>
      </c>
      <c r="H19" s="288"/>
      <c r="I19" s="301"/>
      <c r="J19" s="285">
        <v>635.57422479696936</v>
      </c>
      <c r="K19" s="288"/>
      <c r="L19" s="301"/>
      <c r="M19" s="285">
        <v>1461.1964629583949</v>
      </c>
      <c r="N19" s="92"/>
      <c r="O19" s="49">
        <v>0</v>
      </c>
      <c r="P19" s="115">
        <f t="shared" si="0"/>
        <v>0</v>
      </c>
      <c r="Q19" s="92"/>
      <c r="R19" s="49">
        <v>0</v>
      </c>
      <c r="S19" s="115">
        <f t="shared" si="1"/>
        <v>0</v>
      </c>
      <c r="T19" s="92"/>
      <c r="U19" s="49">
        <v>0</v>
      </c>
      <c r="V19" s="115">
        <f t="shared" si="2"/>
        <v>0</v>
      </c>
      <c r="W19" s="92"/>
      <c r="X19" s="49">
        <v>0</v>
      </c>
      <c r="Y19" s="115">
        <f t="shared" si="3"/>
        <v>0</v>
      </c>
      <c r="Z19" s="92"/>
      <c r="AA19" s="49">
        <v>0</v>
      </c>
      <c r="AB19" s="115">
        <f t="shared" si="4"/>
        <v>0</v>
      </c>
      <c r="AC19" s="92"/>
      <c r="AD19" s="49">
        <v>0</v>
      </c>
      <c r="AE19" s="115">
        <f t="shared" si="5"/>
        <v>0</v>
      </c>
      <c r="AF19" s="92"/>
      <c r="AG19" s="49">
        <v>0</v>
      </c>
      <c r="AH19" s="115">
        <f t="shared" si="6"/>
        <v>0</v>
      </c>
      <c r="AI19" s="92"/>
      <c r="AJ19" s="143" t="str">
        <f>"add alternatives at "&amp;ADDRESS(ROW(AJ18),COLUMN(AJ18))&amp;":"&amp;ADDRESS(ROW(AJ23),COLUMN(AJ23))</f>
        <v>add alternatives at $AJ$18:$AJ$23</v>
      </c>
      <c r="AK19" s="180"/>
      <c r="AL19" s="92"/>
      <c r="AM19" s="92"/>
      <c r="AN19" s="92"/>
      <c r="AO19" t="s">
        <v>536</v>
      </c>
      <c r="AP19" s="252">
        <f>SUM(D12:D38)</f>
        <v>82034.503629367246</v>
      </c>
      <c r="AS19" s="359"/>
      <c r="AT19" s="359"/>
    </row>
    <row r="20" spans="3:46" x14ac:dyDescent="0.25">
      <c r="C20" s="100" t="str">
        <f>'MP Calculations'!D47</f>
        <v>2003-04</v>
      </c>
      <c r="D20" s="285">
        <f>IF(LEFT($C20,4)*1&lt;LEFT('General inputs'!$I$16,4)+'General inputs'!$H$38,SUM(G20,J20,M20,P20,S20,V20,Y20,AB20,AE20,AH20),"")</f>
        <v>787.35863070413359</v>
      </c>
      <c r="E20" s="288"/>
      <c r="F20" s="289"/>
      <c r="G20" s="285">
        <v>207</v>
      </c>
      <c r="H20" s="288"/>
      <c r="I20" s="301"/>
      <c r="J20" s="285">
        <v>580.35863070413359</v>
      </c>
      <c r="K20" s="288"/>
      <c r="L20" s="301"/>
      <c r="M20" s="285">
        <v>0</v>
      </c>
      <c r="N20" s="92"/>
      <c r="O20" s="49">
        <v>0</v>
      </c>
      <c r="P20" s="115">
        <f t="shared" si="0"/>
        <v>0</v>
      </c>
      <c r="Q20" s="92"/>
      <c r="R20" s="49">
        <v>0</v>
      </c>
      <c r="S20" s="115">
        <f t="shared" si="1"/>
        <v>0</v>
      </c>
      <c r="T20" s="92"/>
      <c r="U20" s="49">
        <v>0</v>
      </c>
      <c r="V20" s="115">
        <f t="shared" si="2"/>
        <v>0</v>
      </c>
      <c r="W20" s="92"/>
      <c r="X20" s="49">
        <v>0</v>
      </c>
      <c r="Y20" s="115">
        <f t="shared" si="3"/>
        <v>0</v>
      </c>
      <c r="Z20" s="92"/>
      <c r="AA20" s="49">
        <v>0</v>
      </c>
      <c r="AB20" s="115">
        <f t="shared" si="4"/>
        <v>0</v>
      </c>
      <c r="AC20" s="92"/>
      <c r="AD20" s="49">
        <v>0</v>
      </c>
      <c r="AE20" s="115">
        <f t="shared" si="5"/>
        <v>0</v>
      </c>
      <c r="AF20" s="92"/>
      <c r="AG20" s="49">
        <v>0</v>
      </c>
      <c r="AH20" s="115">
        <f t="shared" si="6"/>
        <v>0</v>
      </c>
      <c r="AI20" s="92"/>
      <c r="AL20" s="92"/>
      <c r="AM20" s="92"/>
      <c r="AN20" s="92"/>
      <c r="AO20" t="s">
        <v>537</v>
      </c>
      <c r="AP20" s="309">
        <f>1-(AP18+AP19)/(AP14-AP12)</f>
        <v>0.59839396822477431</v>
      </c>
      <c r="AS20" s="359"/>
      <c r="AT20" s="359"/>
    </row>
    <row r="21" spans="3:46" x14ac:dyDescent="0.25">
      <c r="C21" s="100" t="str">
        <f>'MP Calculations'!D48</f>
        <v>2004-05</v>
      </c>
      <c r="D21" s="285">
        <f>IF(LEFT($C21,4)*1&lt;LEFT('General inputs'!$I$16,4)+'General inputs'!$H$38,SUM(G21,J21,M21,P21,S21,V21,Y21,AB21,AE21,AH21),"")</f>
        <v>842.88029614111679</v>
      </c>
      <c r="E21" s="288"/>
      <c r="F21" s="289"/>
      <c r="G21" s="285">
        <v>251</v>
      </c>
      <c r="H21" s="288"/>
      <c r="I21" s="301"/>
      <c r="J21" s="285">
        <v>591.88029614111679</v>
      </c>
      <c r="K21" s="288"/>
      <c r="L21" s="301"/>
      <c r="M21" s="285">
        <v>0</v>
      </c>
      <c r="N21" s="92"/>
      <c r="O21" s="49">
        <v>0</v>
      </c>
      <c r="P21" s="115">
        <f t="shared" si="0"/>
        <v>0</v>
      </c>
      <c r="Q21" s="92"/>
      <c r="R21" s="49">
        <v>0</v>
      </c>
      <c r="S21" s="115">
        <f t="shared" si="1"/>
        <v>0</v>
      </c>
      <c r="T21" s="92"/>
      <c r="U21" s="49">
        <v>0</v>
      </c>
      <c r="V21" s="115">
        <f t="shared" si="2"/>
        <v>0</v>
      </c>
      <c r="W21" s="92"/>
      <c r="X21" s="49">
        <v>0</v>
      </c>
      <c r="Y21" s="115">
        <f t="shared" si="3"/>
        <v>0</v>
      </c>
      <c r="Z21" s="92"/>
      <c r="AA21" s="49">
        <v>0</v>
      </c>
      <c r="AB21" s="115">
        <f t="shared" si="4"/>
        <v>0</v>
      </c>
      <c r="AC21" s="92"/>
      <c r="AD21" s="49">
        <v>0</v>
      </c>
      <c r="AE21" s="115">
        <f t="shared" si="5"/>
        <v>0</v>
      </c>
      <c r="AF21" s="92"/>
      <c r="AG21" s="49">
        <v>0</v>
      </c>
      <c r="AH21" s="115">
        <f t="shared" si="6"/>
        <v>0</v>
      </c>
      <c r="AI21" s="92"/>
      <c r="AL21" s="92"/>
      <c r="AM21" s="92"/>
      <c r="AN21" s="92"/>
      <c r="AO21" t="s">
        <v>132</v>
      </c>
      <c r="AP21" s="309">
        <f>1-AP19/(AP14-AP12)</f>
        <v>0.76382508261777382</v>
      </c>
      <c r="AS21" s="359"/>
      <c r="AT21" s="359"/>
    </row>
    <row r="22" spans="3:46" x14ac:dyDescent="0.25">
      <c r="C22" s="100" t="str">
        <f>'MP Calculations'!D49</f>
        <v>2005-06</v>
      </c>
      <c r="D22" s="285">
        <f>IF(LEFT($C22,4)*1&lt;LEFT('General inputs'!$I$16,4)+'General inputs'!$H$38,SUM(G22,J22,M22,P22,S22,V22,Y22,AB22,AE22,AH22),"")</f>
        <v>834.71035788085237</v>
      </c>
      <c r="E22" s="288"/>
      <c r="F22" s="289"/>
      <c r="G22" s="285">
        <v>139</v>
      </c>
      <c r="H22" s="288"/>
      <c r="I22" s="301"/>
      <c r="J22" s="285">
        <v>695.71035788085237</v>
      </c>
      <c r="K22" s="288"/>
      <c r="L22" s="301"/>
      <c r="M22" s="285">
        <v>0</v>
      </c>
      <c r="N22" s="92"/>
      <c r="O22" s="49">
        <v>0</v>
      </c>
      <c r="P22" s="115">
        <f t="shared" si="0"/>
        <v>0</v>
      </c>
      <c r="Q22" s="92"/>
      <c r="R22" s="49">
        <v>0</v>
      </c>
      <c r="S22" s="115">
        <f t="shared" si="1"/>
        <v>0</v>
      </c>
      <c r="T22" s="92"/>
      <c r="U22" s="49">
        <v>0</v>
      </c>
      <c r="V22" s="115">
        <f t="shared" si="2"/>
        <v>0</v>
      </c>
      <c r="W22" s="92"/>
      <c r="X22" s="49">
        <v>0</v>
      </c>
      <c r="Y22" s="115">
        <f t="shared" si="3"/>
        <v>0</v>
      </c>
      <c r="Z22" s="92"/>
      <c r="AA22" s="49">
        <v>0</v>
      </c>
      <c r="AB22" s="115">
        <f t="shared" si="4"/>
        <v>0</v>
      </c>
      <c r="AC22" s="92"/>
      <c r="AD22" s="49">
        <v>0</v>
      </c>
      <c r="AE22" s="115">
        <f t="shared" si="5"/>
        <v>0</v>
      </c>
      <c r="AF22" s="92"/>
      <c r="AG22" s="49">
        <v>0</v>
      </c>
      <c r="AH22" s="115">
        <f t="shared" si="6"/>
        <v>0</v>
      </c>
      <c r="AI22" s="92"/>
      <c r="AL22" s="92"/>
      <c r="AM22" s="92"/>
      <c r="AN22" s="92"/>
      <c r="AS22" s="359"/>
      <c r="AT22" s="359"/>
    </row>
    <row r="23" spans="3:46" x14ac:dyDescent="0.25">
      <c r="C23" s="100" t="str">
        <f>'MP Calculations'!D50</f>
        <v>2006-07</v>
      </c>
      <c r="D23" s="285">
        <f>IF(LEFT($C23,4)*1&lt;LEFT('General inputs'!$I$16,4)+'General inputs'!$H$38,SUM(G23,J23,M23,P23,S23,V23,Y23,AB23,AE23,AH23),"")</f>
        <v>952.03829711881065</v>
      </c>
      <c r="E23" s="288"/>
      <c r="F23" s="289"/>
      <c r="G23" s="285">
        <v>350</v>
      </c>
      <c r="H23" s="288"/>
      <c r="I23" s="301"/>
      <c r="J23" s="285">
        <v>282.28014326512272</v>
      </c>
      <c r="K23" s="288"/>
      <c r="L23" s="301"/>
      <c r="M23" s="285">
        <v>319.75815385368799</v>
      </c>
      <c r="N23" s="92"/>
      <c r="O23" s="49">
        <v>0</v>
      </c>
      <c r="P23" s="115">
        <f t="shared" si="0"/>
        <v>0</v>
      </c>
      <c r="Q23" s="92"/>
      <c r="R23" s="49">
        <v>0</v>
      </c>
      <c r="S23" s="115">
        <f t="shared" si="1"/>
        <v>0</v>
      </c>
      <c r="T23" s="92"/>
      <c r="U23" s="49">
        <v>0</v>
      </c>
      <c r="V23" s="115">
        <f t="shared" si="2"/>
        <v>0</v>
      </c>
      <c r="W23" s="92"/>
      <c r="X23" s="49">
        <v>0</v>
      </c>
      <c r="Y23" s="115">
        <f t="shared" si="3"/>
        <v>0</v>
      </c>
      <c r="Z23" s="92"/>
      <c r="AA23" s="49">
        <v>0</v>
      </c>
      <c r="AB23" s="115">
        <f t="shared" si="4"/>
        <v>0</v>
      </c>
      <c r="AC23" s="92"/>
      <c r="AD23" s="49">
        <v>0</v>
      </c>
      <c r="AE23" s="115">
        <f t="shared" si="5"/>
        <v>0</v>
      </c>
      <c r="AF23" s="92"/>
      <c r="AG23" s="49">
        <v>0</v>
      </c>
      <c r="AH23" s="115">
        <f t="shared" si="6"/>
        <v>0</v>
      </c>
      <c r="AI23" s="92"/>
      <c r="AL23" s="92"/>
      <c r="AM23" s="92"/>
      <c r="AN23" s="92"/>
      <c r="AS23" s="359"/>
      <c r="AT23" s="359"/>
    </row>
    <row r="24" spans="3:46" x14ac:dyDescent="0.25">
      <c r="C24" s="100" t="str">
        <f>'MP Calculations'!D51</f>
        <v>2007-08</v>
      </c>
      <c r="D24" s="285">
        <f>IF(LEFT($C24,4)*1&lt;LEFT('General inputs'!$I$16,4)+'General inputs'!$H$38,SUM(G24,J24,M24,P24,S24,V24,Y24,AB24,AE24,AH24),"")</f>
        <v>668.99131997231189</v>
      </c>
      <c r="E24" s="288"/>
      <c r="F24" s="289"/>
      <c r="G24" s="285">
        <v>247</v>
      </c>
      <c r="H24" s="288"/>
      <c r="I24" s="301"/>
      <c r="J24" s="285">
        <v>421.99131997231183</v>
      </c>
      <c r="K24" s="288"/>
      <c r="L24" s="301"/>
      <c r="M24" s="285">
        <v>0</v>
      </c>
      <c r="N24" s="92"/>
      <c r="O24" s="49">
        <v>0</v>
      </c>
      <c r="P24" s="115">
        <f t="shared" si="0"/>
        <v>0</v>
      </c>
      <c r="Q24" s="92"/>
      <c r="R24" s="49">
        <v>0</v>
      </c>
      <c r="S24" s="115">
        <f t="shared" si="1"/>
        <v>0</v>
      </c>
      <c r="T24" s="92"/>
      <c r="U24" s="49">
        <v>0</v>
      </c>
      <c r="V24" s="115">
        <f t="shared" si="2"/>
        <v>0</v>
      </c>
      <c r="W24" s="92"/>
      <c r="X24" s="49">
        <v>0</v>
      </c>
      <c r="Y24" s="115">
        <f t="shared" si="3"/>
        <v>0</v>
      </c>
      <c r="Z24" s="92"/>
      <c r="AA24" s="49">
        <v>0</v>
      </c>
      <c r="AB24" s="115">
        <f t="shared" si="4"/>
        <v>0</v>
      </c>
      <c r="AC24" s="92"/>
      <c r="AD24" s="49">
        <v>0</v>
      </c>
      <c r="AE24" s="115">
        <f t="shared" si="5"/>
        <v>0</v>
      </c>
      <c r="AF24" s="92"/>
      <c r="AG24" s="49">
        <v>0</v>
      </c>
      <c r="AH24" s="115">
        <f t="shared" si="6"/>
        <v>0</v>
      </c>
      <c r="AI24" s="92"/>
      <c r="AL24" s="92"/>
      <c r="AM24" s="92"/>
      <c r="AN24" s="92"/>
      <c r="AS24" s="359"/>
      <c r="AT24" s="359"/>
    </row>
    <row r="25" spans="3:46" x14ac:dyDescent="0.25">
      <c r="C25" s="100" t="str">
        <f>'MP Calculations'!D52</f>
        <v>2008-09</v>
      </c>
      <c r="D25" s="285">
        <f>IF(LEFT($C25,4)*1&lt;LEFT('General inputs'!$I$16,4)+'General inputs'!$H$38,SUM(G25,J25,M25,P25,S25,V25,Y25,AB25,AE25,AH25),"")</f>
        <v>1261.3267795514616</v>
      </c>
      <c r="E25" s="288"/>
      <c r="F25" s="289"/>
      <c r="G25" s="285">
        <v>274</v>
      </c>
      <c r="H25" s="288"/>
      <c r="I25" s="301"/>
      <c r="J25" s="285">
        <v>333.64738246038348</v>
      </c>
      <c r="K25" s="288"/>
      <c r="L25" s="301"/>
      <c r="M25" s="285">
        <v>653.67939709107827</v>
      </c>
      <c r="N25" s="92"/>
      <c r="O25" s="49">
        <v>0</v>
      </c>
      <c r="P25" s="115">
        <f t="shared" si="0"/>
        <v>0</v>
      </c>
      <c r="Q25" s="92"/>
      <c r="R25" s="49">
        <v>0</v>
      </c>
      <c r="S25" s="115">
        <f t="shared" si="1"/>
        <v>0</v>
      </c>
      <c r="T25" s="92"/>
      <c r="U25" s="49">
        <v>0</v>
      </c>
      <c r="V25" s="115">
        <f t="shared" si="2"/>
        <v>0</v>
      </c>
      <c r="W25" s="92"/>
      <c r="X25" s="49">
        <v>0</v>
      </c>
      <c r="Y25" s="115">
        <f t="shared" si="3"/>
        <v>0</v>
      </c>
      <c r="Z25" s="92"/>
      <c r="AA25" s="49">
        <v>0</v>
      </c>
      <c r="AB25" s="115">
        <f t="shared" si="4"/>
        <v>0</v>
      </c>
      <c r="AC25" s="92"/>
      <c r="AD25" s="49">
        <v>0</v>
      </c>
      <c r="AE25" s="115">
        <f t="shared" si="5"/>
        <v>0</v>
      </c>
      <c r="AF25" s="92"/>
      <c r="AG25" s="49">
        <v>0</v>
      </c>
      <c r="AH25" s="115">
        <f t="shared" si="6"/>
        <v>0</v>
      </c>
      <c r="AI25" s="92"/>
      <c r="AL25" s="92"/>
      <c r="AM25" s="92"/>
      <c r="AN25" s="92"/>
      <c r="AS25" s="359"/>
      <c r="AT25" s="359"/>
    </row>
    <row r="26" spans="3:46" x14ac:dyDescent="0.25">
      <c r="C26" s="100" t="str">
        <f>'MP Calculations'!D53</f>
        <v>2009-10</v>
      </c>
      <c r="D26" s="285">
        <f>IF(LEFT($C26,4)*1&lt;LEFT('General inputs'!$I$16,4)+'General inputs'!$H$38,SUM(G26,J26,M26,P26,S26,V26,Y26,AB26,AE26,AH26),"")</f>
        <v>1936.6008164423483</v>
      </c>
      <c r="E26" s="288"/>
      <c r="F26" s="289"/>
      <c r="G26" s="285">
        <v>480</v>
      </c>
      <c r="H26" s="288"/>
      <c r="I26" s="301"/>
      <c r="J26" s="285">
        <v>282.73108818328825</v>
      </c>
      <c r="K26" s="288"/>
      <c r="L26" s="301"/>
      <c r="M26" s="285">
        <v>1173.8697282590601</v>
      </c>
      <c r="N26" s="92"/>
      <c r="O26" s="49">
        <v>0</v>
      </c>
      <c r="P26" s="115">
        <f t="shared" si="0"/>
        <v>0</v>
      </c>
      <c r="Q26" s="92"/>
      <c r="R26" s="49">
        <v>0</v>
      </c>
      <c r="S26" s="115">
        <f t="shared" si="1"/>
        <v>0</v>
      </c>
      <c r="T26" s="92"/>
      <c r="U26" s="49">
        <v>0</v>
      </c>
      <c r="V26" s="115">
        <f t="shared" si="2"/>
        <v>0</v>
      </c>
      <c r="W26" s="92"/>
      <c r="X26" s="49">
        <v>0</v>
      </c>
      <c r="Y26" s="115">
        <f t="shared" si="3"/>
        <v>0</v>
      </c>
      <c r="Z26" s="92"/>
      <c r="AA26" s="49">
        <v>0</v>
      </c>
      <c r="AB26" s="115">
        <f t="shared" si="4"/>
        <v>0</v>
      </c>
      <c r="AC26" s="92"/>
      <c r="AD26" s="49">
        <v>0</v>
      </c>
      <c r="AE26" s="115">
        <f t="shared" si="5"/>
        <v>0</v>
      </c>
      <c r="AF26" s="92"/>
      <c r="AG26" s="49">
        <v>0</v>
      </c>
      <c r="AH26" s="115">
        <f t="shared" si="6"/>
        <v>0</v>
      </c>
      <c r="AI26" s="92"/>
      <c r="AL26" s="92"/>
      <c r="AM26" s="92"/>
      <c r="AN26" s="92"/>
      <c r="AS26" s="359"/>
      <c r="AT26" s="359"/>
    </row>
    <row r="27" spans="3:46" x14ac:dyDescent="0.25">
      <c r="C27" s="100" t="str">
        <f>'MP Calculations'!D54</f>
        <v>2010-11</v>
      </c>
      <c r="D27" s="285">
        <f>IF(LEFT($C27,4)*1&lt;LEFT('General inputs'!$I$16,4)+'General inputs'!$H$38,SUM(G27,J27,M27,P27,S27,V27,Y27,AB27,AE27,AH27),"")</f>
        <v>1098.5962659448303</v>
      </c>
      <c r="E27" s="288"/>
      <c r="F27" s="289"/>
      <c r="G27" s="285">
        <v>466</v>
      </c>
      <c r="H27" s="288"/>
      <c r="I27" s="301"/>
      <c r="J27" s="285">
        <v>632.59626594483029</v>
      </c>
      <c r="K27" s="288"/>
      <c r="L27" s="301"/>
      <c r="M27" s="285">
        <v>0</v>
      </c>
      <c r="N27" s="92"/>
      <c r="O27" s="49">
        <v>0</v>
      </c>
      <c r="P27" s="115">
        <f t="shared" si="0"/>
        <v>0</v>
      </c>
      <c r="Q27" s="92"/>
      <c r="R27" s="49">
        <v>0</v>
      </c>
      <c r="S27" s="115">
        <f t="shared" si="1"/>
        <v>0</v>
      </c>
      <c r="T27" s="92"/>
      <c r="U27" s="49">
        <v>0</v>
      </c>
      <c r="V27" s="115">
        <f t="shared" si="2"/>
        <v>0</v>
      </c>
      <c r="W27" s="92"/>
      <c r="X27" s="49">
        <v>0</v>
      </c>
      <c r="Y27" s="115">
        <f t="shared" si="3"/>
        <v>0</v>
      </c>
      <c r="Z27" s="92"/>
      <c r="AA27" s="49">
        <v>0</v>
      </c>
      <c r="AB27" s="115">
        <f t="shared" si="4"/>
        <v>0</v>
      </c>
      <c r="AC27" s="92"/>
      <c r="AD27" s="49">
        <v>0</v>
      </c>
      <c r="AE27" s="115">
        <f t="shared" si="5"/>
        <v>0</v>
      </c>
      <c r="AF27" s="92"/>
      <c r="AG27" s="49">
        <v>0</v>
      </c>
      <c r="AH27" s="115">
        <f t="shared" si="6"/>
        <v>0</v>
      </c>
      <c r="AI27" s="92"/>
      <c r="AL27" s="92"/>
      <c r="AM27" s="92"/>
      <c r="AN27" s="92"/>
      <c r="AS27" s="359"/>
      <c r="AT27" s="359"/>
    </row>
    <row r="28" spans="3:46" x14ac:dyDescent="0.25">
      <c r="C28" s="100" t="str">
        <f>'MP Calculations'!D55</f>
        <v>2011-12</v>
      </c>
      <c r="D28" s="285">
        <f>IF(LEFT($C28,4)*1&lt;LEFT('General inputs'!$I$16,4)+'General inputs'!$H$38,SUM(G28,J28,M28,P28,S28,V28,Y28,AB28,AE28,AH28),"")</f>
        <v>1103.3773809820145</v>
      </c>
      <c r="E28" s="288"/>
      <c r="F28" s="289"/>
      <c r="G28" s="285">
        <v>686</v>
      </c>
      <c r="H28" s="288"/>
      <c r="I28" s="301"/>
      <c r="J28" s="285">
        <v>417.37738098201459</v>
      </c>
      <c r="K28" s="288"/>
      <c r="L28" s="301"/>
      <c r="M28" s="285">
        <v>0</v>
      </c>
      <c r="N28" s="92"/>
      <c r="O28" s="49">
        <v>0</v>
      </c>
      <c r="P28" s="115">
        <f t="shared" si="0"/>
        <v>0</v>
      </c>
      <c r="Q28" s="92"/>
      <c r="R28" s="49">
        <v>0</v>
      </c>
      <c r="S28" s="115">
        <f t="shared" si="1"/>
        <v>0</v>
      </c>
      <c r="T28" s="92"/>
      <c r="U28" s="49">
        <v>0</v>
      </c>
      <c r="V28" s="115">
        <f t="shared" si="2"/>
        <v>0</v>
      </c>
      <c r="W28" s="92"/>
      <c r="X28" s="49">
        <v>0</v>
      </c>
      <c r="Y28" s="115">
        <f t="shared" si="3"/>
        <v>0</v>
      </c>
      <c r="Z28" s="92"/>
      <c r="AA28" s="49">
        <v>0</v>
      </c>
      <c r="AB28" s="115">
        <f t="shared" si="4"/>
        <v>0</v>
      </c>
      <c r="AC28" s="92"/>
      <c r="AD28" s="49">
        <v>0</v>
      </c>
      <c r="AE28" s="115">
        <f t="shared" si="5"/>
        <v>0</v>
      </c>
      <c r="AF28" s="92"/>
      <c r="AG28" s="49">
        <v>0</v>
      </c>
      <c r="AH28" s="115">
        <f t="shared" si="6"/>
        <v>0</v>
      </c>
      <c r="AI28" s="92"/>
      <c r="AL28" s="92"/>
      <c r="AM28" s="92"/>
      <c r="AN28" s="92"/>
      <c r="AS28" s="359"/>
      <c r="AT28" s="359"/>
    </row>
    <row r="29" spans="3:46" x14ac:dyDescent="0.25">
      <c r="C29" s="100" t="str">
        <f>'MP Calculations'!D56</f>
        <v>2012-13</v>
      </c>
      <c r="D29" s="285">
        <f>IF(LEFT($C29,4)*1&lt;LEFT('General inputs'!$I$16,4)+'General inputs'!$H$38,SUM(G29,J29,M29,P29,S29,V29,Y29,AB29,AE29,AH29),"")</f>
        <v>3421.4288958456</v>
      </c>
      <c r="E29" s="288"/>
      <c r="F29" s="289"/>
      <c r="G29" s="285">
        <v>962</v>
      </c>
      <c r="H29" s="288"/>
      <c r="I29" s="301"/>
      <c r="J29" s="285">
        <v>352.51800359931275</v>
      </c>
      <c r="K29" s="288"/>
      <c r="L29" s="301"/>
      <c r="M29" s="285">
        <v>2106.9108922462874</v>
      </c>
      <c r="N29" s="92"/>
      <c r="O29" s="49">
        <v>0</v>
      </c>
      <c r="P29" s="115">
        <f t="shared" si="0"/>
        <v>0</v>
      </c>
      <c r="Q29" s="92"/>
      <c r="R29" s="49">
        <v>0</v>
      </c>
      <c r="S29" s="115">
        <f t="shared" si="1"/>
        <v>0</v>
      </c>
      <c r="T29" s="92"/>
      <c r="U29" s="49">
        <v>0</v>
      </c>
      <c r="V29" s="115">
        <f t="shared" si="2"/>
        <v>0</v>
      </c>
      <c r="W29" s="92"/>
      <c r="X29" s="49">
        <v>0</v>
      </c>
      <c r="Y29" s="115">
        <f t="shared" si="3"/>
        <v>0</v>
      </c>
      <c r="Z29" s="92"/>
      <c r="AA29" s="49">
        <v>0</v>
      </c>
      <c r="AB29" s="115">
        <f t="shared" si="4"/>
        <v>0</v>
      </c>
      <c r="AC29" s="92"/>
      <c r="AD29" s="49">
        <v>0</v>
      </c>
      <c r="AE29" s="115">
        <f t="shared" si="5"/>
        <v>0</v>
      </c>
      <c r="AF29" s="92"/>
      <c r="AG29" s="49">
        <v>0</v>
      </c>
      <c r="AH29" s="115">
        <f t="shared" si="6"/>
        <v>0</v>
      </c>
      <c r="AI29" s="92"/>
      <c r="AL29" s="92"/>
      <c r="AM29" s="92"/>
      <c r="AN29" s="92"/>
      <c r="AS29" s="359"/>
      <c r="AT29" s="359"/>
    </row>
    <row r="30" spans="3:46" x14ac:dyDescent="0.25">
      <c r="C30" s="100" t="str">
        <f>'MP Calculations'!D57</f>
        <v>2013-14</v>
      </c>
      <c r="D30" s="285">
        <f>IF(LEFT($C30,4)*1&lt;LEFT('General inputs'!$I$16,4)+'General inputs'!$H$38,SUM(G30,J30,M30,P30,S30,V30,Y30,AB30,AE30,AH30),"")</f>
        <v>3552.7433113144361</v>
      </c>
      <c r="E30" s="288"/>
      <c r="F30" s="289"/>
      <c r="G30" s="285">
        <v>1303</v>
      </c>
      <c r="H30" s="288"/>
      <c r="I30" s="301"/>
      <c r="J30" s="285">
        <v>351.08657301455338</v>
      </c>
      <c r="K30" s="288"/>
      <c r="L30" s="301"/>
      <c r="M30" s="285">
        <v>1898.6567382998828</v>
      </c>
      <c r="N30" s="92"/>
      <c r="O30" s="49">
        <v>0</v>
      </c>
      <c r="P30" s="115">
        <f t="shared" si="0"/>
        <v>0</v>
      </c>
      <c r="Q30" s="92"/>
      <c r="R30" s="49">
        <v>0</v>
      </c>
      <c r="S30" s="115">
        <f t="shared" si="1"/>
        <v>0</v>
      </c>
      <c r="T30" s="92"/>
      <c r="U30" s="49">
        <v>0</v>
      </c>
      <c r="V30" s="115">
        <f t="shared" si="2"/>
        <v>0</v>
      </c>
      <c r="W30" s="92"/>
      <c r="X30" s="49">
        <v>0</v>
      </c>
      <c r="Y30" s="115">
        <f t="shared" si="3"/>
        <v>0</v>
      </c>
      <c r="Z30" s="92"/>
      <c r="AA30" s="49">
        <v>0</v>
      </c>
      <c r="AB30" s="115">
        <f t="shared" si="4"/>
        <v>0</v>
      </c>
      <c r="AC30" s="92"/>
      <c r="AD30" s="49">
        <v>0</v>
      </c>
      <c r="AE30" s="115">
        <f t="shared" si="5"/>
        <v>0</v>
      </c>
      <c r="AF30" s="92"/>
      <c r="AG30" s="49">
        <v>0</v>
      </c>
      <c r="AH30" s="115">
        <f t="shared" si="6"/>
        <v>0</v>
      </c>
      <c r="AI30" s="92"/>
      <c r="AL30" s="92"/>
      <c r="AM30" s="92"/>
      <c r="AN30" s="92"/>
      <c r="AS30" s="359"/>
      <c r="AT30" s="359"/>
    </row>
    <row r="31" spans="3:46" x14ac:dyDescent="0.25">
      <c r="C31" s="100" t="str">
        <f>'MP Calculations'!D58</f>
        <v>2014-15</v>
      </c>
      <c r="D31" s="285">
        <f>IF(LEFT($C31,4)*1&lt;LEFT('General inputs'!$I$16,4)+'General inputs'!$H$38,SUM(G31,J31,M31,P31,S31,V31,Y31,AB31,AE31,AH31),"")</f>
        <v>3500.092565454725</v>
      </c>
      <c r="E31" s="288"/>
      <c r="F31" s="289"/>
      <c r="G31" s="285">
        <v>2063</v>
      </c>
      <c r="H31" s="288"/>
      <c r="I31" s="301"/>
      <c r="J31" s="285">
        <v>464.8362486208074</v>
      </c>
      <c r="K31" s="288"/>
      <c r="L31" s="301"/>
      <c r="M31" s="285">
        <v>972.25631683391759</v>
      </c>
      <c r="N31" s="92"/>
      <c r="O31" s="49">
        <v>0</v>
      </c>
      <c r="P31" s="115">
        <f t="shared" si="0"/>
        <v>0</v>
      </c>
      <c r="Q31" s="92"/>
      <c r="R31" s="49">
        <v>0</v>
      </c>
      <c r="S31" s="115">
        <f t="shared" si="1"/>
        <v>0</v>
      </c>
      <c r="T31" s="92"/>
      <c r="U31" s="49">
        <v>0</v>
      </c>
      <c r="V31" s="115">
        <f t="shared" si="2"/>
        <v>0</v>
      </c>
      <c r="W31" s="92"/>
      <c r="X31" s="49">
        <v>0</v>
      </c>
      <c r="Y31" s="115">
        <f t="shared" si="3"/>
        <v>0</v>
      </c>
      <c r="Z31" s="92"/>
      <c r="AA31" s="49">
        <v>0</v>
      </c>
      <c r="AB31" s="115">
        <f t="shared" si="4"/>
        <v>0</v>
      </c>
      <c r="AC31" s="92"/>
      <c r="AD31" s="49">
        <v>0</v>
      </c>
      <c r="AE31" s="115">
        <f t="shared" si="5"/>
        <v>0</v>
      </c>
      <c r="AF31" s="92"/>
      <c r="AG31" s="49">
        <v>0</v>
      </c>
      <c r="AH31" s="115">
        <f t="shared" si="6"/>
        <v>0</v>
      </c>
      <c r="AI31" s="92"/>
      <c r="AL31" s="92"/>
      <c r="AM31" s="92"/>
      <c r="AN31" s="92"/>
      <c r="AS31" s="359"/>
      <c r="AT31" s="359"/>
    </row>
    <row r="32" spans="3:46" x14ac:dyDescent="0.25">
      <c r="C32" s="100" t="str">
        <f>'MP Calculations'!D59</f>
        <v>2015-16</v>
      </c>
      <c r="D32" s="285">
        <f>IF(LEFT($C32,4)*1&lt;LEFT('General inputs'!$I$16,4)+'General inputs'!$H$38,SUM(G32,J32,M32,P32,S32,V32,Y32,AB32,AE32,AH32),"")</f>
        <v>4447.5027060992943</v>
      </c>
      <c r="E32" s="288"/>
      <c r="F32" s="289"/>
      <c r="G32" s="285">
        <v>2784</v>
      </c>
      <c r="H32" s="288"/>
      <c r="I32" s="301"/>
      <c r="J32" s="285">
        <v>0</v>
      </c>
      <c r="K32" s="288"/>
      <c r="L32" s="301"/>
      <c r="M32" s="285">
        <v>1663.5027060992945</v>
      </c>
      <c r="N32" s="92"/>
      <c r="O32" s="49">
        <v>0</v>
      </c>
      <c r="P32" s="115">
        <f t="shared" si="0"/>
        <v>0</v>
      </c>
      <c r="Q32" s="92"/>
      <c r="R32" s="49">
        <v>0</v>
      </c>
      <c r="S32" s="115">
        <f t="shared" si="1"/>
        <v>0</v>
      </c>
      <c r="T32" s="92"/>
      <c r="U32" s="49">
        <v>0</v>
      </c>
      <c r="V32" s="115">
        <f t="shared" si="2"/>
        <v>0</v>
      </c>
      <c r="W32" s="92"/>
      <c r="X32" s="49">
        <v>0</v>
      </c>
      <c r="Y32" s="115">
        <f t="shared" si="3"/>
        <v>0</v>
      </c>
      <c r="Z32" s="92"/>
      <c r="AA32" s="49">
        <v>0</v>
      </c>
      <c r="AB32" s="115">
        <f t="shared" si="4"/>
        <v>0</v>
      </c>
      <c r="AC32" s="92"/>
      <c r="AD32" s="49">
        <v>0</v>
      </c>
      <c r="AE32" s="115">
        <f t="shared" si="5"/>
        <v>0</v>
      </c>
      <c r="AF32" s="92"/>
      <c r="AG32" s="49">
        <v>0</v>
      </c>
      <c r="AH32" s="115">
        <f t="shared" si="6"/>
        <v>0</v>
      </c>
      <c r="AI32" s="92"/>
      <c r="AL32" s="92"/>
      <c r="AM32" s="92"/>
      <c r="AN32" s="92"/>
      <c r="AS32" s="359"/>
      <c r="AT32" s="359"/>
    </row>
    <row r="33" spans="3:46" x14ac:dyDescent="0.25">
      <c r="C33" s="100" t="str">
        <f>'MP Calculations'!D60</f>
        <v>2016-17</v>
      </c>
      <c r="D33" s="285">
        <f>IF(LEFT($C33,4)*1&lt;LEFT('General inputs'!$I$16,4)+'General inputs'!$H$38,SUM(G33,J33,M33,P33,S33,V33,Y33,AB33,AE33,AH33),"")</f>
        <v>7458.0714953054703</v>
      </c>
      <c r="E33" s="288"/>
      <c r="F33" s="289"/>
      <c r="G33" s="285">
        <v>3374</v>
      </c>
      <c r="H33" s="288"/>
      <c r="I33" s="301"/>
      <c r="J33" s="285">
        <v>267.09634758025021</v>
      </c>
      <c r="K33" s="288"/>
      <c r="L33" s="301"/>
      <c r="M33" s="285">
        <v>3816.9751477252207</v>
      </c>
      <c r="N33" s="92"/>
      <c r="O33" s="49">
        <v>0</v>
      </c>
      <c r="P33" s="115">
        <f t="shared" si="0"/>
        <v>0</v>
      </c>
      <c r="Q33" s="92"/>
      <c r="R33" s="49">
        <v>0</v>
      </c>
      <c r="S33" s="115">
        <f t="shared" si="1"/>
        <v>0</v>
      </c>
      <c r="T33" s="92"/>
      <c r="U33" s="49">
        <v>0</v>
      </c>
      <c r="V33" s="115">
        <f t="shared" si="2"/>
        <v>0</v>
      </c>
      <c r="W33" s="92"/>
      <c r="X33" s="49">
        <v>0</v>
      </c>
      <c r="Y33" s="115">
        <f t="shared" si="3"/>
        <v>0</v>
      </c>
      <c r="Z33" s="92"/>
      <c r="AA33" s="49">
        <v>0</v>
      </c>
      <c r="AB33" s="115">
        <f t="shared" si="4"/>
        <v>0</v>
      </c>
      <c r="AC33" s="92"/>
      <c r="AD33" s="49">
        <v>0</v>
      </c>
      <c r="AE33" s="115">
        <f t="shared" si="5"/>
        <v>0</v>
      </c>
      <c r="AF33" s="92"/>
      <c r="AG33" s="49">
        <v>0</v>
      </c>
      <c r="AH33" s="115">
        <f t="shared" si="6"/>
        <v>0</v>
      </c>
      <c r="AI33" s="92"/>
      <c r="AL33" s="92"/>
      <c r="AM33" s="92"/>
      <c r="AN33" s="92"/>
      <c r="AS33" s="359"/>
      <c r="AT33" s="359"/>
    </row>
    <row r="34" spans="3:46" x14ac:dyDescent="0.25">
      <c r="C34" s="100" t="str">
        <f>'MP Calculations'!D61</f>
        <v>2017-18</v>
      </c>
      <c r="D34" s="285">
        <f>IF(LEFT($C34,4)*1&lt;LEFT('General inputs'!$I$16,4)+'General inputs'!$H$38,SUM(G34,J34,M34,P34,S34,V34,Y34,AB34,AE34,AH34),"")</f>
        <v>7282.0331662393492</v>
      </c>
      <c r="E34" s="288"/>
      <c r="F34" s="289"/>
      <c r="G34" s="285">
        <v>3364</v>
      </c>
      <c r="H34" s="288"/>
      <c r="I34" s="301"/>
      <c r="J34" s="285">
        <v>1023.5754839039918</v>
      </c>
      <c r="K34" s="288"/>
      <c r="L34" s="301"/>
      <c r="M34" s="285">
        <v>2894.4576823353573</v>
      </c>
      <c r="N34" s="92"/>
      <c r="O34" s="49">
        <v>0</v>
      </c>
      <c r="P34" s="115">
        <f t="shared" si="0"/>
        <v>0</v>
      </c>
      <c r="Q34" s="92"/>
      <c r="R34" s="49">
        <v>0</v>
      </c>
      <c r="S34" s="115">
        <f t="shared" si="1"/>
        <v>0</v>
      </c>
      <c r="T34" s="92"/>
      <c r="U34" s="49">
        <v>0</v>
      </c>
      <c r="V34" s="115">
        <f t="shared" si="2"/>
        <v>0</v>
      </c>
      <c r="W34" s="92"/>
      <c r="X34" s="49">
        <v>0</v>
      </c>
      <c r="Y34" s="115">
        <f t="shared" si="3"/>
        <v>0</v>
      </c>
      <c r="Z34" s="92"/>
      <c r="AA34" s="49">
        <v>0</v>
      </c>
      <c r="AB34" s="115">
        <f t="shared" si="4"/>
        <v>0</v>
      </c>
      <c r="AC34" s="92"/>
      <c r="AD34" s="49">
        <v>0</v>
      </c>
      <c r="AE34" s="115">
        <f t="shared" si="5"/>
        <v>0</v>
      </c>
      <c r="AF34" s="92"/>
      <c r="AG34" s="49">
        <v>0</v>
      </c>
      <c r="AH34" s="115">
        <f t="shared" si="6"/>
        <v>0</v>
      </c>
      <c r="AI34" s="92"/>
      <c r="AL34" s="92"/>
      <c r="AM34" s="92"/>
      <c r="AN34" s="92"/>
      <c r="AS34" s="359"/>
      <c r="AT34" s="359"/>
    </row>
    <row r="35" spans="3:46" x14ac:dyDescent="0.25">
      <c r="C35" s="100" t="str">
        <f>'MP Calculations'!D62</f>
        <v>2018-19</v>
      </c>
      <c r="D35" s="285">
        <f>IF(LEFT($C35,4)*1&lt;LEFT('General inputs'!$I$16,4)+'General inputs'!$H$38,SUM(G35,J35,M35,P35,S35,V35,Y35,AB35,AE35,AH35),"")</f>
        <v>4054.9025553688339</v>
      </c>
      <c r="E35" s="288"/>
      <c r="F35" s="289"/>
      <c r="G35" s="285">
        <v>2933</v>
      </c>
      <c r="H35" s="288"/>
      <c r="I35" s="301"/>
      <c r="J35" s="285">
        <v>907.7600974035222</v>
      </c>
      <c r="K35" s="288"/>
      <c r="L35" s="301"/>
      <c r="M35" s="285">
        <v>214.14245796531182</v>
      </c>
      <c r="N35" s="92"/>
      <c r="O35" s="49">
        <v>0</v>
      </c>
      <c r="P35" s="115">
        <f t="shared" si="0"/>
        <v>0</v>
      </c>
      <c r="Q35" s="92"/>
      <c r="R35" s="49">
        <v>0</v>
      </c>
      <c r="S35" s="115">
        <f t="shared" si="1"/>
        <v>0</v>
      </c>
      <c r="T35" s="92"/>
      <c r="U35" s="49">
        <v>0</v>
      </c>
      <c r="V35" s="115">
        <f t="shared" si="2"/>
        <v>0</v>
      </c>
      <c r="W35" s="92"/>
      <c r="X35" s="49">
        <v>0</v>
      </c>
      <c r="Y35" s="115">
        <f t="shared" si="3"/>
        <v>0</v>
      </c>
      <c r="Z35" s="92"/>
      <c r="AA35" s="49">
        <v>0</v>
      </c>
      <c r="AB35" s="115">
        <f t="shared" si="4"/>
        <v>0</v>
      </c>
      <c r="AC35" s="92"/>
      <c r="AD35" s="49">
        <v>0</v>
      </c>
      <c r="AE35" s="115">
        <f t="shared" si="5"/>
        <v>0</v>
      </c>
      <c r="AF35" s="92"/>
      <c r="AG35" s="49">
        <v>0</v>
      </c>
      <c r="AH35" s="115">
        <f t="shared" si="6"/>
        <v>0</v>
      </c>
      <c r="AI35" s="92"/>
      <c r="AL35" s="92"/>
      <c r="AM35" s="92"/>
      <c r="AN35" s="92"/>
      <c r="AS35" s="359"/>
      <c r="AT35" s="359"/>
    </row>
    <row r="36" spans="3:46" x14ac:dyDescent="0.25">
      <c r="C36" s="100" t="str">
        <f>'MP Calculations'!D63</f>
        <v>2019-20</v>
      </c>
      <c r="D36" s="285">
        <f>IF(LEFT($C36,4)*1&lt;LEFT('General inputs'!$I$16,4)+'General inputs'!$H$38,SUM(G36,J36,M36,P36,S36,V36,Y36,AB36,AE36,AH36),"")</f>
        <v>5009.59509579307</v>
      </c>
      <c r="E36" s="288"/>
      <c r="F36" s="289"/>
      <c r="G36" s="285">
        <v>4241</v>
      </c>
      <c r="H36" s="288"/>
      <c r="I36" s="301"/>
      <c r="J36" s="285">
        <v>768.59509579306996</v>
      </c>
      <c r="K36" s="288"/>
      <c r="L36" s="301"/>
      <c r="M36" s="285">
        <v>0</v>
      </c>
      <c r="N36" s="92"/>
      <c r="O36" s="49">
        <v>0</v>
      </c>
      <c r="P36" s="115">
        <f t="shared" si="0"/>
        <v>0</v>
      </c>
      <c r="Q36" s="92"/>
      <c r="R36" s="49">
        <v>0</v>
      </c>
      <c r="S36" s="115">
        <f t="shared" si="1"/>
        <v>0</v>
      </c>
      <c r="T36" s="92"/>
      <c r="U36" s="49">
        <v>0</v>
      </c>
      <c r="V36" s="115">
        <f t="shared" si="2"/>
        <v>0</v>
      </c>
      <c r="W36" s="92"/>
      <c r="X36" s="49">
        <v>0</v>
      </c>
      <c r="Y36" s="115">
        <f t="shared" si="3"/>
        <v>0</v>
      </c>
      <c r="Z36" s="92"/>
      <c r="AA36" s="49">
        <v>0</v>
      </c>
      <c r="AB36" s="115">
        <f t="shared" si="4"/>
        <v>0</v>
      </c>
      <c r="AC36" s="92"/>
      <c r="AD36" s="49">
        <v>0</v>
      </c>
      <c r="AE36" s="115">
        <f t="shared" si="5"/>
        <v>0</v>
      </c>
      <c r="AF36" s="92"/>
      <c r="AG36" s="49">
        <v>0</v>
      </c>
      <c r="AH36" s="115">
        <f t="shared" si="6"/>
        <v>0</v>
      </c>
      <c r="AI36" s="92"/>
      <c r="AL36" s="92"/>
      <c r="AM36" s="92"/>
      <c r="AN36" s="92"/>
      <c r="AS36" s="359"/>
      <c r="AT36" s="359"/>
    </row>
    <row r="37" spans="3:46" x14ac:dyDescent="0.25">
      <c r="C37" s="100" t="str">
        <f>'MP Calculations'!D64</f>
        <v>2020-21</v>
      </c>
      <c r="D37" s="285">
        <f>IF(LEFT($C37,4)*1&lt;LEFT('General inputs'!$I$16,4)+'General inputs'!$H$38,SUM(G37,J37,M37,P37,S37,V37,Y37,AB37,AE37,AH37),"")</f>
        <v>4904.8976499172095</v>
      </c>
      <c r="E37" s="288"/>
      <c r="F37" s="289"/>
      <c r="G37" s="285">
        <v>3288</v>
      </c>
      <c r="H37" s="288"/>
      <c r="I37" s="301"/>
      <c r="J37" s="285">
        <v>1007.5728872214191</v>
      </c>
      <c r="K37" s="288"/>
      <c r="L37" s="301"/>
      <c r="M37" s="285">
        <v>609.32476269579035</v>
      </c>
      <c r="N37" s="92"/>
      <c r="O37" s="49">
        <v>0</v>
      </c>
      <c r="P37" s="115">
        <f t="shared" si="0"/>
        <v>0</v>
      </c>
      <c r="Q37" s="92"/>
      <c r="R37" s="49">
        <v>0</v>
      </c>
      <c r="S37" s="115">
        <f t="shared" si="1"/>
        <v>0</v>
      </c>
      <c r="T37" s="92"/>
      <c r="U37" s="49">
        <v>0</v>
      </c>
      <c r="V37" s="115">
        <f t="shared" si="2"/>
        <v>0</v>
      </c>
      <c r="W37" s="92"/>
      <c r="X37" s="49">
        <v>0</v>
      </c>
      <c r="Y37" s="115">
        <f t="shared" si="3"/>
        <v>0</v>
      </c>
      <c r="Z37" s="92"/>
      <c r="AA37" s="49">
        <v>0</v>
      </c>
      <c r="AB37" s="115">
        <f t="shared" si="4"/>
        <v>0</v>
      </c>
      <c r="AC37" s="92"/>
      <c r="AD37" s="49">
        <v>0</v>
      </c>
      <c r="AE37" s="115">
        <f t="shared" si="5"/>
        <v>0</v>
      </c>
      <c r="AF37" s="92"/>
      <c r="AG37" s="49">
        <v>0</v>
      </c>
      <c r="AH37" s="115">
        <f t="shared" si="6"/>
        <v>0</v>
      </c>
      <c r="AI37" s="92"/>
      <c r="AL37" s="92"/>
      <c r="AM37" s="92"/>
      <c r="AN37" s="92"/>
      <c r="AS37" s="359"/>
      <c r="AT37" s="359"/>
    </row>
    <row r="38" spans="3:46" x14ac:dyDescent="0.25">
      <c r="C38" s="310" t="str">
        <f>'MP Calculations'!D65</f>
        <v>2021-22</v>
      </c>
      <c r="D38" s="311">
        <f>IF(LEFT($C38,4)*1&lt;LEFT('General inputs'!$I$16,4)+'General inputs'!$H$38,SUM(G38,J38,M38,P38,S38,V38,Y38,AB38,AE38,AH38),"")</f>
        <v>7150.9661297425355</v>
      </c>
      <c r="E38" s="312"/>
      <c r="F38" s="313"/>
      <c r="G38" s="311">
        <v>4463</v>
      </c>
      <c r="H38" s="312"/>
      <c r="I38" s="314"/>
      <c r="J38" s="311">
        <v>1053.7548378553533</v>
      </c>
      <c r="K38" s="312"/>
      <c r="L38" s="314"/>
      <c r="M38" s="311">
        <v>1634.2112918871821</v>
      </c>
      <c r="N38" s="92"/>
      <c r="O38" s="49">
        <v>0</v>
      </c>
      <c r="P38" s="115">
        <f t="shared" si="0"/>
        <v>0</v>
      </c>
      <c r="Q38" s="92"/>
      <c r="R38" s="49">
        <v>0</v>
      </c>
      <c r="S38" s="115">
        <f t="shared" si="1"/>
        <v>0</v>
      </c>
      <c r="T38" s="92"/>
      <c r="U38" s="49">
        <v>0</v>
      </c>
      <c r="V38" s="115">
        <f t="shared" si="2"/>
        <v>0</v>
      </c>
      <c r="W38" s="92"/>
      <c r="X38" s="49">
        <v>0</v>
      </c>
      <c r="Y38" s="115">
        <f t="shared" si="3"/>
        <v>0</v>
      </c>
      <c r="Z38" s="92"/>
      <c r="AA38" s="49">
        <v>0</v>
      </c>
      <c r="AB38" s="115">
        <f t="shared" si="4"/>
        <v>0</v>
      </c>
      <c r="AC38" s="92"/>
      <c r="AD38" s="49">
        <v>0</v>
      </c>
      <c r="AE38" s="115">
        <f t="shared" si="5"/>
        <v>0</v>
      </c>
      <c r="AF38" s="92"/>
      <c r="AG38" s="49">
        <v>0</v>
      </c>
      <c r="AH38" s="115">
        <f t="shared" si="6"/>
        <v>0</v>
      </c>
      <c r="AI38" s="92"/>
      <c r="AL38" s="92"/>
      <c r="AM38" s="92"/>
      <c r="AN38" s="92"/>
      <c r="AS38" s="359"/>
      <c r="AT38" s="359"/>
    </row>
    <row r="39" spans="3:46" x14ac:dyDescent="0.25">
      <c r="C39" s="100" t="str">
        <f>'MP Calculations'!D66</f>
        <v>2022-23</v>
      </c>
      <c r="D39" s="285">
        <f>IF(LEFT($C39,4)*1&lt;LEFT('General inputs'!$I$16,4)+'General inputs'!$H$38,SUM(G39,J39,M39,P39,S39,V39,Y39,AB39,AE39,AH39),"")</f>
        <v>8109.9120035211581</v>
      </c>
      <c r="E39" s="288"/>
      <c r="F39" s="289"/>
      <c r="G39" s="315">
        <v>1788.9779595190475</v>
      </c>
      <c r="H39" s="288"/>
      <c r="I39" s="301"/>
      <c r="J39" s="315">
        <v>2300.844012914934</v>
      </c>
      <c r="K39" s="288"/>
      <c r="L39" s="301"/>
      <c r="M39" s="315">
        <v>4020.0900310871762</v>
      </c>
      <c r="N39" s="92"/>
      <c r="O39" s="49">
        <v>0</v>
      </c>
      <c r="P39" s="115">
        <f t="shared" si="0"/>
        <v>0</v>
      </c>
      <c r="Q39" s="92"/>
      <c r="R39" s="49">
        <v>0</v>
      </c>
      <c r="S39" s="115">
        <f t="shared" si="1"/>
        <v>0</v>
      </c>
      <c r="T39" s="92"/>
      <c r="U39" s="49">
        <v>0</v>
      </c>
      <c r="V39" s="115">
        <f t="shared" si="2"/>
        <v>0</v>
      </c>
      <c r="W39" s="92"/>
      <c r="X39" s="49">
        <v>0</v>
      </c>
      <c r="Y39" s="115">
        <f t="shared" si="3"/>
        <v>0</v>
      </c>
      <c r="Z39" s="92"/>
      <c r="AA39" s="49">
        <v>0</v>
      </c>
      <c r="AB39" s="115">
        <f t="shared" si="4"/>
        <v>0</v>
      </c>
      <c r="AC39" s="92"/>
      <c r="AD39" s="49">
        <v>0</v>
      </c>
      <c r="AE39" s="115">
        <f t="shared" si="5"/>
        <v>0</v>
      </c>
      <c r="AF39" s="92"/>
      <c r="AG39" s="49">
        <v>0</v>
      </c>
      <c r="AH39" s="115">
        <f t="shared" si="6"/>
        <v>0</v>
      </c>
      <c r="AI39" s="92"/>
      <c r="AL39" s="92"/>
      <c r="AM39" s="92"/>
      <c r="AN39" s="92"/>
      <c r="AS39" s="359"/>
      <c r="AT39" s="359"/>
    </row>
    <row r="40" spans="3:46" x14ac:dyDescent="0.25">
      <c r="C40" s="100" t="str">
        <f>'MP Calculations'!D67</f>
        <v>2023-24</v>
      </c>
      <c r="D40" s="285">
        <f>IF(LEFT($C40,4)*1&lt;LEFT('General inputs'!$I$16,4)+'General inputs'!$H$38,SUM(G40,J40,M40,P40,S40,V40,Y40,AB40,AE40,AH40),"")</f>
        <v>7017.0633982109703</v>
      </c>
      <c r="E40" s="288"/>
      <c r="F40" s="289"/>
      <c r="G40" s="315">
        <v>1509.0364217554595</v>
      </c>
      <c r="H40" s="288"/>
      <c r="I40" s="301"/>
      <c r="J40" s="315">
        <v>1884.7764863637897</v>
      </c>
      <c r="K40" s="288"/>
      <c r="L40" s="301"/>
      <c r="M40" s="315">
        <v>3623.2504900917211</v>
      </c>
      <c r="N40" s="92"/>
      <c r="O40" s="49">
        <v>0</v>
      </c>
      <c r="P40" s="115">
        <f t="shared" si="0"/>
        <v>0</v>
      </c>
      <c r="Q40" s="92"/>
      <c r="R40" s="49">
        <v>0</v>
      </c>
      <c r="S40" s="115">
        <f t="shared" si="1"/>
        <v>0</v>
      </c>
      <c r="T40" s="92"/>
      <c r="U40" s="49">
        <v>0</v>
      </c>
      <c r="V40" s="115">
        <f t="shared" si="2"/>
        <v>0</v>
      </c>
      <c r="W40" s="92"/>
      <c r="X40" s="49">
        <v>0</v>
      </c>
      <c r="Y40" s="115">
        <f t="shared" si="3"/>
        <v>0</v>
      </c>
      <c r="Z40" s="92"/>
      <c r="AA40" s="49">
        <v>0</v>
      </c>
      <c r="AB40" s="115">
        <f t="shared" si="4"/>
        <v>0</v>
      </c>
      <c r="AC40" s="92"/>
      <c r="AD40" s="49">
        <v>0</v>
      </c>
      <c r="AE40" s="115">
        <f t="shared" si="5"/>
        <v>0</v>
      </c>
      <c r="AF40" s="92"/>
      <c r="AG40" s="49">
        <v>0</v>
      </c>
      <c r="AH40" s="115">
        <f t="shared" si="6"/>
        <v>0</v>
      </c>
      <c r="AI40" s="92"/>
      <c r="AL40" s="92"/>
      <c r="AM40" s="92"/>
      <c r="AN40" s="92"/>
      <c r="AS40" s="359"/>
      <c r="AT40" s="359"/>
    </row>
    <row r="41" spans="3:46" x14ac:dyDescent="0.25">
      <c r="C41" s="100" t="str">
        <f>'MP Calculations'!D68</f>
        <v>2024-25</v>
      </c>
      <c r="D41" s="285">
        <f>IF(LEFT($C41,4)*1&lt;LEFT('General inputs'!$I$16,4)+'General inputs'!$H$38,SUM(G41,J41,M41,P41,S41,V41,Y41,AB41,AE41,AH41),"")</f>
        <v>7924.406927606824</v>
      </c>
      <c r="E41" s="288"/>
      <c r="F41" s="289"/>
      <c r="G41" s="315">
        <v>1769.2092716247944</v>
      </c>
      <c r="H41" s="288"/>
      <c r="I41" s="301"/>
      <c r="J41" s="315">
        <v>2137.9103716334516</v>
      </c>
      <c r="K41" s="288"/>
      <c r="L41" s="301"/>
      <c r="M41" s="315">
        <v>4017.2872843485784</v>
      </c>
      <c r="N41" s="92"/>
      <c r="O41" s="49">
        <v>0</v>
      </c>
      <c r="P41" s="115">
        <f t="shared" si="0"/>
        <v>0</v>
      </c>
      <c r="Q41" s="92"/>
      <c r="R41" s="49">
        <v>0</v>
      </c>
      <c r="S41" s="115">
        <f t="shared" si="1"/>
        <v>0</v>
      </c>
      <c r="T41" s="92"/>
      <c r="U41" s="49">
        <v>0</v>
      </c>
      <c r="V41" s="115">
        <f t="shared" si="2"/>
        <v>0</v>
      </c>
      <c r="W41" s="92"/>
      <c r="X41" s="49">
        <v>0</v>
      </c>
      <c r="Y41" s="115">
        <f t="shared" si="3"/>
        <v>0</v>
      </c>
      <c r="Z41" s="92"/>
      <c r="AA41" s="49">
        <v>0</v>
      </c>
      <c r="AB41" s="115">
        <f t="shared" si="4"/>
        <v>0</v>
      </c>
      <c r="AC41" s="92"/>
      <c r="AD41" s="49">
        <v>0</v>
      </c>
      <c r="AE41" s="115">
        <f t="shared" si="5"/>
        <v>0</v>
      </c>
      <c r="AF41" s="92"/>
      <c r="AG41" s="49">
        <v>0</v>
      </c>
      <c r="AH41" s="115">
        <f t="shared" si="6"/>
        <v>0</v>
      </c>
      <c r="AI41" s="92"/>
      <c r="AL41" s="92"/>
      <c r="AM41" s="92"/>
      <c r="AN41" s="92"/>
      <c r="AS41" s="359"/>
      <c r="AT41" s="359"/>
    </row>
    <row r="42" spans="3:46" x14ac:dyDescent="0.25">
      <c r="C42" s="100" t="str">
        <f>'MP Calculations'!D69</f>
        <v>2025-26</v>
      </c>
      <c r="D42" s="285">
        <f>IF(LEFT($C42,4)*1&lt;LEFT('General inputs'!$I$16,4)+'General inputs'!$H$38,SUM(G42,J42,M42,P42,S42,V42,Y42,AB42,AE42,AH42),"")</f>
        <v>8224.2598305205684</v>
      </c>
      <c r="E42" s="288"/>
      <c r="F42" s="289"/>
      <c r="G42" s="315">
        <v>1835.3653231575777</v>
      </c>
      <c r="H42" s="288"/>
      <c r="I42" s="301"/>
      <c r="J42" s="315">
        <v>2198.7728044649862</v>
      </c>
      <c r="K42" s="288"/>
      <c r="L42" s="301"/>
      <c r="M42" s="315">
        <v>4190.1217028980054</v>
      </c>
      <c r="N42" s="92"/>
      <c r="O42" s="49">
        <v>0</v>
      </c>
      <c r="P42" s="115">
        <f t="shared" si="0"/>
        <v>0</v>
      </c>
      <c r="Q42" s="92"/>
      <c r="R42" s="49">
        <v>0</v>
      </c>
      <c r="S42" s="115">
        <f t="shared" si="1"/>
        <v>0</v>
      </c>
      <c r="T42" s="92"/>
      <c r="U42" s="49">
        <v>0</v>
      </c>
      <c r="V42" s="115">
        <f t="shared" si="2"/>
        <v>0</v>
      </c>
      <c r="W42" s="92"/>
      <c r="X42" s="49">
        <v>0</v>
      </c>
      <c r="Y42" s="115">
        <f t="shared" si="3"/>
        <v>0</v>
      </c>
      <c r="Z42" s="92"/>
      <c r="AA42" s="49">
        <v>0</v>
      </c>
      <c r="AB42" s="115">
        <f t="shared" si="4"/>
        <v>0</v>
      </c>
      <c r="AC42" s="92"/>
      <c r="AD42" s="49">
        <v>0</v>
      </c>
      <c r="AE42" s="115">
        <f t="shared" si="5"/>
        <v>0</v>
      </c>
      <c r="AF42" s="92"/>
      <c r="AG42" s="49">
        <v>0</v>
      </c>
      <c r="AH42" s="115">
        <f t="shared" si="6"/>
        <v>0</v>
      </c>
      <c r="AI42" s="92"/>
      <c r="AL42" s="92"/>
      <c r="AM42" s="92"/>
      <c r="AN42" s="92"/>
      <c r="AS42" s="359"/>
      <c r="AT42" s="359"/>
    </row>
    <row r="43" spans="3:46" x14ac:dyDescent="0.25">
      <c r="C43" s="100" t="str">
        <f>'MP Calculations'!D70</f>
        <v>2026-27</v>
      </c>
      <c r="D43" s="285">
        <f>IF(LEFT($C43,4)*1&lt;LEFT('General inputs'!$I$16,4)+'General inputs'!$H$38,SUM(G43,J43,M43,P43,S43,V43,Y43,AB43,AE43,AH43),"")</f>
        <v>8477.0310079973387</v>
      </c>
      <c r="E43" s="288"/>
      <c r="F43" s="289"/>
      <c r="G43" s="315">
        <v>1962.1374611066119</v>
      </c>
      <c r="H43" s="288"/>
      <c r="I43" s="301"/>
      <c r="J43" s="315">
        <v>2301.667624557595</v>
      </c>
      <c r="K43" s="288"/>
      <c r="L43" s="301"/>
      <c r="M43" s="315">
        <v>4213.2259223331321</v>
      </c>
      <c r="N43" s="92"/>
      <c r="O43" s="49">
        <v>0</v>
      </c>
      <c r="P43" s="115">
        <f t="shared" si="0"/>
        <v>0</v>
      </c>
      <c r="Q43" s="92"/>
      <c r="R43" s="49">
        <v>0</v>
      </c>
      <c r="S43" s="115">
        <f t="shared" si="1"/>
        <v>0</v>
      </c>
      <c r="T43" s="92"/>
      <c r="U43" s="49">
        <v>0</v>
      </c>
      <c r="V43" s="115">
        <f t="shared" si="2"/>
        <v>0</v>
      </c>
      <c r="W43" s="92"/>
      <c r="X43" s="49">
        <v>0</v>
      </c>
      <c r="Y43" s="115">
        <f t="shared" si="3"/>
        <v>0</v>
      </c>
      <c r="Z43" s="92"/>
      <c r="AA43" s="49">
        <v>0</v>
      </c>
      <c r="AB43" s="115">
        <f t="shared" si="4"/>
        <v>0</v>
      </c>
      <c r="AC43" s="92"/>
      <c r="AD43" s="49">
        <v>0</v>
      </c>
      <c r="AE43" s="115">
        <f t="shared" si="5"/>
        <v>0</v>
      </c>
      <c r="AF43" s="92"/>
      <c r="AG43" s="49">
        <v>0</v>
      </c>
      <c r="AH43" s="115">
        <f t="shared" si="6"/>
        <v>0</v>
      </c>
      <c r="AI43" s="92"/>
      <c r="AL43" s="92"/>
      <c r="AM43" s="92"/>
      <c r="AN43" s="92"/>
      <c r="AS43" s="359"/>
      <c r="AT43" s="359"/>
    </row>
    <row r="44" spans="3:46" x14ac:dyDescent="0.25">
      <c r="C44" s="100" t="str">
        <f>'MP Calculations'!D71</f>
        <v>2027-28</v>
      </c>
      <c r="D44" s="285">
        <f>IF(LEFT($C44,4)*1&lt;LEFT('General inputs'!$I$16,4)+'General inputs'!$H$38,SUM(G44,J44,M44,P44,S44,V44,Y44,AB44,AE44,AH44),"")</f>
        <v>9575.6516198870195</v>
      </c>
      <c r="E44" s="288"/>
      <c r="F44" s="289"/>
      <c r="G44" s="315">
        <v>2228.6044131473986</v>
      </c>
      <c r="H44" s="288"/>
      <c r="I44" s="301"/>
      <c r="J44" s="315">
        <v>2893.5815594057522</v>
      </c>
      <c r="K44" s="288"/>
      <c r="L44" s="301"/>
      <c r="M44" s="315">
        <v>4453.4656473338691</v>
      </c>
      <c r="N44" s="92"/>
      <c r="O44" s="49">
        <v>0</v>
      </c>
      <c r="P44" s="115">
        <f t="shared" ref="P44:P75" si="8">O44*$P$9/$F$6</f>
        <v>0</v>
      </c>
      <c r="Q44" s="92"/>
      <c r="R44" s="49">
        <v>0</v>
      </c>
      <c r="S44" s="115">
        <f t="shared" ref="S44:S75" si="9">R44*$S$9/$F$6</f>
        <v>0</v>
      </c>
      <c r="T44" s="92"/>
      <c r="U44" s="49">
        <v>0</v>
      </c>
      <c r="V44" s="115">
        <f t="shared" ref="V44:V75" si="10">U44*$V$9/$F$6</f>
        <v>0</v>
      </c>
      <c r="W44" s="92"/>
      <c r="X44" s="49">
        <v>0</v>
      </c>
      <c r="Y44" s="115">
        <f t="shared" ref="Y44:Y75" si="11">X44*$Y$9/$F$6</f>
        <v>0</v>
      </c>
      <c r="Z44" s="92"/>
      <c r="AA44" s="49">
        <v>0</v>
      </c>
      <c r="AB44" s="115">
        <f t="shared" ref="AB44:AB75" si="12">AA44*$AB$9/$F$6</f>
        <v>0</v>
      </c>
      <c r="AC44" s="92"/>
      <c r="AD44" s="49">
        <v>0</v>
      </c>
      <c r="AE44" s="115">
        <f t="shared" ref="AE44:AE75" si="13">AD44*$AE$9/$F$6</f>
        <v>0</v>
      </c>
      <c r="AF44" s="92"/>
      <c r="AG44" s="49">
        <v>0</v>
      </c>
      <c r="AH44" s="115">
        <f t="shared" ref="AH44:AH75" si="14">AG44*$AH$9/$F$6</f>
        <v>0</v>
      </c>
      <c r="AI44" s="92"/>
      <c r="AL44" s="92"/>
      <c r="AM44" s="92"/>
      <c r="AN44" s="92"/>
      <c r="AS44" s="359"/>
      <c r="AT44" s="359"/>
    </row>
    <row r="45" spans="3:46" x14ac:dyDescent="0.25">
      <c r="C45" s="100" t="str">
        <f>'MP Calculations'!D72</f>
        <v>2028-29</v>
      </c>
      <c r="D45" s="285">
        <f>IF(LEFT($C45,4)*1&lt;LEFT('General inputs'!$I$16,4)+'General inputs'!$H$38,SUM(G45,J45,M45,P45,S45,V45,Y45,AB45,AE45,AH45),"")</f>
        <v>9617.2180472237887</v>
      </c>
      <c r="E45" s="288"/>
      <c r="F45" s="289"/>
      <c r="G45" s="315">
        <v>2161.7909160298395</v>
      </c>
      <c r="H45" s="288"/>
      <c r="I45" s="301"/>
      <c r="J45" s="315">
        <v>2858.7883445486923</v>
      </c>
      <c r="K45" s="288"/>
      <c r="L45" s="301"/>
      <c r="M45" s="315">
        <v>4596.6387866452569</v>
      </c>
      <c r="N45" s="92"/>
      <c r="O45" s="49">
        <v>0</v>
      </c>
      <c r="P45" s="115">
        <f t="shared" si="8"/>
        <v>0</v>
      </c>
      <c r="Q45" s="92"/>
      <c r="R45" s="49">
        <v>0</v>
      </c>
      <c r="S45" s="115">
        <f t="shared" si="9"/>
        <v>0</v>
      </c>
      <c r="T45" s="92"/>
      <c r="U45" s="49">
        <v>0</v>
      </c>
      <c r="V45" s="115">
        <f t="shared" si="10"/>
        <v>0</v>
      </c>
      <c r="W45" s="92"/>
      <c r="X45" s="49">
        <v>0</v>
      </c>
      <c r="Y45" s="115">
        <f t="shared" si="11"/>
        <v>0</v>
      </c>
      <c r="Z45" s="92"/>
      <c r="AA45" s="49">
        <v>0</v>
      </c>
      <c r="AB45" s="115">
        <f t="shared" si="12"/>
        <v>0</v>
      </c>
      <c r="AC45" s="92"/>
      <c r="AD45" s="49">
        <v>0</v>
      </c>
      <c r="AE45" s="115">
        <f t="shared" si="13"/>
        <v>0</v>
      </c>
      <c r="AF45" s="92"/>
      <c r="AG45" s="49">
        <v>0</v>
      </c>
      <c r="AH45" s="115">
        <f t="shared" si="14"/>
        <v>0</v>
      </c>
      <c r="AI45" s="92"/>
      <c r="AL45" s="92"/>
      <c r="AM45" s="92"/>
      <c r="AN45" s="92"/>
      <c r="AS45" s="359"/>
      <c r="AT45" s="359"/>
    </row>
    <row r="46" spans="3:46" x14ac:dyDescent="0.25">
      <c r="C46" s="100" t="str">
        <f>'MP Calculations'!D73</f>
        <v>2029-30</v>
      </c>
      <c r="D46" s="285">
        <f>IF(LEFT($C46,4)*1&lt;LEFT('General inputs'!$I$16,4)+'General inputs'!$H$38,SUM(G46,J46,M46,P46,S46,V46,Y46,AB46,AE46,AH46),"")</f>
        <v>9946.636188644432</v>
      </c>
      <c r="E46" s="288"/>
      <c r="F46" s="289"/>
      <c r="G46" s="315">
        <v>2046.9698683720044</v>
      </c>
      <c r="H46" s="288"/>
      <c r="I46" s="301"/>
      <c r="J46" s="315">
        <v>2851.9884771687639</v>
      </c>
      <c r="K46" s="288"/>
      <c r="L46" s="301"/>
      <c r="M46" s="315">
        <v>5047.6778431036637</v>
      </c>
      <c r="N46" s="92"/>
      <c r="O46" s="49">
        <v>0</v>
      </c>
      <c r="P46" s="115">
        <f t="shared" si="8"/>
        <v>0</v>
      </c>
      <c r="Q46" s="92"/>
      <c r="R46" s="49">
        <v>0</v>
      </c>
      <c r="S46" s="115">
        <f t="shared" si="9"/>
        <v>0</v>
      </c>
      <c r="T46" s="92"/>
      <c r="U46" s="49">
        <v>0</v>
      </c>
      <c r="V46" s="115">
        <f t="shared" si="10"/>
        <v>0</v>
      </c>
      <c r="W46" s="92"/>
      <c r="X46" s="49">
        <v>0</v>
      </c>
      <c r="Y46" s="115">
        <f t="shared" si="11"/>
        <v>0</v>
      </c>
      <c r="Z46" s="92"/>
      <c r="AA46" s="49">
        <v>0</v>
      </c>
      <c r="AB46" s="115">
        <f t="shared" si="12"/>
        <v>0</v>
      </c>
      <c r="AC46" s="92"/>
      <c r="AD46" s="49">
        <v>0</v>
      </c>
      <c r="AE46" s="115">
        <f t="shared" si="13"/>
        <v>0</v>
      </c>
      <c r="AF46" s="92"/>
      <c r="AG46" s="49">
        <v>0</v>
      </c>
      <c r="AH46" s="115">
        <f t="shared" si="14"/>
        <v>0</v>
      </c>
      <c r="AI46" s="92"/>
      <c r="AL46" s="92"/>
      <c r="AM46" s="92"/>
      <c r="AN46" s="92"/>
      <c r="AS46" s="359"/>
      <c r="AT46" s="359"/>
    </row>
    <row r="47" spans="3:46" x14ac:dyDescent="0.25">
      <c r="C47" s="100" t="str">
        <f>'MP Calculations'!D74</f>
        <v>2030-31</v>
      </c>
      <c r="D47" s="285">
        <f>IF(LEFT($C47,4)*1&lt;LEFT('General inputs'!$I$16,4)+'General inputs'!$H$38,SUM(G47,J47,M47,P47,S47,V47,Y47,AB47,AE47,AH47),"")</f>
        <v>9735.0031548446022</v>
      </c>
      <c r="E47" s="288"/>
      <c r="F47" s="289"/>
      <c r="G47" s="315">
        <v>2264.8934303112014</v>
      </c>
      <c r="H47" s="288"/>
      <c r="I47" s="301"/>
      <c r="J47" s="315">
        <v>2930.3890874244885</v>
      </c>
      <c r="K47" s="288"/>
      <c r="L47" s="301"/>
      <c r="M47" s="315">
        <v>4539.7206371089133</v>
      </c>
      <c r="N47" s="92"/>
      <c r="O47" s="49">
        <v>0</v>
      </c>
      <c r="P47" s="115">
        <f t="shared" si="8"/>
        <v>0</v>
      </c>
      <c r="Q47" s="92"/>
      <c r="R47" s="49">
        <v>0</v>
      </c>
      <c r="S47" s="115">
        <f t="shared" si="9"/>
        <v>0</v>
      </c>
      <c r="T47" s="92"/>
      <c r="U47" s="49">
        <v>0</v>
      </c>
      <c r="V47" s="115">
        <f t="shared" si="10"/>
        <v>0</v>
      </c>
      <c r="W47" s="92"/>
      <c r="X47" s="49">
        <v>0</v>
      </c>
      <c r="Y47" s="115">
        <f t="shared" si="11"/>
        <v>0</v>
      </c>
      <c r="Z47" s="92"/>
      <c r="AA47" s="49">
        <v>0</v>
      </c>
      <c r="AB47" s="115">
        <f t="shared" si="12"/>
        <v>0</v>
      </c>
      <c r="AC47" s="92"/>
      <c r="AD47" s="49">
        <v>0</v>
      </c>
      <c r="AE47" s="115">
        <f t="shared" si="13"/>
        <v>0</v>
      </c>
      <c r="AF47" s="92"/>
      <c r="AG47" s="49">
        <v>0</v>
      </c>
      <c r="AH47" s="115">
        <f t="shared" si="14"/>
        <v>0</v>
      </c>
      <c r="AI47" s="92"/>
      <c r="AL47" s="92"/>
      <c r="AM47" s="92"/>
      <c r="AN47" s="92"/>
      <c r="AS47" s="359"/>
      <c r="AT47" s="359"/>
    </row>
    <row r="48" spans="3:46" x14ac:dyDescent="0.25">
      <c r="C48" s="100" t="str">
        <f>'MP Calculations'!D75</f>
        <v>2031-32</v>
      </c>
      <c r="D48" s="285">
        <f>IF(LEFT($C48,4)*1&lt;LEFT('General inputs'!$I$16,4)+'General inputs'!$H$38,SUM(G48,J48,M48,P48,S48,V48,Y48,AB48,AE48,AH48),"")</f>
        <v>6884.4190062036096</v>
      </c>
      <c r="E48" s="288"/>
      <c r="F48" s="289"/>
      <c r="G48" s="315">
        <v>1438.5789958097685</v>
      </c>
      <c r="H48" s="288"/>
      <c r="I48" s="301"/>
      <c r="J48" s="315">
        <v>2108.5916867757351</v>
      </c>
      <c r="K48" s="288"/>
      <c r="L48" s="301"/>
      <c r="M48" s="315">
        <v>3337.248323618106</v>
      </c>
      <c r="N48" s="92"/>
      <c r="O48" s="49">
        <v>0</v>
      </c>
      <c r="P48" s="115">
        <f t="shared" si="8"/>
        <v>0</v>
      </c>
      <c r="Q48" s="92"/>
      <c r="R48" s="49">
        <v>0</v>
      </c>
      <c r="S48" s="115">
        <f t="shared" si="9"/>
        <v>0</v>
      </c>
      <c r="T48" s="92"/>
      <c r="U48" s="49">
        <v>0</v>
      </c>
      <c r="V48" s="115">
        <f t="shared" si="10"/>
        <v>0</v>
      </c>
      <c r="W48" s="92"/>
      <c r="X48" s="49">
        <v>0</v>
      </c>
      <c r="Y48" s="115">
        <f t="shared" si="11"/>
        <v>0</v>
      </c>
      <c r="Z48" s="92"/>
      <c r="AA48" s="49">
        <v>0</v>
      </c>
      <c r="AB48" s="115">
        <f t="shared" si="12"/>
        <v>0</v>
      </c>
      <c r="AC48" s="92"/>
      <c r="AD48" s="49">
        <v>0</v>
      </c>
      <c r="AE48" s="115">
        <f t="shared" si="13"/>
        <v>0</v>
      </c>
      <c r="AF48" s="92"/>
      <c r="AG48" s="49">
        <v>0</v>
      </c>
      <c r="AH48" s="115">
        <f t="shared" si="14"/>
        <v>0</v>
      </c>
      <c r="AI48" s="92"/>
      <c r="AL48" s="92"/>
      <c r="AM48" s="92"/>
      <c r="AN48" s="92"/>
      <c r="AS48" s="359"/>
      <c r="AT48" s="359"/>
    </row>
    <row r="49" spans="3:46" x14ac:dyDescent="0.25">
      <c r="C49" s="100" t="str">
        <f>'MP Calculations'!D76</f>
        <v>2032-33</v>
      </c>
      <c r="D49" s="285">
        <f>IF(LEFT($C49,4)*1&lt;LEFT('General inputs'!$I$16,4)+'General inputs'!$H$38,SUM(G49,J49,M49,P49,S49,V49,Y49,AB49,AE49,AH49),"")</f>
        <v>6520.0210636503543</v>
      </c>
      <c r="E49" s="288"/>
      <c r="F49" s="289"/>
      <c r="G49" s="315">
        <v>1357.7760363992368</v>
      </c>
      <c r="H49" s="288"/>
      <c r="I49" s="301"/>
      <c r="J49" s="315">
        <v>1978.1312566214719</v>
      </c>
      <c r="K49" s="288"/>
      <c r="L49" s="301"/>
      <c r="M49" s="315">
        <v>3184.1137706296463</v>
      </c>
      <c r="N49" s="92"/>
      <c r="O49" s="49">
        <v>0</v>
      </c>
      <c r="P49" s="115">
        <f t="shared" si="8"/>
        <v>0</v>
      </c>
      <c r="Q49" s="92"/>
      <c r="R49" s="49">
        <v>0</v>
      </c>
      <c r="S49" s="115">
        <f t="shared" si="9"/>
        <v>0</v>
      </c>
      <c r="T49" s="92"/>
      <c r="U49" s="49">
        <v>0</v>
      </c>
      <c r="V49" s="115">
        <f t="shared" si="10"/>
        <v>0</v>
      </c>
      <c r="W49" s="92"/>
      <c r="X49" s="49">
        <v>0</v>
      </c>
      <c r="Y49" s="115">
        <f t="shared" si="11"/>
        <v>0</v>
      </c>
      <c r="Z49" s="92"/>
      <c r="AA49" s="49">
        <v>0</v>
      </c>
      <c r="AB49" s="115">
        <f t="shared" si="12"/>
        <v>0</v>
      </c>
      <c r="AC49" s="92"/>
      <c r="AD49" s="49">
        <v>0</v>
      </c>
      <c r="AE49" s="115">
        <f t="shared" si="13"/>
        <v>0</v>
      </c>
      <c r="AF49" s="92"/>
      <c r="AG49" s="49">
        <v>0</v>
      </c>
      <c r="AH49" s="115">
        <f t="shared" si="14"/>
        <v>0</v>
      </c>
      <c r="AI49" s="92"/>
      <c r="AL49" s="92"/>
      <c r="AM49" s="92"/>
      <c r="AN49" s="92"/>
      <c r="AS49" s="359"/>
      <c r="AT49" s="359"/>
    </row>
    <row r="50" spans="3:46" x14ac:dyDescent="0.25">
      <c r="C50" s="100" t="str">
        <f>'MP Calculations'!D77</f>
        <v>2033-34</v>
      </c>
      <c r="D50" s="285">
        <f>IF(LEFT($C50,4)*1&lt;LEFT('General inputs'!$I$16,4)+'General inputs'!$H$38,SUM(G50,J50,M50,P50,S50,V50,Y50,AB50,AE50,AH50),"")</f>
        <v>7021.4776291737071</v>
      </c>
      <c r="E50" s="288"/>
      <c r="F50" s="289"/>
      <c r="G50" s="315">
        <v>1453.9708614128567</v>
      </c>
      <c r="H50" s="288"/>
      <c r="I50" s="301"/>
      <c r="J50" s="315">
        <v>2127.2942261701451</v>
      </c>
      <c r="K50" s="288"/>
      <c r="L50" s="301"/>
      <c r="M50" s="315">
        <v>3440.2125415907049</v>
      </c>
      <c r="N50" s="92"/>
      <c r="O50" s="49">
        <v>0</v>
      </c>
      <c r="P50" s="115">
        <f t="shared" si="8"/>
        <v>0</v>
      </c>
      <c r="Q50" s="92"/>
      <c r="R50" s="49">
        <v>0</v>
      </c>
      <c r="S50" s="115">
        <f t="shared" si="9"/>
        <v>0</v>
      </c>
      <c r="T50" s="92"/>
      <c r="U50" s="49">
        <v>0</v>
      </c>
      <c r="V50" s="115">
        <f t="shared" si="10"/>
        <v>0</v>
      </c>
      <c r="W50" s="92"/>
      <c r="X50" s="49">
        <v>0</v>
      </c>
      <c r="Y50" s="115">
        <f t="shared" si="11"/>
        <v>0</v>
      </c>
      <c r="Z50" s="92"/>
      <c r="AA50" s="49">
        <v>0</v>
      </c>
      <c r="AB50" s="115">
        <f t="shared" si="12"/>
        <v>0</v>
      </c>
      <c r="AC50" s="92"/>
      <c r="AD50" s="49">
        <v>0</v>
      </c>
      <c r="AE50" s="115">
        <f t="shared" si="13"/>
        <v>0</v>
      </c>
      <c r="AF50" s="92"/>
      <c r="AG50" s="49">
        <v>0</v>
      </c>
      <c r="AH50" s="115">
        <f t="shared" si="14"/>
        <v>0</v>
      </c>
      <c r="AI50" s="92"/>
      <c r="AL50" s="92"/>
      <c r="AM50" s="92"/>
      <c r="AN50" s="92"/>
      <c r="AS50" s="359"/>
      <c r="AT50" s="359"/>
    </row>
    <row r="51" spans="3:46" x14ac:dyDescent="0.25">
      <c r="C51" s="100" t="str">
        <f>'MP Calculations'!D78</f>
        <v>2034-35</v>
      </c>
      <c r="D51" s="285">
        <f>IF(LEFT($C51,4)*1&lt;LEFT('General inputs'!$I$16,4)+'General inputs'!$H$38,SUM(G51,J51,M51,P51,S51,V51,Y51,AB51,AE51,AH51),"")</f>
        <v>6670.3312174987495</v>
      </c>
      <c r="E51" s="288"/>
      <c r="F51" s="289"/>
      <c r="G51" s="315">
        <v>1398.8758618503821</v>
      </c>
      <c r="H51" s="288"/>
      <c r="I51" s="301"/>
      <c r="J51" s="315">
        <v>2027.4494514150392</v>
      </c>
      <c r="K51" s="288"/>
      <c r="L51" s="301"/>
      <c r="M51" s="315">
        <v>3244.0059042333282</v>
      </c>
      <c r="N51" s="92"/>
      <c r="O51" s="49">
        <v>0</v>
      </c>
      <c r="P51" s="115">
        <f t="shared" si="8"/>
        <v>0</v>
      </c>
      <c r="Q51" s="92"/>
      <c r="R51" s="49">
        <v>0</v>
      </c>
      <c r="S51" s="115">
        <f t="shared" si="9"/>
        <v>0</v>
      </c>
      <c r="T51" s="92"/>
      <c r="U51" s="49">
        <v>0</v>
      </c>
      <c r="V51" s="115">
        <f t="shared" si="10"/>
        <v>0</v>
      </c>
      <c r="W51" s="92"/>
      <c r="X51" s="49">
        <v>0</v>
      </c>
      <c r="Y51" s="115">
        <f t="shared" si="11"/>
        <v>0</v>
      </c>
      <c r="Z51" s="92"/>
      <c r="AA51" s="49">
        <v>0</v>
      </c>
      <c r="AB51" s="115">
        <f t="shared" si="12"/>
        <v>0</v>
      </c>
      <c r="AC51" s="92"/>
      <c r="AD51" s="49">
        <v>0</v>
      </c>
      <c r="AE51" s="115">
        <f t="shared" si="13"/>
        <v>0</v>
      </c>
      <c r="AF51" s="92"/>
      <c r="AG51" s="49">
        <v>0</v>
      </c>
      <c r="AH51" s="115">
        <f t="shared" si="14"/>
        <v>0</v>
      </c>
      <c r="AI51" s="92"/>
      <c r="AL51" s="92"/>
      <c r="AM51" s="92"/>
      <c r="AN51" s="92"/>
      <c r="AS51" s="359"/>
      <c r="AT51" s="359"/>
    </row>
    <row r="52" spans="3:46" x14ac:dyDescent="0.25">
      <c r="C52" s="100" t="str">
        <f>'MP Calculations'!D79</f>
        <v>2035-36</v>
      </c>
      <c r="D52" s="285">
        <f>IF(LEFT($C52,4)*1&lt;LEFT('General inputs'!$I$16,4)+'General inputs'!$H$38,SUM(G52,J52,M52,P52,S52,V52,Y52,AB52,AE52,AH52),"")</f>
        <v>7183.2375714555837</v>
      </c>
      <c r="E52" s="288"/>
      <c r="F52" s="289"/>
      <c r="G52" s="315">
        <v>1489.6634678027922</v>
      </c>
      <c r="H52" s="288"/>
      <c r="I52" s="301"/>
      <c r="J52" s="315">
        <v>2163.3584289534156</v>
      </c>
      <c r="K52" s="288"/>
      <c r="L52" s="301"/>
      <c r="M52" s="315">
        <v>3530.215674699376</v>
      </c>
      <c r="N52" s="92"/>
      <c r="O52" s="49">
        <v>0</v>
      </c>
      <c r="P52" s="115">
        <f t="shared" si="8"/>
        <v>0</v>
      </c>
      <c r="Q52" s="92"/>
      <c r="R52" s="49">
        <v>0</v>
      </c>
      <c r="S52" s="115">
        <f t="shared" si="9"/>
        <v>0</v>
      </c>
      <c r="T52" s="92"/>
      <c r="U52" s="49">
        <v>0</v>
      </c>
      <c r="V52" s="115">
        <f t="shared" si="10"/>
        <v>0</v>
      </c>
      <c r="W52" s="92"/>
      <c r="X52" s="49">
        <v>0</v>
      </c>
      <c r="Y52" s="115">
        <f t="shared" si="11"/>
        <v>0</v>
      </c>
      <c r="Z52" s="92"/>
      <c r="AA52" s="49">
        <v>0</v>
      </c>
      <c r="AB52" s="115">
        <f t="shared" si="12"/>
        <v>0</v>
      </c>
      <c r="AC52" s="92"/>
      <c r="AD52" s="49">
        <v>0</v>
      </c>
      <c r="AE52" s="115">
        <f t="shared" si="13"/>
        <v>0</v>
      </c>
      <c r="AF52" s="92"/>
      <c r="AG52" s="49">
        <v>0</v>
      </c>
      <c r="AH52" s="115">
        <f t="shared" si="14"/>
        <v>0</v>
      </c>
      <c r="AI52" s="92"/>
      <c r="AL52" s="92"/>
      <c r="AM52" s="92"/>
      <c r="AN52" s="92"/>
      <c r="AS52" s="359"/>
      <c r="AT52" s="359"/>
    </row>
    <row r="53" spans="3:46" x14ac:dyDescent="0.25">
      <c r="C53" s="100" t="str">
        <f>'MP Calculations'!D80</f>
        <v>2036-37</v>
      </c>
      <c r="D53" s="285">
        <f>IF(LEFT($C53,4)*1&lt;LEFT('General inputs'!$I$16,4)+'General inputs'!$H$38,SUM(G53,J53,M53,P53,S53,V53,Y53,AB53,AE53,AH53),"")</f>
        <v>6365.9388491294494</v>
      </c>
      <c r="E53" s="288"/>
      <c r="F53" s="289"/>
      <c r="G53" s="315">
        <v>1347.0720293335851</v>
      </c>
      <c r="H53" s="288"/>
      <c r="I53" s="301"/>
      <c r="J53" s="315">
        <v>1933.5398665706289</v>
      </c>
      <c r="K53" s="288"/>
      <c r="L53" s="301"/>
      <c r="M53" s="315">
        <v>3085.3269532252352</v>
      </c>
      <c r="N53" s="92"/>
      <c r="O53" s="49">
        <v>0</v>
      </c>
      <c r="P53" s="115">
        <f t="shared" si="8"/>
        <v>0</v>
      </c>
      <c r="Q53" s="92"/>
      <c r="R53" s="49">
        <v>0</v>
      </c>
      <c r="S53" s="115">
        <f t="shared" si="9"/>
        <v>0</v>
      </c>
      <c r="T53" s="92"/>
      <c r="U53" s="49">
        <v>0</v>
      </c>
      <c r="V53" s="115">
        <f t="shared" si="10"/>
        <v>0</v>
      </c>
      <c r="W53" s="92"/>
      <c r="X53" s="49">
        <v>0</v>
      </c>
      <c r="Y53" s="115">
        <f t="shared" si="11"/>
        <v>0</v>
      </c>
      <c r="Z53" s="92"/>
      <c r="AA53" s="49">
        <v>0</v>
      </c>
      <c r="AB53" s="115">
        <f t="shared" si="12"/>
        <v>0</v>
      </c>
      <c r="AC53" s="92"/>
      <c r="AD53" s="49">
        <v>0</v>
      </c>
      <c r="AE53" s="115">
        <f t="shared" si="13"/>
        <v>0</v>
      </c>
      <c r="AF53" s="92"/>
      <c r="AG53" s="49">
        <v>0</v>
      </c>
      <c r="AH53" s="115">
        <f t="shared" si="14"/>
        <v>0</v>
      </c>
      <c r="AI53" s="92"/>
      <c r="AL53" s="92"/>
      <c r="AM53" s="92"/>
      <c r="AN53" s="92"/>
      <c r="AS53" s="359"/>
      <c r="AT53" s="359"/>
    </row>
    <row r="54" spans="3:46" x14ac:dyDescent="0.25">
      <c r="C54" s="100" t="str">
        <f>'MP Calculations'!D81</f>
        <v>2037-38</v>
      </c>
      <c r="D54" s="285">
        <f>IF(LEFT($C54,4)*1&lt;LEFT('General inputs'!$I$16,4)+'General inputs'!$H$38,SUM(G54,J54,M54,P54,S54,V54,Y54,AB54,AE54,AH54),"")</f>
        <v>7684.4335394190193</v>
      </c>
      <c r="E54" s="288"/>
      <c r="F54" s="289"/>
      <c r="G54" s="315">
        <v>1664.3236483239584</v>
      </c>
      <c r="H54" s="288"/>
      <c r="I54" s="301"/>
      <c r="J54" s="315">
        <v>2330.7528796572897</v>
      </c>
      <c r="K54" s="288"/>
      <c r="L54" s="301"/>
      <c r="M54" s="315">
        <v>3689.3570114377712</v>
      </c>
      <c r="N54" s="92"/>
      <c r="O54" s="49">
        <v>0</v>
      </c>
      <c r="P54" s="115">
        <f t="shared" si="8"/>
        <v>0</v>
      </c>
      <c r="Q54" s="92"/>
      <c r="R54" s="49">
        <v>0</v>
      </c>
      <c r="S54" s="115">
        <f t="shared" si="9"/>
        <v>0</v>
      </c>
      <c r="T54" s="92"/>
      <c r="U54" s="49">
        <v>0</v>
      </c>
      <c r="V54" s="115">
        <f t="shared" si="10"/>
        <v>0</v>
      </c>
      <c r="W54" s="92"/>
      <c r="X54" s="49">
        <v>0</v>
      </c>
      <c r="Y54" s="115">
        <f t="shared" si="11"/>
        <v>0</v>
      </c>
      <c r="Z54" s="92"/>
      <c r="AA54" s="49">
        <v>0</v>
      </c>
      <c r="AB54" s="115">
        <f t="shared" si="12"/>
        <v>0</v>
      </c>
      <c r="AC54" s="92"/>
      <c r="AD54" s="49">
        <v>0</v>
      </c>
      <c r="AE54" s="115">
        <f t="shared" si="13"/>
        <v>0</v>
      </c>
      <c r="AF54" s="92"/>
      <c r="AG54" s="49">
        <v>0</v>
      </c>
      <c r="AH54" s="115">
        <f t="shared" si="14"/>
        <v>0</v>
      </c>
      <c r="AI54" s="92"/>
      <c r="AL54" s="92"/>
      <c r="AM54" s="92"/>
      <c r="AN54" s="92"/>
      <c r="AS54" s="359"/>
      <c r="AT54" s="359"/>
    </row>
    <row r="55" spans="3:46" x14ac:dyDescent="0.25">
      <c r="C55" s="100" t="str">
        <f>'MP Calculations'!D82</f>
        <v>2038-39</v>
      </c>
      <c r="D55" s="285">
        <f>IF(LEFT($C55,4)*1&lt;LEFT('General inputs'!$I$16,4)+'General inputs'!$H$38,SUM(G55,J55,M55,P55,S55,V55,Y55,AB55,AE55,AH55),"")</f>
        <v>7096.7376106524925</v>
      </c>
      <c r="E55" s="288"/>
      <c r="F55" s="289"/>
      <c r="G55" s="315">
        <v>1515.4084126677399</v>
      </c>
      <c r="H55" s="288"/>
      <c r="I55" s="301"/>
      <c r="J55" s="315">
        <v>2138.5542005984471</v>
      </c>
      <c r="K55" s="288"/>
      <c r="L55" s="301"/>
      <c r="M55" s="315">
        <v>3442.7749973863056</v>
      </c>
      <c r="N55" s="92"/>
      <c r="O55" s="49">
        <v>0</v>
      </c>
      <c r="P55" s="115">
        <f t="shared" si="8"/>
        <v>0</v>
      </c>
      <c r="Q55" s="92"/>
      <c r="R55" s="49">
        <v>0</v>
      </c>
      <c r="S55" s="115">
        <f t="shared" si="9"/>
        <v>0</v>
      </c>
      <c r="T55" s="92"/>
      <c r="U55" s="49">
        <v>0</v>
      </c>
      <c r="V55" s="115">
        <f t="shared" si="10"/>
        <v>0</v>
      </c>
      <c r="W55" s="92"/>
      <c r="X55" s="49">
        <v>0</v>
      </c>
      <c r="Y55" s="115">
        <f t="shared" si="11"/>
        <v>0</v>
      </c>
      <c r="Z55" s="92"/>
      <c r="AA55" s="49">
        <v>0</v>
      </c>
      <c r="AB55" s="115">
        <f t="shared" si="12"/>
        <v>0</v>
      </c>
      <c r="AC55" s="92"/>
      <c r="AD55" s="49">
        <v>0</v>
      </c>
      <c r="AE55" s="115">
        <f t="shared" si="13"/>
        <v>0</v>
      </c>
      <c r="AF55" s="92"/>
      <c r="AG55" s="49">
        <v>0</v>
      </c>
      <c r="AH55" s="115">
        <f t="shared" si="14"/>
        <v>0</v>
      </c>
      <c r="AI55" s="92"/>
      <c r="AL55" s="92"/>
      <c r="AM55" s="92"/>
      <c r="AN55" s="92"/>
      <c r="AS55" s="359"/>
      <c r="AT55" s="359"/>
    </row>
    <row r="56" spans="3:46" x14ac:dyDescent="0.25">
      <c r="C56" s="100" t="str">
        <f>'MP Calculations'!D83</f>
        <v>2039-40</v>
      </c>
      <c r="D56" s="285">
        <f>IF(LEFT($C56,4)*1&lt;LEFT('General inputs'!$I$16,4)+'General inputs'!$H$38,SUM(G56,J56,M56,P56,S56,V56,Y56,AB56,AE56,AH56),"")</f>
        <v>7105.0959946621069</v>
      </c>
      <c r="E56" s="288"/>
      <c r="F56" s="289"/>
      <c r="G56" s="315">
        <v>1469.4117425534587</v>
      </c>
      <c r="H56" s="288"/>
      <c r="I56" s="301"/>
      <c r="J56" s="315">
        <v>2116.743568765025</v>
      </c>
      <c r="K56" s="288"/>
      <c r="L56" s="301"/>
      <c r="M56" s="315">
        <v>3518.9406833436233</v>
      </c>
      <c r="N56" s="92"/>
      <c r="O56" s="49">
        <v>0</v>
      </c>
      <c r="P56" s="115">
        <f t="shared" si="8"/>
        <v>0</v>
      </c>
      <c r="Q56" s="92"/>
      <c r="R56" s="49">
        <v>0</v>
      </c>
      <c r="S56" s="115">
        <f t="shared" si="9"/>
        <v>0</v>
      </c>
      <c r="T56" s="92"/>
      <c r="U56" s="49">
        <v>0</v>
      </c>
      <c r="V56" s="115">
        <f t="shared" si="10"/>
        <v>0</v>
      </c>
      <c r="W56" s="92"/>
      <c r="X56" s="49">
        <v>0</v>
      </c>
      <c r="Y56" s="115">
        <f t="shared" si="11"/>
        <v>0</v>
      </c>
      <c r="Z56" s="92"/>
      <c r="AA56" s="49">
        <v>0</v>
      </c>
      <c r="AB56" s="115">
        <f t="shared" si="12"/>
        <v>0</v>
      </c>
      <c r="AC56" s="92"/>
      <c r="AD56" s="49">
        <v>0</v>
      </c>
      <c r="AE56" s="115">
        <f t="shared" si="13"/>
        <v>0</v>
      </c>
      <c r="AF56" s="92"/>
      <c r="AG56" s="49">
        <v>0</v>
      </c>
      <c r="AH56" s="115">
        <f t="shared" si="14"/>
        <v>0</v>
      </c>
      <c r="AI56" s="92"/>
      <c r="AL56" s="92"/>
      <c r="AM56" s="92"/>
      <c r="AN56" s="92"/>
      <c r="AS56" s="359"/>
      <c r="AT56" s="359"/>
    </row>
    <row r="57" spans="3:46" x14ac:dyDescent="0.25">
      <c r="C57" s="100" t="str">
        <f>'MP Calculations'!D84</f>
        <v>2040-41</v>
      </c>
      <c r="D57" s="285">
        <f>IF(LEFT($C57,4)*1&lt;LEFT('General inputs'!$I$16,4)+'General inputs'!$H$38,SUM(G57,J57,M57,P57,S57,V57,Y57,AB57,AE57,AH57),"")</f>
        <v>7203.8409220568683</v>
      </c>
      <c r="E57" s="288"/>
      <c r="F57" s="289"/>
      <c r="G57" s="315">
        <v>1543.2633999115228</v>
      </c>
      <c r="H57" s="288"/>
      <c r="I57" s="301"/>
      <c r="J57" s="315">
        <v>2177.8083805134775</v>
      </c>
      <c r="K57" s="288"/>
      <c r="L57" s="301"/>
      <c r="M57" s="315">
        <v>3482.7691416318685</v>
      </c>
      <c r="N57" s="92"/>
      <c r="O57" s="49">
        <v>0</v>
      </c>
      <c r="P57" s="115">
        <f t="shared" si="8"/>
        <v>0</v>
      </c>
      <c r="Q57" s="92"/>
      <c r="R57" s="49">
        <v>0</v>
      </c>
      <c r="S57" s="115">
        <f t="shared" si="9"/>
        <v>0</v>
      </c>
      <c r="T57" s="92"/>
      <c r="U57" s="49">
        <v>0</v>
      </c>
      <c r="V57" s="115">
        <f t="shared" si="10"/>
        <v>0</v>
      </c>
      <c r="W57" s="92"/>
      <c r="X57" s="49">
        <v>0</v>
      </c>
      <c r="Y57" s="115">
        <f t="shared" si="11"/>
        <v>0</v>
      </c>
      <c r="Z57" s="92"/>
      <c r="AA57" s="49">
        <v>0</v>
      </c>
      <c r="AB57" s="115">
        <f t="shared" si="12"/>
        <v>0</v>
      </c>
      <c r="AC57" s="92"/>
      <c r="AD57" s="49">
        <v>0</v>
      </c>
      <c r="AE57" s="115">
        <f t="shared" si="13"/>
        <v>0</v>
      </c>
      <c r="AF57" s="92"/>
      <c r="AG57" s="49">
        <v>0</v>
      </c>
      <c r="AH57" s="115">
        <f t="shared" si="14"/>
        <v>0</v>
      </c>
      <c r="AI57" s="92"/>
      <c r="AL57" s="92"/>
      <c r="AM57" s="92"/>
      <c r="AN57" s="92"/>
      <c r="AS57" s="359"/>
      <c r="AT57" s="359"/>
    </row>
    <row r="58" spans="3:46" x14ac:dyDescent="0.25">
      <c r="C58" s="100" t="str">
        <f>'MP Calculations'!D85</f>
        <v>2041-42</v>
      </c>
      <c r="D58" s="285">
        <f>IF(LEFT($C58,4)*1&lt;LEFT('General inputs'!$I$16,4)+'General inputs'!$H$38,SUM(G58,J58,M58,P58,S58,V58,Y58,AB58,AE58,AH58),"")</f>
        <v>7301.5463666525102</v>
      </c>
      <c r="E58" s="288"/>
      <c r="F58" s="289"/>
      <c r="G58" s="315">
        <v>1563.6072182419639</v>
      </c>
      <c r="H58" s="288"/>
      <c r="I58" s="301"/>
      <c r="J58" s="315">
        <v>2209.1880857325805</v>
      </c>
      <c r="K58" s="288"/>
      <c r="L58" s="301"/>
      <c r="M58" s="315">
        <v>3528.7510626779663</v>
      </c>
      <c r="N58" s="92"/>
      <c r="O58" s="49">
        <v>0</v>
      </c>
      <c r="P58" s="115">
        <f t="shared" si="8"/>
        <v>0</v>
      </c>
      <c r="Q58" s="92"/>
      <c r="R58" s="49">
        <v>0</v>
      </c>
      <c r="S58" s="115">
        <f t="shared" si="9"/>
        <v>0</v>
      </c>
      <c r="T58" s="92"/>
      <c r="U58" s="49">
        <v>0</v>
      </c>
      <c r="V58" s="115">
        <f t="shared" si="10"/>
        <v>0</v>
      </c>
      <c r="W58" s="92"/>
      <c r="X58" s="49">
        <v>0</v>
      </c>
      <c r="Y58" s="115">
        <f t="shared" si="11"/>
        <v>0</v>
      </c>
      <c r="Z58" s="92"/>
      <c r="AA58" s="49">
        <v>0</v>
      </c>
      <c r="AB58" s="115">
        <f t="shared" si="12"/>
        <v>0</v>
      </c>
      <c r="AC58" s="92"/>
      <c r="AD58" s="49">
        <v>0</v>
      </c>
      <c r="AE58" s="115">
        <f t="shared" si="13"/>
        <v>0</v>
      </c>
      <c r="AF58" s="92"/>
      <c r="AG58" s="49">
        <v>0</v>
      </c>
      <c r="AH58" s="115">
        <f t="shared" si="14"/>
        <v>0</v>
      </c>
      <c r="AI58" s="92"/>
      <c r="AL58" s="92"/>
      <c r="AM58" s="92"/>
      <c r="AN58" s="92"/>
      <c r="AS58" s="359"/>
      <c r="AT58" s="359"/>
    </row>
    <row r="59" spans="3:46" x14ac:dyDescent="0.25">
      <c r="C59" s="100" t="str">
        <f>'MP Calculations'!D86</f>
        <v>2042-43</v>
      </c>
      <c r="D59" s="285">
        <f>IF(LEFT($C59,4)*1&lt;LEFT('General inputs'!$I$16,4)+'General inputs'!$H$38,SUM(G59,J59,M59,P59,S59,V59,Y59,AB59,AE59,AH59),"")</f>
        <v>7340.6052216398075</v>
      </c>
      <c r="E59" s="288"/>
      <c r="F59" s="289"/>
      <c r="G59" s="315">
        <v>1572.8409690645831</v>
      </c>
      <c r="H59" s="288"/>
      <c r="I59" s="301"/>
      <c r="J59" s="315">
        <v>2220.871241919629</v>
      </c>
      <c r="K59" s="288"/>
      <c r="L59" s="301"/>
      <c r="M59" s="315">
        <v>3546.8930106555954</v>
      </c>
      <c r="N59" s="92"/>
      <c r="O59" s="49">
        <v>0</v>
      </c>
      <c r="P59" s="115">
        <f t="shared" si="8"/>
        <v>0</v>
      </c>
      <c r="Q59" s="92"/>
      <c r="R59" s="49">
        <v>0</v>
      </c>
      <c r="S59" s="115">
        <f t="shared" si="9"/>
        <v>0</v>
      </c>
      <c r="T59" s="92"/>
      <c r="U59" s="49">
        <v>0</v>
      </c>
      <c r="V59" s="115">
        <f t="shared" si="10"/>
        <v>0</v>
      </c>
      <c r="W59" s="92"/>
      <c r="X59" s="49">
        <v>0</v>
      </c>
      <c r="Y59" s="115">
        <f t="shared" si="11"/>
        <v>0</v>
      </c>
      <c r="Z59" s="92"/>
      <c r="AA59" s="49">
        <v>0</v>
      </c>
      <c r="AB59" s="115">
        <f t="shared" si="12"/>
        <v>0</v>
      </c>
      <c r="AC59" s="92"/>
      <c r="AD59" s="49">
        <v>0</v>
      </c>
      <c r="AE59" s="115">
        <f t="shared" si="13"/>
        <v>0</v>
      </c>
      <c r="AF59" s="92"/>
      <c r="AG59" s="49">
        <v>0</v>
      </c>
      <c r="AH59" s="115">
        <f t="shared" si="14"/>
        <v>0</v>
      </c>
      <c r="AI59" s="92"/>
      <c r="AL59" s="92"/>
      <c r="AM59" s="92"/>
      <c r="AN59" s="92"/>
      <c r="AS59" s="359"/>
      <c r="AT59" s="359"/>
    </row>
    <row r="60" spans="3:46" x14ac:dyDescent="0.25">
      <c r="C60" s="100" t="str">
        <f>'MP Calculations'!D87</f>
        <v>2043-44</v>
      </c>
      <c r="D60" s="285">
        <f>IF(LEFT($C60,4)*1&lt;LEFT('General inputs'!$I$16,4)+'General inputs'!$H$38,SUM(G60,J60,M60,P60,S60,V60,Y60,AB60,AE60,AH60),"")</f>
        <v>7379.0354846191549</v>
      </c>
      <c r="E60" s="288"/>
      <c r="F60" s="289"/>
      <c r="G60" s="315">
        <v>1581.8840359157753</v>
      </c>
      <c r="H60" s="288"/>
      <c r="I60" s="301"/>
      <c r="J60" s="315">
        <v>2232.1164900701547</v>
      </c>
      <c r="K60" s="288"/>
      <c r="L60" s="301"/>
      <c r="M60" s="315">
        <v>3565.0349586332254</v>
      </c>
      <c r="N60" s="92"/>
      <c r="O60" s="49">
        <v>0</v>
      </c>
      <c r="P60" s="115">
        <f t="shared" si="8"/>
        <v>0</v>
      </c>
      <c r="Q60" s="92"/>
      <c r="R60" s="49">
        <v>0</v>
      </c>
      <c r="S60" s="115">
        <f t="shared" si="9"/>
        <v>0</v>
      </c>
      <c r="T60" s="92"/>
      <c r="U60" s="49">
        <v>0</v>
      </c>
      <c r="V60" s="115">
        <f t="shared" si="10"/>
        <v>0</v>
      </c>
      <c r="W60" s="92"/>
      <c r="X60" s="49">
        <v>0</v>
      </c>
      <c r="Y60" s="115">
        <f t="shared" si="11"/>
        <v>0</v>
      </c>
      <c r="Z60" s="92"/>
      <c r="AA60" s="49">
        <v>0</v>
      </c>
      <c r="AB60" s="115">
        <f t="shared" si="12"/>
        <v>0</v>
      </c>
      <c r="AC60" s="92"/>
      <c r="AD60" s="49">
        <v>0</v>
      </c>
      <c r="AE60" s="115">
        <f t="shared" si="13"/>
        <v>0</v>
      </c>
      <c r="AF60" s="92"/>
      <c r="AG60" s="49">
        <v>0</v>
      </c>
      <c r="AH60" s="115">
        <f t="shared" si="14"/>
        <v>0</v>
      </c>
      <c r="AI60" s="92"/>
      <c r="AL60" s="92"/>
      <c r="AM60" s="92"/>
      <c r="AN60" s="92"/>
      <c r="AS60" s="359"/>
      <c r="AT60" s="359"/>
    </row>
    <row r="61" spans="3:46" x14ac:dyDescent="0.25">
      <c r="C61" s="100" t="str">
        <f>'MP Calculations'!D88</f>
        <v>2044-45</v>
      </c>
      <c r="D61" s="285">
        <f>IF(LEFT($C61,4)*1&lt;LEFT('General inputs'!$I$16,4)+'General inputs'!$H$38,SUM(G61,J61,M61,P61,S61,V61,Y61,AB61,AE61,AH61),"")</f>
        <v>7421.6157951676105</v>
      </c>
      <c r="E61" s="288"/>
      <c r="F61" s="289"/>
      <c r="G61" s="315">
        <v>1590.9271027669672</v>
      </c>
      <c r="H61" s="288"/>
      <c r="I61" s="301"/>
      <c r="J61" s="315">
        <v>2246.5935935261996</v>
      </c>
      <c r="K61" s="288"/>
      <c r="L61" s="301"/>
      <c r="M61" s="315">
        <v>3584.095098874443</v>
      </c>
      <c r="N61" s="92"/>
      <c r="O61" s="49">
        <v>0</v>
      </c>
      <c r="P61" s="115">
        <f t="shared" si="8"/>
        <v>0</v>
      </c>
      <c r="Q61" s="92"/>
      <c r="R61" s="49">
        <v>0</v>
      </c>
      <c r="S61" s="115">
        <f t="shared" si="9"/>
        <v>0</v>
      </c>
      <c r="T61" s="92"/>
      <c r="U61" s="49">
        <v>0</v>
      </c>
      <c r="V61" s="115">
        <f t="shared" si="10"/>
        <v>0</v>
      </c>
      <c r="W61" s="92"/>
      <c r="X61" s="49">
        <v>0</v>
      </c>
      <c r="Y61" s="115">
        <f t="shared" si="11"/>
        <v>0</v>
      </c>
      <c r="Z61" s="92"/>
      <c r="AA61" s="49">
        <v>0</v>
      </c>
      <c r="AB61" s="115">
        <f t="shared" si="12"/>
        <v>0</v>
      </c>
      <c r="AC61" s="92"/>
      <c r="AD61" s="49">
        <v>0</v>
      </c>
      <c r="AE61" s="115">
        <f t="shared" si="13"/>
        <v>0</v>
      </c>
      <c r="AF61" s="92"/>
      <c r="AG61" s="49">
        <v>0</v>
      </c>
      <c r="AH61" s="115">
        <f t="shared" si="14"/>
        <v>0</v>
      </c>
      <c r="AI61" s="92"/>
      <c r="AL61" s="92"/>
      <c r="AM61" s="92"/>
      <c r="AN61" s="92"/>
      <c r="AS61" s="359"/>
      <c r="AT61" s="359"/>
    </row>
    <row r="62" spans="3:46" x14ac:dyDescent="0.25">
      <c r="C62" s="100" t="str">
        <f>'MP Calculations'!D89</f>
        <v>2045-46</v>
      </c>
      <c r="D62" s="285">
        <f>IF(LEFT($C62,4)*1&lt;LEFT('General inputs'!$I$16,4)+'General inputs'!$H$38,SUM(G62,J62,M62,P62,S62,V62,Y62,AB62,AE62,AH62),"")</f>
        <v>7460.9197254917472</v>
      </c>
      <c r="E62" s="288"/>
      <c r="F62" s="289"/>
      <c r="G62" s="315">
        <v>1599.9701696181592</v>
      </c>
      <c r="H62" s="288"/>
      <c r="I62" s="301"/>
      <c r="J62" s="315">
        <v>2258.2767497132477</v>
      </c>
      <c r="K62" s="288"/>
      <c r="L62" s="301"/>
      <c r="M62" s="315">
        <v>3602.6728061603408</v>
      </c>
      <c r="N62" s="92"/>
      <c r="O62" s="49">
        <v>0</v>
      </c>
      <c r="P62" s="115">
        <f t="shared" si="8"/>
        <v>0</v>
      </c>
      <c r="Q62" s="92"/>
      <c r="R62" s="49">
        <v>0</v>
      </c>
      <c r="S62" s="115">
        <f t="shared" si="9"/>
        <v>0</v>
      </c>
      <c r="T62" s="92"/>
      <c r="U62" s="49">
        <v>0</v>
      </c>
      <c r="V62" s="115">
        <f t="shared" si="10"/>
        <v>0</v>
      </c>
      <c r="W62" s="92"/>
      <c r="X62" s="49">
        <v>0</v>
      </c>
      <c r="Y62" s="115">
        <f t="shared" si="11"/>
        <v>0</v>
      </c>
      <c r="Z62" s="92"/>
      <c r="AA62" s="49">
        <v>0</v>
      </c>
      <c r="AB62" s="115">
        <f t="shared" si="12"/>
        <v>0</v>
      </c>
      <c r="AC62" s="92"/>
      <c r="AD62" s="49">
        <v>0</v>
      </c>
      <c r="AE62" s="115">
        <f t="shared" si="13"/>
        <v>0</v>
      </c>
      <c r="AF62" s="92"/>
      <c r="AG62" s="49">
        <v>0</v>
      </c>
      <c r="AH62" s="115">
        <f t="shared" si="14"/>
        <v>0</v>
      </c>
      <c r="AI62" s="92"/>
      <c r="AL62" s="92"/>
      <c r="AM62" s="92"/>
      <c r="AN62" s="92"/>
      <c r="AS62" s="359"/>
      <c r="AT62" s="359"/>
    </row>
    <row r="63" spans="3:46" x14ac:dyDescent="0.25">
      <c r="C63" s="100" t="str">
        <f>'MP Calculations'!D90</f>
        <v>2046-47</v>
      </c>
      <c r="D63" s="285">
        <f>IF(LEFT($C63,4)*1&lt;LEFT('General inputs'!$I$16,4)+'General inputs'!$H$38,SUM(G63,J63,M63,P63,S63,V63,Y63,AB63,AE63,AH63),"")</f>
        <v>7492.8203151469133</v>
      </c>
      <c r="E63" s="288"/>
      <c r="F63" s="289"/>
      <c r="G63" s="315">
        <v>1609.0132364693513</v>
      </c>
      <c r="H63" s="288"/>
      <c r="I63" s="301"/>
      <c r="J63" s="315">
        <v>2266.6585915202368</v>
      </c>
      <c r="K63" s="288"/>
      <c r="L63" s="301"/>
      <c r="M63" s="315">
        <v>3617.1484871573252</v>
      </c>
      <c r="N63" s="92"/>
      <c r="O63" s="49">
        <v>0</v>
      </c>
      <c r="P63" s="115">
        <f t="shared" si="8"/>
        <v>0</v>
      </c>
      <c r="Q63" s="92"/>
      <c r="R63" s="49">
        <v>0</v>
      </c>
      <c r="S63" s="115">
        <f t="shared" si="9"/>
        <v>0</v>
      </c>
      <c r="T63" s="92"/>
      <c r="U63" s="49">
        <v>0</v>
      </c>
      <c r="V63" s="115">
        <f t="shared" si="10"/>
        <v>0</v>
      </c>
      <c r="W63" s="92"/>
      <c r="X63" s="49">
        <v>0</v>
      </c>
      <c r="Y63" s="115">
        <f t="shared" si="11"/>
        <v>0</v>
      </c>
      <c r="Z63" s="92"/>
      <c r="AA63" s="49">
        <v>0</v>
      </c>
      <c r="AB63" s="115">
        <f t="shared" si="12"/>
        <v>0</v>
      </c>
      <c r="AC63" s="92"/>
      <c r="AD63" s="49">
        <v>0</v>
      </c>
      <c r="AE63" s="115">
        <f t="shared" si="13"/>
        <v>0</v>
      </c>
      <c r="AF63" s="92"/>
      <c r="AG63" s="49">
        <v>0</v>
      </c>
      <c r="AH63" s="115">
        <f t="shared" si="14"/>
        <v>0</v>
      </c>
      <c r="AI63" s="92"/>
      <c r="AL63" s="92"/>
      <c r="AM63" s="92"/>
      <c r="AN63" s="92"/>
      <c r="AS63" s="359"/>
      <c r="AT63" s="359"/>
    </row>
    <row r="64" spans="3:46" x14ac:dyDescent="0.25">
      <c r="C64" s="100" t="str">
        <f>'MP Calculations'!D91</f>
        <v>2047-48</v>
      </c>
      <c r="D64" s="285">
        <f>IF(LEFT($C64,4)*1&lt;LEFT('General inputs'!$I$16,4)+'General inputs'!$H$38,SUM(G64,J64,M64,P64,S64,V64,Y64,AB64,AE64,AH64),"")</f>
        <v>7530.5785595892357</v>
      </c>
      <c r="E64" s="288"/>
      <c r="F64" s="289"/>
      <c r="G64" s="315">
        <v>1617.428809702315</v>
      </c>
      <c r="H64" s="288"/>
      <c r="I64" s="301"/>
      <c r="J64" s="315">
        <v>2278.3417477072849</v>
      </c>
      <c r="K64" s="288"/>
      <c r="L64" s="301"/>
      <c r="M64" s="315">
        <v>3634.8080021796354</v>
      </c>
      <c r="N64" s="92"/>
      <c r="O64" s="49">
        <v>0</v>
      </c>
      <c r="P64" s="115">
        <f t="shared" si="8"/>
        <v>0</v>
      </c>
      <c r="Q64" s="92"/>
      <c r="R64" s="49">
        <v>0</v>
      </c>
      <c r="S64" s="115">
        <f t="shared" si="9"/>
        <v>0</v>
      </c>
      <c r="T64" s="92"/>
      <c r="U64" s="49">
        <v>0</v>
      </c>
      <c r="V64" s="115">
        <f t="shared" si="10"/>
        <v>0</v>
      </c>
      <c r="W64" s="92"/>
      <c r="X64" s="49">
        <v>0</v>
      </c>
      <c r="Y64" s="115">
        <f t="shared" si="11"/>
        <v>0</v>
      </c>
      <c r="Z64" s="92"/>
      <c r="AA64" s="49">
        <v>0</v>
      </c>
      <c r="AB64" s="115">
        <f t="shared" si="12"/>
        <v>0</v>
      </c>
      <c r="AC64" s="92"/>
      <c r="AD64" s="49">
        <v>0</v>
      </c>
      <c r="AE64" s="115">
        <f t="shared" si="13"/>
        <v>0</v>
      </c>
      <c r="AF64" s="92"/>
      <c r="AG64" s="49">
        <v>0</v>
      </c>
      <c r="AH64" s="115">
        <f t="shared" si="14"/>
        <v>0</v>
      </c>
      <c r="AI64" s="92"/>
      <c r="AL64" s="92"/>
      <c r="AM64" s="92"/>
      <c r="AN64" s="92"/>
      <c r="AS64" s="359"/>
      <c r="AT64" s="359"/>
    </row>
    <row r="65" spans="3:46" x14ac:dyDescent="0.25">
      <c r="C65" s="100" t="str">
        <f>'MP Calculations'!D92</f>
        <v>2048-49</v>
      </c>
      <c r="D65" s="285">
        <f>IF(LEFT($C65,4)*1&lt;LEFT('General inputs'!$I$16,4)+'General inputs'!$H$38,SUM(G65,J65,M65,P65,S65,V65,Y65,AB65,AE65,AH65),"")</f>
        <v>7560.1442353698985</v>
      </c>
      <c r="E65" s="288"/>
      <c r="F65" s="289"/>
      <c r="G65" s="315">
        <v>1625.0323695151053</v>
      </c>
      <c r="H65" s="288"/>
      <c r="I65" s="301"/>
      <c r="J65" s="315">
        <v>2286.7930485888141</v>
      </c>
      <c r="K65" s="288"/>
      <c r="L65" s="301"/>
      <c r="M65" s="315">
        <v>3648.3188172659798</v>
      </c>
      <c r="N65" s="92"/>
      <c r="O65" s="49"/>
      <c r="P65" s="115">
        <f t="shared" si="8"/>
        <v>0</v>
      </c>
      <c r="Q65" s="92"/>
      <c r="R65" s="49"/>
      <c r="S65" s="115">
        <f t="shared" si="9"/>
        <v>0</v>
      </c>
      <c r="T65" s="92"/>
      <c r="U65" s="49"/>
      <c r="V65" s="115">
        <f t="shared" si="10"/>
        <v>0</v>
      </c>
      <c r="W65" s="92"/>
      <c r="X65" s="49"/>
      <c r="Y65" s="115">
        <f t="shared" si="11"/>
        <v>0</v>
      </c>
      <c r="Z65" s="92"/>
      <c r="AA65" s="49"/>
      <c r="AB65" s="115">
        <f t="shared" si="12"/>
        <v>0</v>
      </c>
      <c r="AC65" s="92"/>
      <c r="AD65" s="49"/>
      <c r="AE65" s="115">
        <f t="shared" si="13"/>
        <v>0</v>
      </c>
      <c r="AF65" s="92"/>
      <c r="AG65" s="49"/>
      <c r="AH65" s="115">
        <f t="shared" si="14"/>
        <v>0</v>
      </c>
      <c r="AI65" s="92"/>
      <c r="AL65" s="92"/>
      <c r="AM65" s="92"/>
      <c r="AN65" s="92"/>
      <c r="AS65" s="359"/>
      <c r="AT65" s="359"/>
    </row>
    <row r="66" spans="3:46" x14ac:dyDescent="0.25">
      <c r="C66" s="100" t="str">
        <f>'MP Calculations'!D93</f>
        <v>2049-50</v>
      </c>
      <c r="D66" s="285">
        <f>IF(LEFT($C66,4)*1&lt;LEFT('General inputs'!$I$16,4)+'General inputs'!$H$38,SUM(G66,J66,M66,P66,S66,V66,Y66,AB66,AE66,AH66),"")</f>
        <v>0</v>
      </c>
      <c r="E66" s="288"/>
      <c r="F66" s="289"/>
      <c r="G66" s="315"/>
      <c r="H66" s="288"/>
      <c r="I66" s="301"/>
      <c r="J66" s="315"/>
      <c r="K66" s="288"/>
      <c r="L66" s="301"/>
      <c r="M66" s="315"/>
      <c r="N66" s="92"/>
      <c r="O66" s="49"/>
      <c r="P66" s="115">
        <f t="shared" si="8"/>
        <v>0</v>
      </c>
      <c r="Q66" s="92"/>
      <c r="R66" s="49"/>
      <c r="S66" s="115">
        <f t="shared" si="9"/>
        <v>0</v>
      </c>
      <c r="T66" s="92"/>
      <c r="U66" s="49"/>
      <c r="V66" s="115">
        <f t="shared" si="10"/>
        <v>0</v>
      </c>
      <c r="W66" s="92"/>
      <c r="X66" s="49"/>
      <c r="Y66" s="115">
        <f t="shared" si="11"/>
        <v>0</v>
      </c>
      <c r="Z66" s="92"/>
      <c r="AA66" s="49"/>
      <c r="AB66" s="115">
        <f t="shared" si="12"/>
        <v>0</v>
      </c>
      <c r="AC66" s="92"/>
      <c r="AD66" s="49"/>
      <c r="AE66" s="115">
        <f t="shared" si="13"/>
        <v>0</v>
      </c>
      <c r="AF66" s="92"/>
      <c r="AG66" s="49"/>
      <c r="AH66" s="115">
        <f t="shared" si="14"/>
        <v>0</v>
      </c>
      <c r="AI66" s="92"/>
      <c r="AL66" s="92"/>
      <c r="AM66" s="92"/>
      <c r="AN66" s="92"/>
      <c r="AS66" s="359"/>
      <c r="AT66" s="359"/>
    </row>
    <row r="67" spans="3:46" x14ac:dyDescent="0.25">
      <c r="C67" s="100" t="str">
        <f>'MP Calculations'!D94</f>
        <v>2050-51</v>
      </c>
      <c r="D67" s="285">
        <f>IF(LEFT($C67,4)*1&lt;LEFT('General inputs'!$I$16,4)+'General inputs'!$H$38,SUM(G67,J67,M67,P67,S67,V67,Y67,AB67,AE67,AH67),"")</f>
        <v>0</v>
      </c>
      <c r="E67" s="288"/>
      <c r="F67" s="289"/>
      <c r="G67" s="315"/>
      <c r="H67" s="288"/>
      <c r="I67" s="301"/>
      <c r="J67" s="315"/>
      <c r="K67" s="288"/>
      <c r="L67" s="301"/>
      <c r="M67" s="315"/>
      <c r="N67" s="92"/>
      <c r="O67" s="49"/>
      <c r="P67" s="115">
        <f t="shared" si="8"/>
        <v>0</v>
      </c>
      <c r="Q67" s="92"/>
      <c r="R67" s="49"/>
      <c r="S67" s="115">
        <f t="shared" si="9"/>
        <v>0</v>
      </c>
      <c r="T67" s="92"/>
      <c r="U67" s="49"/>
      <c r="V67" s="115">
        <f t="shared" si="10"/>
        <v>0</v>
      </c>
      <c r="W67" s="92"/>
      <c r="X67" s="49"/>
      <c r="Y67" s="115">
        <f t="shared" si="11"/>
        <v>0</v>
      </c>
      <c r="Z67" s="92"/>
      <c r="AA67" s="49"/>
      <c r="AB67" s="115">
        <f t="shared" si="12"/>
        <v>0</v>
      </c>
      <c r="AC67" s="92"/>
      <c r="AD67" s="49"/>
      <c r="AE67" s="115">
        <f t="shared" si="13"/>
        <v>0</v>
      </c>
      <c r="AF67" s="92"/>
      <c r="AG67" s="49"/>
      <c r="AH67" s="115">
        <f t="shared" si="14"/>
        <v>0</v>
      </c>
      <c r="AI67" s="92"/>
      <c r="AL67" s="92"/>
      <c r="AM67" s="92"/>
      <c r="AN67" s="92"/>
      <c r="AS67" s="359"/>
      <c r="AT67" s="359"/>
    </row>
    <row r="68" spans="3:46" x14ac:dyDescent="0.25">
      <c r="C68" s="100" t="str">
        <f>'MP Calculations'!D95</f>
        <v>2051-52</v>
      </c>
      <c r="D68" s="285">
        <f>IF(LEFT($C68,4)*1&lt;LEFT('General inputs'!$I$16,4)+'General inputs'!$H$38,SUM(G68,J68,M68,P68,S68,V68,Y68,AB68,AE68,AH68),"")</f>
        <v>0</v>
      </c>
      <c r="E68" s="288"/>
      <c r="F68" s="289"/>
      <c r="G68" s="315"/>
      <c r="H68" s="288"/>
      <c r="I68" s="301"/>
      <c r="J68" s="315"/>
      <c r="K68" s="288"/>
      <c r="L68" s="301"/>
      <c r="M68" s="315"/>
      <c r="N68" s="92"/>
      <c r="O68" s="49"/>
      <c r="P68" s="115">
        <f t="shared" si="8"/>
        <v>0</v>
      </c>
      <c r="Q68" s="92"/>
      <c r="R68" s="49"/>
      <c r="S68" s="115">
        <f t="shared" si="9"/>
        <v>0</v>
      </c>
      <c r="T68" s="92"/>
      <c r="U68" s="49"/>
      <c r="V68" s="115">
        <f t="shared" si="10"/>
        <v>0</v>
      </c>
      <c r="W68" s="92"/>
      <c r="X68" s="49"/>
      <c r="Y68" s="115">
        <f t="shared" si="11"/>
        <v>0</v>
      </c>
      <c r="Z68" s="92"/>
      <c r="AA68" s="49"/>
      <c r="AB68" s="115">
        <f t="shared" si="12"/>
        <v>0</v>
      </c>
      <c r="AC68" s="92"/>
      <c r="AD68" s="49"/>
      <c r="AE68" s="115">
        <f t="shared" si="13"/>
        <v>0</v>
      </c>
      <c r="AF68" s="92"/>
      <c r="AG68" s="49"/>
      <c r="AH68" s="115">
        <f t="shared" si="14"/>
        <v>0</v>
      </c>
      <c r="AI68" s="92"/>
      <c r="AL68" s="92"/>
      <c r="AM68" s="92"/>
      <c r="AN68" s="92"/>
      <c r="AS68" s="359"/>
      <c r="AT68" s="359"/>
    </row>
    <row r="69" spans="3:46" x14ac:dyDescent="0.25">
      <c r="C69" s="100" t="str">
        <f>'MP Calculations'!D96</f>
        <v>2052-53</v>
      </c>
      <c r="D69" s="285" t="str">
        <f>IF(LEFT($C69,4)*1&lt;LEFT('General inputs'!$I$16,4)+'General inputs'!$H$38,SUM(G69,J69,M69,P69,S69,V69,Y69,AB69,AE69,AH69),"")</f>
        <v/>
      </c>
      <c r="E69" s="288"/>
      <c r="F69" s="289"/>
      <c r="G69" s="285"/>
      <c r="H69" s="288"/>
      <c r="I69" s="289"/>
      <c r="J69" s="285"/>
      <c r="K69" s="288"/>
      <c r="L69" s="290"/>
      <c r="M69" s="285"/>
      <c r="N69" s="92"/>
      <c r="O69" s="49"/>
      <c r="P69" s="115">
        <f t="shared" si="8"/>
        <v>0</v>
      </c>
      <c r="Q69" s="92"/>
      <c r="R69" s="49"/>
      <c r="S69" s="115">
        <f t="shared" si="9"/>
        <v>0</v>
      </c>
      <c r="T69" s="92"/>
      <c r="U69" s="49"/>
      <c r="V69" s="115">
        <f t="shared" si="10"/>
        <v>0</v>
      </c>
      <c r="W69" s="92"/>
      <c r="X69" s="49"/>
      <c r="Y69" s="115">
        <f t="shared" si="11"/>
        <v>0</v>
      </c>
      <c r="Z69" s="92"/>
      <c r="AA69" s="49"/>
      <c r="AB69" s="115">
        <f t="shared" si="12"/>
        <v>0</v>
      </c>
      <c r="AC69" s="92"/>
      <c r="AD69" s="49"/>
      <c r="AE69" s="115">
        <f t="shared" si="13"/>
        <v>0</v>
      </c>
      <c r="AF69" s="92"/>
      <c r="AG69" s="49"/>
      <c r="AH69" s="115">
        <f t="shared" si="14"/>
        <v>0</v>
      </c>
      <c r="AI69" s="92"/>
      <c r="AL69" s="92"/>
      <c r="AM69" s="92"/>
      <c r="AN69" s="92"/>
    </row>
    <row r="70" spans="3:46" x14ac:dyDescent="0.25">
      <c r="C70" s="100" t="str">
        <f>'MP Calculations'!D97</f>
        <v>2053-54</v>
      </c>
      <c r="D70" s="285" t="str">
        <f>IF(LEFT($C70,4)*1&lt;LEFT('General inputs'!$I$16,4)+'General inputs'!$H$38,SUM(G70,J70,M70,P70,S70,V70,Y70,AB70,AE70,AH70),"")</f>
        <v/>
      </c>
      <c r="E70" s="288"/>
      <c r="F70" s="289"/>
      <c r="G70" s="285"/>
      <c r="H70" s="288"/>
      <c r="I70" s="289"/>
      <c r="J70" s="285"/>
      <c r="K70" s="288"/>
      <c r="L70" s="290"/>
      <c r="M70" s="285"/>
      <c r="N70" s="92"/>
      <c r="O70" s="49"/>
      <c r="P70" s="115">
        <f t="shared" si="8"/>
        <v>0</v>
      </c>
      <c r="Q70" s="92"/>
      <c r="R70" s="49"/>
      <c r="S70" s="115">
        <f t="shared" si="9"/>
        <v>0</v>
      </c>
      <c r="T70" s="92"/>
      <c r="U70" s="49"/>
      <c r="V70" s="115">
        <f t="shared" si="10"/>
        <v>0</v>
      </c>
      <c r="W70" s="92"/>
      <c r="X70" s="49"/>
      <c r="Y70" s="115">
        <f t="shared" si="11"/>
        <v>0</v>
      </c>
      <c r="Z70" s="92"/>
      <c r="AA70" s="49"/>
      <c r="AB70" s="115">
        <f t="shared" si="12"/>
        <v>0</v>
      </c>
      <c r="AC70" s="92"/>
      <c r="AD70" s="49"/>
      <c r="AE70" s="115">
        <f t="shared" si="13"/>
        <v>0</v>
      </c>
      <c r="AF70" s="92"/>
      <c r="AG70" s="49"/>
      <c r="AH70" s="115">
        <f t="shared" si="14"/>
        <v>0</v>
      </c>
      <c r="AI70" s="92"/>
      <c r="AL70" s="92"/>
      <c r="AM70" s="92"/>
      <c r="AN70" s="92"/>
    </row>
    <row r="71" spans="3:46" x14ac:dyDescent="0.25">
      <c r="C71" s="100" t="str">
        <f>'MP Calculations'!D98</f>
        <v>2054-55</v>
      </c>
      <c r="D71" s="285" t="str">
        <f>IF(LEFT($C71,4)*1&lt;LEFT('General inputs'!$I$16,4)+'General inputs'!$H$38,SUM(G71,J71,M71,P71,S71,V71,Y71,AB71,AE71,AH71),"")</f>
        <v/>
      </c>
      <c r="E71" s="288"/>
      <c r="F71" s="289"/>
      <c r="G71" s="285"/>
      <c r="H71" s="288"/>
      <c r="I71" s="289"/>
      <c r="J71" s="285"/>
      <c r="K71" s="288"/>
      <c r="L71" s="290"/>
      <c r="M71" s="285"/>
      <c r="N71" s="92"/>
      <c r="O71" s="49"/>
      <c r="P71" s="115">
        <f t="shared" si="8"/>
        <v>0</v>
      </c>
      <c r="Q71" s="92"/>
      <c r="R71" s="49"/>
      <c r="S71" s="115">
        <f t="shared" si="9"/>
        <v>0</v>
      </c>
      <c r="T71" s="92"/>
      <c r="U71" s="49"/>
      <c r="V71" s="115">
        <f t="shared" si="10"/>
        <v>0</v>
      </c>
      <c r="W71" s="92"/>
      <c r="X71" s="49"/>
      <c r="Y71" s="115">
        <f t="shared" si="11"/>
        <v>0</v>
      </c>
      <c r="Z71" s="92"/>
      <c r="AA71" s="49"/>
      <c r="AB71" s="115">
        <f t="shared" si="12"/>
        <v>0</v>
      </c>
      <c r="AC71" s="92"/>
      <c r="AD71" s="49"/>
      <c r="AE71" s="115">
        <f t="shared" si="13"/>
        <v>0</v>
      </c>
      <c r="AF71" s="92"/>
      <c r="AG71" s="49"/>
      <c r="AH71" s="115">
        <f t="shared" si="14"/>
        <v>0</v>
      </c>
      <c r="AI71" s="92"/>
      <c r="AL71" s="92"/>
      <c r="AM71" s="92"/>
      <c r="AN71" s="92"/>
    </row>
    <row r="72" spans="3:46" x14ac:dyDescent="0.25">
      <c r="C72" s="100" t="str">
        <f>'MP Calculations'!D99</f>
        <v>2055-56</v>
      </c>
      <c r="D72" s="285" t="str">
        <f>IF(LEFT($C72,4)*1&lt;LEFT('General inputs'!$I$16,4)+'General inputs'!$H$38,SUM(G72,J72,M72,P72,S72,V72,Y72,AB72,AE72,AH72),"")</f>
        <v/>
      </c>
      <c r="E72" s="288"/>
      <c r="F72" s="289"/>
      <c r="G72" s="285"/>
      <c r="H72" s="288"/>
      <c r="I72" s="289"/>
      <c r="J72" s="285"/>
      <c r="K72" s="288"/>
      <c r="L72" s="290"/>
      <c r="M72" s="285"/>
      <c r="N72" s="92"/>
      <c r="O72" s="49"/>
      <c r="P72" s="115">
        <f t="shared" si="8"/>
        <v>0</v>
      </c>
      <c r="Q72" s="92"/>
      <c r="R72" s="49"/>
      <c r="S72" s="115">
        <f t="shared" si="9"/>
        <v>0</v>
      </c>
      <c r="T72" s="92"/>
      <c r="U72" s="49"/>
      <c r="V72" s="115">
        <f t="shared" si="10"/>
        <v>0</v>
      </c>
      <c r="W72" s="92"/>
      <c r="X72" s="49"/>
      <c r="Y72" s="115">
        <f t="shared" si="11"/>
        <v>0</v>
      </c>
      <c r="Z72" s="92"/>
      <c r="AA72" s="49"/>
      <c r="AB72" s="115">
        <f t="shared" si="12"/>
        <v>0</v>
      </c>
      <c r="AC72" s="92"/>
      <c r="AD72" s="49"/>
      <c r="AE72" s="115">
        <f t="shared" si="13"/>
        <v>0</v>
      </c>
      <c r="AF72" s="92"/>
      <c r="AG72" s="49"/>
      <c r="AH72" s="115">
        <f t="shared" si="14"/>
        <v>0</v>
      </c>
      <c r="AI72" s="92"/>
      <c r="AL72" s="92"/>
      <c r="AM72" s="92"/>
      <c r="AN72" s="92"/>
    </row>
    <row r="73" spans="3:46" x14ac:dyDescent="0.25">
      <c r="C73" s="100" t="str">
        <f>'MP Calculations'!D100</f>
        <v>2056-57</v>
      </c>
      <c r="D73" s="285" t="str">
        <f>IF(LEFT($C73,4)*1&lt;LEFT('General inputs'!$I$16,4)+'General inputs'!$H$38,SUM(G73,J73,M73,P73,S73,V73,Y73,AB73,AE73,AH73),"")</f>
        <v/>
      </c>
      <c r="E73" s="288"/>
      <c r="F73" s="289"/>
      <c r="G73" s="285"/>
      <c r="H73" s="288"/>
      <c r="I73" s="289"/>
      <c r="J73" s="285"/>
      <c r="K73" s="288"/>
      <c r="L73" s="290"/>
      <c r="M73" s="285"/>
      <c r="N73" s="92"/>
      <c r="O73" s="49"/>
      <c r="P73" s="115">
        <f t="shared" si="8"/>
        <v>0</v>
      </c>
      <c r="Q73" s="92"/>
      <c r="R73" s="49"/>
      <c r="S73" s="115">
        <f t="shared" si="9"/>
        <v>0</v>
      </c>
      <c r="T73" s="92"/>
      <c r="U73" s="49"/>
      <c r="V73" s="115">
        <f t="shared" si="10"/>
        <v>0</v>
      </c>
      <c r="W73" s="92"/>
      <c r="X73" s="49"/>
      <c r="Y73" s="115">
        <f t="shared" si="11"/>
        <v>0</v>
      </c>
      <c r="Z73" s="92"/>
      <c r="AA73" s="49"/>
      <c r="AB73" s="115">
        <f t="shared" si="12"/>
        <v>0</v>
      </c>
      <c r="AC73" s="92"/>
      <c r="AD73" s="49"/>
      <c r="AE73" s="115">
        <f t="shared" si="13"/>
        <v>0</v>
      </c>
      <c r="AF73" s="92"/>
      <c r="AG73" s="49"/>
      <c r="AH73" s="115">
        <f t="shared" si="14"/>
        <v>0</v>
      </c>
      <c r="AI73" s="92"/>
      <c r="AL73" s="92"/>
      <c r="AM73" s="92"/>
      <c r="AN73" s="92"/>
    </row>
    <row r="74" spans="3:46" x14ac:dyDescent="0.25">
      <c r="C74" s="100" t="str">
        <f>'MP Calculations'!D101</f>
        <v>2057-58</v>
      </c>
      <c r="D74" s="285" t="str">
        <f>IF(LEFT($C74,4)*1&lt;LEFT('General inputs'!$I$16,4)+'General inputs'!$H$38,SUM(G74,J74,M74,P74,S74,V74,Y74,AB74,AE74,AH74),"")</f>
        <v/>
      </c>
      <c r="E74" s="288"/>
      <c r="F74" s="289"/>
      <c r="G74" s="285"/>
      <c r="H74" s="288"/>
      <c r="I74" s="289"/>
      <c r="J74" s="285"/>
      <c r="K74" s="288"/>
      <c r="L74" s="290"/>
      <c r="M74" s="285"/>
      <c r="N74" s="92"/>
      <c r="O74" s="49"/>
      <c r="P74" s="115">
        <f t="shared" si="8"/>
        <v>0</v>
      </c>
      <c r="Q74" s="92"/>
      <c r="R74" s="49"/>
      <c r="S74" s="115">
        <f t="shared" si="9"/>
        <v>0</v>
      </c>
      <c r="T74" s="92"/>
      <c r="U74" s="49"/>
      <c r="V74" s="115">
        <f t="shared" si="10"/>
        <v>0</v>
      </c>
      <c r="W74" s="92"/>
      <c r="X74" s="49"/>
      <c r="Y74" s="115">
        <f t="shared" si="11"/>
        <v>0</v>
      </c>
      <c r="Z74" s="92"/>
      <c r="AA74" s="49"/>
      <c r="AB74" s="115">
        <f t="shared" si="12"/>
        <v>0</v>
      </c>
      <c r="AC74" s="92"/>
      <c r="AD74" s="49"/>
      <c r="AE74" s="115">
        <f t="shared" si="13"/>
        <v>0</v>
      </c>
      <c r="AF74" s="92"/>
      <c r="AG74" s="49"/>
      <c r="AH74" s="115">
        <f t="shared" si="14"/>
        <v>0</v>
      </c>
      <c r="AI74" s="92"/>
      <c r="AL74" s="92"/>
      <c r="AM74" s="92"/>
      <c r="AN74" s="92"/>
    </row>
    <row r="75" spans="3:46" x14ac:dyDescent="0.25">
      <c r="C75" s="100" t="str">
        <f>'MP Calculations'!D102</f>
        <v>2058-59</v>
      </c>
      <c r="D75" s="285" t="str">
        <f>IF(LEFT($C75,4)*1&lt;LEFT('General inputs'!$I$16,4)+'General inputs'!$H$38,SUM(G75,J75,M75,P75,S75,V75,Y75,AB75,AE75,AH75),"")</f>
        <v/>
      </c>
      <c r="E75" s="288"/>
      <c r="F75" s="289"/>
      <c r="G75" s="285"/>
      <c r="H75" s="288"/>
      <c r="I75" s="289"/>
      <c r="J75" s="285"/>
      <c r="K75" s="288"/>
      <c r="L75" s="290"/>
      <c r="M75" s="285"/>
      <c r="N75" s="92"/>
      <c r="O75" s="49"/>
      <c r="P75" s="115">
        <f t="shared" si="8"/>
        <v>0</v>
      </c>
      <c r="Q75" s="92"/>
      <c r="R75" s="49"/>
      <c r="S75" s="115">
        <f t="shared" si="9"/>
        <v>0</v>
      </c>
      <c r="T75" s="92"/>
      <c r="U75" s="49"/>
      <c r="V75" s="115">
        <f t="shared" si="10"/>
        <v>0</v>
      </c>
      <c r="W75" s="92"/>
      <c r="X75" s="49"/>
      <c r="Y75" s="115">
        <f t="shared" si="11"/>
        <v>0</v>
      </c>
      <c r="Z75" s="92"/>
      <c r="AA75" s="49"/>
      <c r="AB75" s="115">
        <f t="shared" si="12"/>
        <v>0</v>
      </c>
      <c r="AC75" s="92"/>
      <c r="AD75" s="49"/>
      <c r="AE75" s="115">
        <f t="shared" si="13"/>
        <v>0</v>
      </c>
      <c r="AF75" s="92"/>
      <c r="AG75" s="49"/>
      <c r="AH75" s="115">
        <f t="shared" si="14"/>
        <v>0</v>
      </c>
      <c r="AI75" s="92"/>
      <c r="AL75" s="92"/>
      <c r="AM75" s="92"/>
      <c r="AN75" s="92"/>
    </row>
    <row r="76" spans="3:46" x14ac:dyDescent="0.25">
      <c r="C76" s="100" t="str">
        <f>'MP Calculations'!D103</f>
        <v>2059-60</v>
      </c>
      <c r="D76" s="285" t="str">
        <f>IF(LEFT($C76,4)*1&lt;LEFT('General inputs'!$I$16,4)+'General inputs'!$H$38,SUM(G76,J76,M76,P76,S76,V76,Y76,AB76,AE76,AH76),"")</f>
        <v/>
      </c>
      <c r="E76" s="288"/>
      <c r="F76" s="289"/>
      <c r="G76" s="285"/>
      <c r="H76" s="288"/>
      <c r="I76" s="289"/>
      <c r="J76" s="285"/>
      <c r="K76" s="288"/>
      <c r="L76" s="290"/>
      <c r="M76" s="285"/>
      <c r="N76" s="92"/>
      <c r="O76" s="49"/>
      <c r="P76" s="115">
        <f t="shared" ref="P76:P102" si="15">O76*$P$9/$F$6</f>
        <v>0</v>
      </c>
      <c r="Q76" s="92"/>
      <c r="R76" s="49"/>
      <c r="S76" s="115">
        <f t="shared" ref="S76:S102" si="16">R76*$S$9/$F$6</f>
        <v>0</v>
      </c>
      <c r="T76" s="92"/>
      <c r="U76" s="49"/>
      <c r="V76" s="115">
        <f t="shared" ref="V76:V102" si="17">U76*$V$9/$F$6</f>
        <v>0</v>
      </c>
      <c r="W76" s="92"/>
      <c r="X76" s="49"/>
      <c r="Y76" s="115">
        <f t="shared" ref="Y76:Y102" si="18">X76*$Y$9/$F$6</f>
        <v>0</v>
      </c>
      <c r="Z76" s="92"/>
      <c r="AA76" s="49"/>
      <c r="AB76" s="115">
        <f t="shared" ref="AB76:AB102" si="19">AA76*$AB$9/$F$6</f>
        <v>0</v>
      </c>
      <c r="AC76" s="92"/>
      <c r="AD76" s="49"/>
      <c r="AE76" s="115">
        <f t="shared" ref="AE76:AE102" si="20">AD76*$AE$9/$F$6</f>
        <v>0</v>
      </c>
      <c r="AF76" s="92"/>
      <c r="AG76" s="49"/>
      <c r="AH76" s="115">
        <f t="shared" ref="AH76:AH102" si="21">AG76*$AH$9/$F$6</f>
        <v>0</v>
      </c>
      <c r="AI76" s="92"/>
      <c r="AL76" s="92"/>
      <c r="AM76" s="92"/>
      <c r="AN76" s="92"/>
    </row>
    <row r="77" spans="3:46" x14ac:dyDescent="0.25">
      <c r="C77" s="100" t="str">
        <f>'MP Calculations'!D104</f>
        <v>2060-61</v>
      </c>
      <c r="D77" s="285" t="str">
        <f>IF(LEFT($C77,4)*1&lt;LEFT('General inputs'!$I$16,4)+'General inputs'!$H$38,SUM(G77,J77,M77,P77,S77,V77,Y77,AB77,AE77,AH77),"")</f>
        <v/>
      </c>
      <c r="E77" s="288"/>
      <c r="F77" s="289"/>
      <c r="G77" s="285"/>
      <c r="H77" s="288"/>
      <c r="I77" s="289"/>
      <c r="J77" s="285"/>
      <c r="K77" s="288"/>
      <c r="L77" s="290"/>
      <c r="M77" s="285"/>
      <c r="N77" s="92"/>
      <c r="O77" s="49"/>
      <c r="P77" s="115">
        <f t="shared" si="15"/>
        <v>0</v>
      </c>
      <c r="Q77" s="92"/>
      <c r="R77" s="49"/>
      <c r="S77" s="115">
        <f t="shared" si="16"/>
        <v>0</v>
      </c>
      <c r="T77" s="92"/>
      <c r="U77" s="49"/>
      <c r="V77" s="115">
        <f t="shared" si="17"/>
        <v>0</v>
      </c>
      <c r="W77" s="92"/>
      <c r="X77" s="49"/>
      <c r="Y77" s="115">
        <f t="shared" si="18"/>
        <v>0</v>
      </c>
      <c r="Z77" s="92"/>
      <c r="AA77" s="49"/>
      <c r="AB77" s="115">
        <f t="shared" si="19"/>
        <v>0</v>
      </c>
      <c r="AC77" s="92"/>
      <c r="AD77" s="49"/>
      <c r="AE77" s="115">
        <f t="shared" si="20"/>
        <v>0</v>
      </c>
      <c r="AF77" s="92"/>
      <c r="AG77" s="49"/>
      <c r="AH77" s="115">
        <f t="shared" si="21"/>
        <v>0</v>
      </c>
      <c r="AI77" s="92"/>
      <c r="AL77" s="92"/>
      <c r="AM77" s="92"/>
      <c r="AN77" s="92"/>
    </row>
    <row r="78" spans="3:46" x14ac:dyDescent="0.25">
      <c r="C78" s="100" t="str">
        <f>'MP Calculations'!D105</f>
        <v>2061-62</v>
      </c>
      <c r="D78" s="285" t="str">
        <f>IF(LEFT($C78,4)*1&lt;LEFT('General inputs'!$I$16,4)+'General inputs'!$H$38,SUM(G78,J78,M78,P78,S78,V78,Y78,AB78,AE78,AH78),"")</f>
        <v/>
      </c>
      <c r="E78" s="288"/>
      <c r="F78" s="289"/>
      <c r="G78" s="285"/>
      <c r="H78" s="288"/>
      <c r="I78" s="289"/>
      <c r="J78" s="285"/>
      <c r="K78" s="288"/>
      <c r="L78" s="290"/>
      <c r="M78" s="285"/>
      <c r="N78" s="92"/>
      <c r="O78" s="49"/>
      <c r="P78" s="115">
        <f t="shared" si="15"/>
        <v>0</v>
      </c>
      <c r="Q78" s="92"/>
      <c r="R78" s="49"/>
      <c r="S78" s="115">
        <f t="shared" si="16"/>
        <v>0</v>
      </c>
      <c r="T78" s="92"/>
      <c r="U78" s="49"/>
      <c r="V78" s="115">
        <f t="shared" si="17"/>
        <v>0</v>
      </c>
      <c r="W78" s="92"/>
      <c r="X78" s="49"/>
      <c r="Y78" s="115">
        <f t="shared" si="18"/>
        <v>0</v>
      </c>
      <c r="Z78" s="92"/>
      <c r="AA78" s="49"/>
      <c r="AB78" s="115">
        <f t="shared" si="19"/>
        <v>0</v>
      </c>
      <c r="AC78" s="92"/>
      <c r="AD78" s="49"/>
      <c r="AE78" s="115">
        <f t="shared" si="20"/>
        <v>0</v>
      </c>
      <c r="AF78" s="92"/>
      <c r="AG78" s="49"/>
      <c r="AH78" s="115">
        <f t="shared" si="21"/>
        <v>0</v>
      </c>
      <c r="AI78" s="92"/>
      <c r="AL78" s="92"/>
      <c r="AM78" s="92"/>
      <c r="AN78" s="92"/>
    </row>
    <row r="79" spans="3:46" x14ac:dyDescent="0.25">
      <c r="C79" s="100" t="str">
        <f>'MP Calculations'!D106</f>
        <v>2062-63</v>
      </c>
      <c r="D79" s="285" t="str">
        <f>IF(LEFT($C79,4)*1&lt;LEFT('General inputs'!$I$16,4)+'General inputs'!$H$38,SUM(G79,J79,M79,P79,S79,V79,Y79,AB79,AE79,AH79),"")</f>
        <v/>
      </c>
      <c r="E79" s="288"/>
      <c r="F79" s="289"/>
      <c r="G79" s="285"/>
      <c r="H79" s="288"/>
      <c r="I79" s="289"/>
      <c r="J79" s="285"/>
      <c r="K79" s="288"/>
      <c r="L79" s="290"/>
      <c r="M79" s="285"/>
      <c r="N79" s="92"/>
      <c r="O79" s="49"/>
      <c r="P79" s="115">
        <f t="shared" si="15"/>
        <v>0</v>
      </c>
      <c r="Q79" s="92"/>
      <c r="R79" s="49"/>
      <c r="S79" s="115">
        <f t="shared" si="16"/>
        <v>0</v>
      </c>
      <c r="T79" s="92"/>
      <c r="U79" s="49"/>
      <c r="V79" s="115">
        <f t="shared" si="17"/>
        <v>0</v>
      </c>
      <c r="W79" s="92"/>
      <c r="X79" s="49"/>
      <c r="Y79" s="115">
        <f t="shared" si="18"/>
        <v>0</v>
      </c>
      <c r="Z79" s="92"/>
      <c r="AA79" s="49"/>
      <c r="AB79" s="115">
        <f t="shared" si="19"/>
        <v>0</v>
      </c>
      <c r="AC79" s="92"/>
      <c r="AD79" s="49"/>
      <c r="AE79" s="115">
        <f t="shared" si="20"/>
        <v>0</v>
      </c>
      <c r="AF79" s="92"/>
      <c r="AG79" s="49"/>
      <c r="AH79" s="115">
        <f t="shared" si="21"/>
        <v>0</v>
      </c>
      <c r="AI79" s="92"/>
      <c r="AL79" s="92"/>
      <c r="AM79" s="92"/>
      <c r="AN79" s="92"/>
    </row>
    <row r="80" spans="3:46" x14ac:dyDescent="0.25">
      <c r="C80" s="100" t="str">
        <f>'MP Calculations'!D107</f>
        <v>2063-64</v>
      </c>
      <c r="D80" s="285" t="str">
        <f>IF(LEFT($C80,4)*1&lt;LEFT('General inputs'!$I$16,4)+'General inputs'!$H$38,SUM(G80,J80,M80,P80,S80,V80,Y80,AB80,AE80,AH80),"")</f>
        <v/>
      </c>
      <c r="E80" s="288"/>
      <c r="F80" s="289"/>
      <c r="G80" s="285"/>
      <c r="H80" s="288"/>
      <c r="I80" s="289"/>
      <c r="J80" s="285"/>
      <c r="K80" s="288"/>
      <c r="L80" s="290"/>
      <c r="M80" s="285"/>
      <c r="N80" s="92"/>
      <c r="O80" s="49"/>
      <c r="P80" s="115">
        <f t="shared" si="15"/>
        <v>0</v>
      </c>
      <c r="Q80" s="92"/>
      <c r="R80" s="49"/>
      <c r="S80" s="115">
        <f t="shared" si="16"/>
        <v>0</v>
      </c>
      <c r="T80" s="92"/>
      <c r="U80" s="49"/>
      <c r="V80" s="115">
        <f t="shared" si="17"/>
        <v>0</v>
      </c>
      <c r="W80" s="92"/>
      <c r="X80" s="49"/>
      <c r="Y80" s="115">
        <f t="shared" si="18"/>
        <v>0</v>
      </c>
      <c r="Z80" s="92"/>
      <c r="AA80" s="49"/>
      <c r="AB80" s="115">
        <f t="shared" si="19"/>
        <v>0</v>
      </c>
      <c r="AC80" s="92"/>
      <c r="AD80" s="49"/>
      <c r="AE80" s="115">
        <f t="shared" si="20"/>
        <v>0</v>
      </c>
      <c r="AF80" s="92"/>
      <c r="AG80" s="49"/>
      <c r="AH80" s="115">
        <f t="shared" si="21"/>
        <v>0</v>
      </c>
      <c r="AI80" s="92"/>
      <c r="AL80" s="92"/>
      <c r="AM80" s="92"/>
      <c r="AN80" s="92"/>
    </row>
    <row r="81" spans="3:40" x14ac:dyDescent="0.25">
      <c r="C81" s="100" t="str">
        <f>'MP Calculations'!D108</f>
        <v>2064-65</v>
      </c>
      <c r="D81" s="285" t="str">
        <f>IF(LEFT($C81,4)*1&lt;LEFT('General inputs'!$I$16,4)+'General inputs'!$H$38,SUM(G81,J81,M81,P81,S81,V81,Y81,AB81,AE81,AH81),"")</f>
        <v/>
      </c>
      <c r="E81" s="288"/>
      <c r="F81" s="289"/>
      <c r="G81" s="285"/>
      <c r="H81" s="288"/>
      <c r="I81" s="289"/>
      <c r="J81" s="285"/>
      <c r="K81" s="288"/>
      <c r="L81" s="290"/>
      <c r="M81" s="285"/>
      <c r="N81" s="92"/>
      <c r="O81" s="49"/>
      <c r="P81" s="115">
        <f t="shared" si="15"/>
        <v>0</v>
      </c>
      <c r="Q81" s="92"/>
      <c r="R81" s="49"/>
      <c r="S81" s="115">
        <f t="shared" si="16"/>
        <v>0</v>
      </c>
      <c r="T81" s="92"/>
      <c r="U81" s="49"/>
      <c r="V81" s="115">
        <f t="shared" si="17"/>
        <v>0</v>
      </c>
      <c r="W81" s="92"/>
      <c r="X81" s="49"/>
      <c r="Y81" s="115">
        <f t="shared" si="18"/>
        <v>0</v>
      </c>
      <c r="Z81" s="92"/>
      <c r="AA81" s="49"/>
      <c r="AB81" s="115">
        <f t="shared" si="19"/>
        <v>0</v>
      </c>
      <c r="AC81" s="92"/>
      <c r="AD81" s="49"/>
      <c r="AE81" s="115">
        <f t="shared" si="20"/>
        <v>0</v>
      </c>
      <c r="AF81" s="92"/>
      <c r="AG81" s="49"/>
      <c r="AH81" s="115">
        <f t="shared" si="21"/>
        <v>0</v>
      </c>
      <c r="AI81" s="92"/>
      <c r="AL81" s="92"/>
      <c r="AM81" s="92"/>
      <c r="AN81" s="92"/>
    </row>
    <row r="82" spans="3:40" x14ac:dyDescent="0.25">
      <c r="C82" s="100" t="str">
        <f>'MP Calculations'!D109</f>
        <v>2065-66</v>
      </c>
      <c r="D82" s="285" t="str">
        <f>IF(LEFT($C82,4)*1&lt;LEFT('General inputs'!$I$16,4)+'General inputs'!$H$38,SUM(G82,J82,M82,P82,S82,V82,Y82,AB82,AE82,AH82),"")</f>
        <v/>
      </c>
      <c r="E82" s="288"/>
      <c r="F82" s="289"/>
      <c r="G82" s="285"/>
      <c r="H82" s="288"/>
      <c r="I82" s="289"/>
      <c r="J82" s="285"/>
      <c r="K82" s="288"/>
      <c r="L82" s="290"/>
      <c r="M82" s="285"/>
      <c r="N82" s="92"/>
      <c r="O82" s="49"/>
      <c r="P82" s="115">
        <f t="shared" si="15"/>
        <v>0</v>
      </c>
      <c r="Q82" s="92"/>
      <c r="R82" s="49"/>
      <c r="S82" s="115">
        <f t="shared" si="16"/>
        <v>0</v>
      </c>
      <c r="T82" s="92"/>
      <c r="U82" s="49"/>
      <c r="V82" s="115">
        <f t="shared" si="17"/>
        <v>0</v>
      </c>
      <c r="W82" s="92"/>
      <c r="X82" s="49"/>
      <c r="Y82" s="115">
        <f t="shared" si="18"/>
        <v>0</v>
      </c>
      <c r="Z82" s="92"/>
      <c r="AA82" s="49"/>
      <c r="AB82" s="115">
        <f t="shared" si="19"/>
        <v>0</v>
      </c>
      <c r="AC82" s="92"/>
      <c r="AD82" s="49"/>
      <c r="AE82" s="115">
        <f t="shared" si="20"/>
        <v>0</v>
      </c>
      <c r="AF82" s="92"/>
      <c r="AG82" s="49"/>
      <c r="AH82" s="115">
        <f t="shared" si="21"/>
        <v>0</v>
      </c>
      <c r="AI82" s="92"/>
      <c r="AL82" s="92"/>
      <c r="AM82" s="92"/>
      <c r="AN82" s="92"/>
    </row>
    <row r="83" spans="3:40" x14ac:dyDescent="0.25">
      <c r="C83" s="100" t="str">
        <f>'MP Calculations'!D110</f>
        <v>2066-67</v>
      </c>
      <c r="D83" s="285" t="str">
        <f>IF(LEFT($C83,4)*1&lt;LEFT('General inputs'!$I$16,4)+'General inputs'!$H$38,SUM(G83,J83,M83,P83,S83,V83,Y83,AB83,AE83,AH83),"")</f>
        <v/>
      </c>
      <c r="E83" s="288"/>
      <c r="F83" s="289"/>
      <c r="G83" s="285"/>
      <c r="H83" s="288"/>
      <c r="I83" s="289"/>
      <c r="J83" s="285"/>
      <c r="K83" s="288"/>
      <c r="L83" s="290"/>
      <c r="M83" s="285"/>
      <c r="N83" s="92"/>
      <c r="O83" s="49"/>
      <c r="P83" s="115">
        <f t="shared" si="15"/>
        <v>0</v>
      </c>
      <c r="Q83" s="92"/>
      <c r="R83" s="49"/>
      <c r="S83" s="115">
        <f t="shared" si="16"/>
        <v>0</v>
      </c>
      <c r="T83" s="92"/>
      <c r="U83" s="49"/>
      <c r="V83" s="115">
        <f t="shared" si="17"/>
        <v>0</v>
      </c>
      <c r="W83" s="92"/>
      <c r="X83" s="49"/>
      <c r="Y83" s="115">
        <f t="shared" si="18"/>
        <v>0</v>
      </c>
      <c r="Z83" s="92"/>
      <c r="AA83" s="49"/>
      <c r="AB83" s="115">
        <f t="shared" si="19"/>
        <v>0</v>
      </c>
      <c r="AC83" s="92"/>
      <c r="AD83" s="49"/>
      <c r="AE83" s="115">
        <f t="shared" si="20"/>
        <v>0</v>
      </c>
      <c r="AF83" s="92"/>
      <c r="AG83" s="49"/>
      <c r="AH83" s="115">
        <f t="shared" si="21"/>
        <v>0</v>
      </c>
      <c r="AI83" s="92"/>
      <c r="AL83" s="92"/>
      <c r="AM83" s="92"/>
      <c r="AN83" s="92"/>
    </row>
    <row r="84" spans="3:40" x14ac:dyDescent="0.25">
      <c r="C84" s="100" t="str">
        <f>'MP Calculations'!D111</f>
        <v>2067-68</v>
      </c>
      <c r="D84" s="285" t="str">
        <f>IF(LEFT($C84,4)*1&lt;LEFT('General inputs'!$I$16,4)+'General inputs'!$H$38,SUM(G84,J84,M84,P84,S84,V84,Y84,AB84,AE84,AH84),"")</f>
        <v/>
      </c>
      <c r="E84" s="288"/>
      <c r="F84" s="289"/>
      <c r="G84" s="285"/>
      <c r="H84" s="288"/>
      <c r="I84" s="289"/>
      <c r="J84" s="285"/>
      <c r="K84" s="288"/>
      <c r="L84" s="290"/>
      <c r="M84" s="285"/>
      <c r="N84" s="92"/>
      <c r="O84" s="49"/>
      <c r="P84" s="115">
        <f t="shared" si="15"/>
        <v>0</v>
      </c>
      <c r="Q84" s="92"/>
      <c r="R84" s="49"/>
      <c r="S84" s="115">
        <f t="shared" si="16"/>
        <v>0</v>
      </c>
      <c r="T84" s="92"/>
      <c r="U84" s="49"/>
      <c r="V84" s="115">
        <f t="shared" si="17"/>
        <v>0</v>
      </c>
      <c r="W84" s="92"/>
      <c r="X84" s="49"/>
      <c r="Y84" s="115">
        <f t="shared" si="18"/>
        <v>0</v>
      </c>
      <c r="Z84" s="92"/>
      <c r="AA84" s="49"/>
      <c r="AB84" s="115">
        <f t="shared" si="19"/>
        <v>0</v>
      </c>
      <c r="AC84" s="92"/>
      <c r="AD84" s="49"/>
      <c r="AE84" s="115">
        <f t="shared" si="20"/>
        <v>0</v>
      </c>
      <c r="AF84" s="92"/>
      <c r="AG84" s="49"/>
      <c r="AH84" s="115">
        <f t="shared" si="21"/>
        <v>0</v>
      </c>
      <c r="AI84" s="92"/>
      <c r="AL84" s="92"/>
      <c r="AM84" s="92"/>
      <c r="AN84" s="92"/>
    </row>
    <row r="85" spans="3:40" x14ac:dyDescent="0.25">
      <c r="C85" s="100" t="str">
        <f>'MP Calculations'!D112</f>
        <v>2068-69</v>
      </c>
      <c r="D85" s="285" t="str">
        <f>IF(LEFT($C85,4)*1&lt;LEFT('General inputs'!$I$16,4)+'General inputs'!$H$38,SUM(G85,J85,M85,P85,S85,V85,Y85,AB85,AE85,AH85),"")</f>
        <v/>
      </c>
      <c r="E85" s="288"/>
      <c r="F85" s="289"/>
      <c r="G85" s="285"/>
      <c r="H85" s="288"/>
      <c r="I85" s="289"/>
      <c r="J85" s="285"/>
      <c r="K85" s="288"/>
      <c r="L85" s="290"/>
      <c r="M85" s="285"/>
      <c r="N85" s="92"/>
      <c r="O85" s="49"/>
      <c r="P85" s="115">
        <f t="shared" si="15"/>
        <v>0</v>
      </c>
      <c r="Q85" s="92"/>
      <c r="R85" s="49"/>
      <c r="S85" s="115">
        <f t="shared" si="16"/>
        <v>0</v>
      </c>
      <c r="T85" s="92"/>
      <c r="U85" s="49"/>
      <c r="V85" s="115">
        <f t="shared" si="17"/>
        <v>0</v>
      </c>
      <c r="W85" s="92"/>
      <c r="X85" s="49"/>
      <c r="Y85" s="115">
        <f t="shared" si="18"/>
        <v>0</v>
      </c>
      <c r="Z85" s="92"/>
      <c r="AA85" s="49"/>
      <c r="AB85" s="115">
        <f t="shared" si="19"/>
        <v>0</v>
      </c>
      <c r="AC85" s="92"/>
      <c r="AD85" s="49"/>
      <c r="AE85" s="115">
        <f t="shared" si="20"/>
        <v>0</v>
      </c>
      <c r="AF85" s="92"/>
      <c r="AG85" s="49"/>
      <c r="AH85" s="115">
        <f t="shared" si="21"/>
        <v>0</v>
      </c>
      <c r="AI85" s="92"/>
      <c r="AL85" s="92"/>
      <c r="AM85" s="92"/>
      <c r="AN85" s="92"/>
    </row>
    <row r="86" spans="3:40" x14ac:dyDescent="0.25">
      <c r="C86" s="100" t="str">
        <f>'MP Calculations'!D113</f>
        <v>2069-70</v>
      </c>
      <c r="D86" s="285" t="str">
        <f>IF(LEFT($C86,4)*1&lt;LEFT('General inputs'!$I$16,4)+'General inputs'!$H$38,SUM(G86,J86,M86,P86,S86,V86,Y86,AB86,AE86,AH86),"")</f>
        <v/>
      </c>
      <c r="E86" s="288"/>
      <c r="F86" s="289"/>
      <c r="G86" s="285"/>
      <c r="H86" s="288"/>
      <c r="I86" s="289"/>
      <c r="J86" s="285"/>
      <c r="K86" s="288"/>
      <c r="L86" s="290"/>
      <c r="M86" s="285"/>
      <c r="N86" s="92"/>
      <c r="O86" s="49"/>
      <c r="P86" s="115">
        <f t="shared" si="15"/>
        <v>0</v>
      </c>
      <c r="Q86" s="92"/>
      <c r="R86" s="49"/>
      <c r="S86" s="115">
        <f t="shared" si="16"/>
        <v>0</v>
      </c>
      <c r="T86" s="92"/>
      <c r="U86" s="49"/>
      <c r="V86" s="115">
        <f t="shared" si="17"/>
        <v>0</v>
      </c>
      <c r="W86" s="92"/>
      <c r="X86" s="49"/>
      <c r="Y86" s="115">
        <f t="shared" si="18"/>
        <v>0</v>
      </c>
      <c r="Z86" s="92"/>
      <c r="AA86" s="49"/>
      <c r="AB86" s="115">
        <f t="shared" si="19"/>
        <v>0</v>
      </c>
      <c r="AC86" s="92"/>
      <c r="AD86" s="49"/>
      <c r="AE86" s="115">
        <f t="shared" si="20"/>
        <v>0</v>
      </c>
      <c r="AF86" s="92"/>
      <c r="AG86" s="49"/>
      <c r="AH86" s="115">
        <f t="shared" si="21"/>
        <v>0</v>
      </c>
      <c r="AI86" s="92"/>
      <c r="AL86" s="92"/>
      <c r="AM86" s="92"/>
      <c r="AN86" s="92"/>
    </row>
    <row r="87" spans="3:40" x14ac:dyDescent="0.25">
      <c r="C87" s="100" t="str">
        <f>'MP Calculations'!D114</f>
        <v>2070-71</v>
      </c>
      <c r="D87" s="285" t="str">
        <f>IF(LEFT($C87,4)*1&lt;LEFT('General inputs'!$I$16,4)+'General inputs'!$H$38,SUM(G87,J87,M87,P87,S87,V87,Y87,AB87,AE87,AH87),"")</f>
        <v/>
      </c>
      <c r="E87" s="288"/>
      <c r="F87" s="289"/>
      <c r="G87" s="285"/>
      <c r="H87" s="288"/>
      <c r="I87" s="289"/>
      <c r="J87" s="285"/>
      <c r="K87" s="288"/>
      <c r="L87" s="290"/>
      <c r="M87" s="285"/>
      <c r="N87" s="92"/>
      <c r="O87" s="49"/>
      <c r="P87" s="115">
        <f t="shared" si="15"/>
        <v>0</v>
      </c>
      <c r="Q87" s="92"/>
      <c r="R87" s="49"/>
      <c r="S87" s="115">
        <f t="shared" si="16"/>
        <v>0</v>
      </c>
      <c r="T87" s="92"/>
      <c r="U87" s="49"/>
      <c r="V87" s="115">
        <f t="shared" si="17"/>
        <v>0</v>
      </c>
      <c r="W87" s="92"/>
      <c r="X87" s="49"/>
      <c r="Y87" s="115">
        <f t="shared" si="18"/>
        <v>0</v>
      </c>
      <c r="Z87" s="92"/>
      <c r="AA87" s="49"/>
      <c r="AB87" s="115">
        <f t="shared" si="19"/>
        <v>0</v>
      </c>
      <c r="AC87" s="92"/>
      <c r="AD87" s="49"/>
      <c r="AE87" s="115">
        <f t="shared" si="20"/>
        <v>0</v>
      </c>
      <c r="AF87" s="92"/>
      <c r="AG87" s="49"/>
      <c r="AH87" s="115">
        <f t="shared" si="21"/>
        <v>0</v>
      </c>
      <c r="AI87" s="92"/>
      <c r="AL87" s="92"/>
      <c r="AM87" s="92"/>
      <c r="AN87" s="92"/>
    </row>
    <row r="88" spans="3:40" x14ac:dyDescent="0.25">
      <c r="C88" s="100" t="str">
        <f>'MP Calculations'!D115</f>
        <v>2071-72</v>
      </c>
      <c r="D88" s="285" t="str">
        <f>IF(LEFT($C88,4)*1&lt;LEFT('General inputs'!$I$16,4)+'General inputs'!$H$38,SUM(G88,J88,M88,P88,S88,V88,Y88,AB88,AE88,AH88),"")</f>
        <v/>
      </c>
      <c r="E88" s="288"/>
      <c r="F88" s="289"/>
      <c r="G88" s="285"/>
      <c r="H88" s="288"/>
      <c r="I88" s="289"/>
      <c r="J88" s="285"/>
      <c r="K88" s="288"/>
      <c r="L88" s="290"/>
      <c r="M88" s="285"/>
      <c r="N88" s="92"/>
      <c r="O88" s="49"/>
      <c r="P88" s="115">
        <f t="shared" si="15"/>
        <v>0</v>
      </c>
      <c r="Q88" s="92"/>
      <c r="R88" s="49"/>
      <c r="S88" s="115">
        <f t="shared" si="16"/>
        <v>0</v>
      </c>
      <c r="T88" s="92"/>
      <c r="U88" s="49"/>
      <c r="V88" s="115">
        <f t="shared" si="17"/>
        <v>0</v>
      </c>
      <c r="W88" s="92"/>
      <c r="X88" s="49"/>
      <c r="Y88" s="115">
        <f t="shared" si="18"/>
        <v>0</v>
      </c>
      <c r="Z88" s="92"/>
      <c r="AA88" s="49"/>
      <c r="AB88" s="115">
        <f t="shared" si="19"/>
        <v>0</v>
      </c>
      <c r="AC88" s="92"/>
      <c r="AD88" s="49"/>
      <c r="AE88" s="115">
        <f t="shared" si="20"/>
        <v>0</v>
      </c>
      <c r="AF88" s="92"/>
      <c r="AG88" s="49"/>
      <c r="AH88" s="115">
        <f t="shared" si="21"/>
        <v>0</v>
      </c>
      <c r="AI88" s="92"/>
      <c r="AL88" s="92"/>
      <c r="AM88" s="92"/>
      <c r="AN88" s="92"/>
    </row>
    <row r="89" spans="3:40" x14ac:dyDescent="0.25">
      <c r="C89" s="100" t="str">
        <f>'MP Calculations'!D116</f>
        <v>2072-73</v>
      </c>
      <c r="D89" s="285" t="str">
        <f>IF(LEFT($C89,4)*1&lt;LEFT('General inputs'!$I$16,4)+'General inputs'!$H$38,SUM(G89,J89,M89,P89,S89,V89,Y89,AB89,AE89,AH89),"")</f>
        <v/>
      </c>
      <c r="E89" s="288"/>
      <c r="F89" s="289"/>
      <c r="G89" s="285"/>
      <c r="H89" s="288"/>
      <c r="I89" s="289"/>
      <c r="J89" s="285"/>
      <c r="K89" s="288"/>
      <c r="L89" s="290"/>
      <c r="M89" s="285"/>
      <c r="N89" s="92"/>
      <c r="O89" s="49"/>
      <c r="P89" s="115">
        <f t="shared" si="15"/>
        <v>0</v>
      </c>
      <c r="Q89" s="92"/>
      <c r="R89" s="49"/>
      <c r="S89" s="115">
        <f t="shared" si="16"/>
        <v>0</v>
      </c>
      <c r="T89" s="92"/>
      <c r="U89" s="49"/>
      <c r="V89" s="115">
        <f t="shared" si="17"/>
        <v>0</v>
      </c>
      <c r="W89" s="92"/>
      <c r="X89" s="49"/>
      <c r="Y89" s="115">
        <f t="shared" si="18"/>
        <v>0</v>
      </c>
      <c r="Z89" s="92"/>
      <c r="AA89" s="49"/>
      <c r="AB89" s="115">
        <f t="shared" si="19"/>
        <v>0</v>
      </c>
      <c r="AC89" s="92"/>
      <c r="AD89" s="49"/>
      <c r="AE89" s="115">
        <f t="shared" si="20"/>
        <v>0</v>
      </c>
      <c r="AF89" s="92"/>
      <c r="AG89" s="49"/>
      <c r="AH89" s="115">
        <f t="shared" si="21"/>
        <v>0</v>
      </c>
      <c r="AI89" s="92"/>
      <c r="AL89" s="92"/>
      <c r="AM89" s="92"/>
      <c r="AN89" s="92"/>
    </row>
    <row r="90" spans="3:40" x14ac:dyDescent="0.25">
      <c r="C90" s="100" t="str">
        <f>'MP Calculations'!D117</f>
        <v>2073-74</v>
      </c>
      <c r="D90" s="285" t="str">
        <f>IF(LEFT($C90,4)*1&lt;LEFT('General inputs'!$I$16,4)+'General inputs'!$H$38,SUM(G90,J90,M90,P90,S90,V90,Y90,AB90,AE90,AH90),"")</f>
        <v/>
      </c>
      <c r="E90" s="288"/>
      <c r="F90" s="289"/>
      <c r="G90" s="285"/>
      <c r="H90" s="288"/>
      <c r="I90" s="289"/>
      <c r="J90" s="285"/>
      <c r="K90" s="288"/>
      <c r="L90" s="290"/>
      <c r="M90" s="285"/>
      <c r="N90" s="92"/>
      <c r="O90" s="49"/>
      <c r="P90" s="115">
        <f t="shared" si="15"/>
        <v>0</v>
      </c>
      <c r="Q90" s="92"/>
      <c r="R90" s="49"/>
      <c r="S90" s="115">
        <f t="shared" si="16"/>
        <v>0</v>
      </c>
      <c r="T90" s="92"/>
      <c r="U90" s="49"/>
      <c r="V90" s="115">
        <f t="shared" si="17"/>
        <v>0</v>
      </c>
      <c r="W90" s="92"/>
      <c r="X90" s="49"/>
      <c r="Y90" s="115">
        <f t="shared" si="18"/>
        <v>0</v>
      </c>
      <c r="Z90" s="92"/>
      <c r="AA90" s="49"/>
      <c r="AB90" s="115">
        <f t="shared" si="19"/>
        <v>0</v>
      </c>
      <c r="AC90" s="92"/>
      <c r="AD90" s="49"/>
      <c r="AE90" s="115">
        <f t="shared" si="20"/>
        <v>0</v>
      </c>
      <c r="AF90" s="92"/>
      <c r="AG90" s="49"/>
      <c r="AH90" s="115">
        <f t="shared" si="21"/>
        <v>0</v>
      </c>
      <c r="AI90" s="92"/>
      <c r="AL90" s="92"/>
      <c r="AM90" s="92"/>
      <c r="AN90" s="92"/>
    </row>
    <row r="91" spans="3:40" x14ac:dyDescent="0.25">
      <c r="C91" s="100" t="str">
        <f>'MP Calculations'!D118</f>
        <v>2074-75</v>
      </c>
      <c r="D91" s="285" t="str">
        <f>IF(LEFT($C91,4)*1&lt;LEFT('General inputs'!$I$16,4)+'General inputs'!$H$38,SUM(G91,J91,M91,P91,S91,V91,Y91,AB91,AE91,AH91),"")</f>
        <v/>
      </c>
      <c r="E91" s="288"/>
      <c r="F91" s="289"/>
      <c r="G91" s="285"/>
      <c r="H91" s="288"/>
      <c r="I91" s="289"/>
      <c r="J91" s="285"/>
      <c r="K91" s="288"/>
      <c r="L91" s="290"/>
      <c r="M91" s="285"/>
      <c r="N91" s="92"/>
      <c r="O91" s="49"/>
      <c r="P91" s="115">
        <f t="shared" si="15"/>
        <v>0</v>
      </c>
      <c r="Q91" s="92"/>
      <c r="R91" s="49"/>
      <c r="S91" s="115">
        <f t="shared" si="16"/>
        <v>0</v>
      </c>
      <c r="T91" s="92"/>
      <c r="U91" s="49"/>
      <c r="V91" s="115">
        <f t="shared" si="17"/>
        <v>0</v>
      </c>
      <c r="W91" s="92"/>
      <c r="X91" s="49"/>
      <c r="Y91" s="115">
        <f t="shared" si="18"/>
        <v>0</v>
      </c>
      <c r="Z91" s="92"/>
      <c r="AA91" s="49"/>
      <c r="AB91" s="115">
        <f t="shared" si="19"/>
        <v>0</v>
      </c>
      <c r="AC91" s="92"/>
      <c r="AD91" s="49"/>
      <c r="AE91" s="115">
        <f t="shared" si="20"/>
        <v>0</v>
      </c>
      <c r="AF91" s="92"/>
      <c r="AG91" s="49"/>
      <c r="AH91" s="115">
        <f t="shared" si="21"/>
        <v>0</v>
      </c>
      <c r="AI91" s="92"/>
      <c r="AL91" s="92"/>
      <c r="AM91" s="92"/>
      <c r="AN91" s="92"/>
    </row>
    <row r="92" spans="3:40" x14ac:dyDescent="0.25">
      <c r="C92" s="100" t="str">
        <f>'MP Calculations'!D119</f>
        <v>2075-76</v>
      </c>
      <c r="D92" s="285" t="str">
        <f>IF(LEFT($C92,4)*1&lt;LEFT('General inputs'!$I$16,4)+'General inputs'!$H$38,SUM(G92,J92,M92,P92,S92,V92,Y92,AB92,AE92,AH92),"")</f>
        <v/>
      </c>
      <c r="E92" s="288"/>
      <c r="F92" s="289"/>
      <c r="G92" s="285"/>
      <c r="H92" s="288"/>
      <c r="I92" s="289"/>
      <c r="J92" s="285"/>
      <c r="K92" s="288"/>
      <c r="L92" s="290"/>
      <c r="M92" s="285"/>
      <c r="N92" s="92"/>
      <c r="O92" s="49"/>
      <c r="P92" s="115">
        <f t="shared" si="15"/>
        <v>0</v>
      </c>
      <c r="Q92" s="92"/>
      <c r="R92" s="49"/>
      <c r="S92" s="115">
        <f t="shared" si="16"/>
        <v>0</v>
      </c>
      <c r="T92" s="92"/>
      <c r="U92" s="49"/>
      <c r="V92" s="115">
        <f t="shared" si="17"/>
        <v>0</v>
      </c>
      <c r="W92" s="92"/>
      <c r="X92" s="49"/>
      <c r="Y92" s="115">
        <f t="shared" si="18"/>
        <v>0</v>
      </c>
      <c r="Z92" s="92"/>
      <c r="AA92" s="49"/>
      <c r="AB92" s="115">
        <f t="shared" si="19"/>
        <v>0</v>
      </c>
      <c r="AC92" s="92"/>
      <c r="AD92" s="49"/>
      <c r="AE92" s="115">
        <f t="shared" si="20"/>
        <v>0</v>
      </c>
      <c r="AF92" s="92"/>
      <c r="AG92" s="49"/>
      <c r="AH92" s="115">
        <f t="shared" si="21"/>
        <v>0</v>
      </c>
      <c r="AI92" s="92"/>
      <c r="AL92" s="92"/>
      <c r="AM92" s="92"/>
      <c r="AN92" s="92"/>
    </row>
    <row r="93" spans="3:40" x14ac:dyDescent="0.25">
      <c r="C93" s="100" t="str">
        <f>'MP Calculations'!D120</f>
        <v>2076-77</v>
      </c>
      <c r="D93" s="285" t="str">
        <f>IF(LEFT($C93,4)*1&lt;LEFT('General inputs'!$I$16,4)+'General inputs'!$H$38,SUM(G93,J93,M93,P93,S93,V93,Y93,AB93,AE93,AH93),"")</f>
        <v/>
      </c>
      <c r="E93" s="288"/>
      <c r="F93" s="289"/>
      <c r="G93" s="285"/>
      <c r="H93" s="288"/>
      <c r="I93" s="289"/>
      <c r="J93" s="285"/>
      <c r="K93" s="288"/>
      <c r="L93" s="290"/>
      <c r="M93" s="285"/>
      <c r="N93" s="92"/>
      <c r="O93" s="49"/>
      <c r="P93" s="115">
        <f t="shared" si="15"/>
        <v>0</v>
      </c>
      <c r="Q93" s="92"/>
      <c r="R93" s="49"/>
      <c r="S93" s="115">
        <f t="shared" si="16"/>
        <v>0</v>
      </c>
      <c r="T93" s="92"/>
      <c r="U93" s="49"/>
      <c r="V93" s="115">
        <f t="shared" si="17"/>
        <v>0</v>
      </c>
      <c r="W93" s="92"/>
      <c r="X93" s="49"/>
      <c r="Y93" s="115">
        <f t="shared" si="18"/>
        <v>0</v>
      </c>
      <c r="Z93" s="92"/>
      <c r="AA93" s="49"/>
      <c r="AB93" s="115">
        <f t="shared" si="19"/>
        <v>0</v>
      </c>
      <c r="AC93" s="92"/>
      <c r="AD93" s="49"/>
      <c r="AE93" s="115">
        <f t="shared" si="20"/>
        <v>0</v>
      </c>
      <c r="AF93" s="92"/>
      <c r="AG93" s="49"/>
      <c r="AH93" s="115">
        <f t="shared" si="21"/>
        <v>0</v>
      </c>
      <c r="AI93" s="92"/>
      <c r="AL93" s="92"/>
      <c r="AM93" s="92"/>
      <c r="AN93" s="92"/>
    </row>
    <row r="94" spans="3:40" x14ac:dyDescent="0.25">
      <c r="C94" s="100" t="str">
        <f>'MP Calculations'!D121</f>
        <v>2077-78</v>
      </c>
      <c r="D94" s="285" t="str">
        <f>IF(LEFT($C94,4)*1&lt;LEFT('General inputs'!$I$16,4)+'General inputs'!$H$38,SUM(G94,J94,M94,P94,S94,V94,Y94,AB94,AE94,AH94),"")</f>
        <v/>
      </c>
      <c r="E94" s="288"/>
      <c r="F94" s="289"/>
      <c r="G94" s="285"/>
      <c r="H94" s="288"/>
      <c r="I94" s="289"/>
      <c r="J94" s="285"/>
      <c r="K94" s="288"/>
      <c r="L94" s="290"/>
      <c r="M94" s="285"/>
      <c r="N94" s="92"/>
      <c r="O94" s="49"/>
      <c r="P94" s="115">
        <f t="shared" si="15"/>
        <v>0</v>
      </c>
      <c r="Q94" s="92"/>
      <c r="R94" s="49"/>
      <c r="S94" s="115">
        <f t="shared" si="16"/>
        <v>0</v>
      </c>
      <c r="T94" s="92"/>
      <c r="U94" s="49"/>
      <c r="V94" s="115">
        <f t="shared" si="17"/>
        <v>0</v>
      </c>
      <c r="W94" s="92"/>
      <c r="X94" s="49"/>
      <c r="Y94" s="115">
        <f t="shared" si="18"/>
        <v>0</v>
      </c>
      <c r="Z94" s="92"/>
      <c r="AA94" s="49"/>
      <c r="AB94" s="115">
        <f t="shared" si="19"/>
        <v>0</v>
      </c>
      <c r="AC94" s="92"/>
      <c r="AD94" s="49"/>
      <c r="AE94" s="115">
        <f t="shared" si="20"/>
        <v>0</v>
      </c>
      <c r="AF94" s="92"/>
      <c r="AG94" s="49"/>
      <c r="AH94" s="115">
        <f t="shared" si="21"/>
        <v>0</v>
      </c>
      <c r="AI94" s="92"/>
      <c r="AL94" s="92"/>
      <c r="AM94" s="92"/>
      <c r="AN94" s="92"/>
    </row>
    <row r="95" spans="3:40" x14ac:dyDescent="0.25">
      <c r="C95" s="100" t="str">
        <f>'MP Calculations'!D122</f>
        <v>2078-79</v>
      </c>
      <c r="D95" s="285" t="str">
        <f>IF(LEFT($C95,4)*1&lt;LEFT('General inputs'!$I$16,4)+'General inputs'!$H$38,SUM(G95,J95,M95,P95,S95,V95,Y95,AB95,AE95,AH95),"")</f>
        <v/>
      </c>
      <c r="E95" s="288"/>
      <c r="F95" s="289"/>
      <c r="G95" s="285"/>
      <c r="H95" s="288"/>
      <c r="I95" s="289"/>
      <c r="J95" s="285"/>
      <c r="K95" s="288"/>
      <c r="L95" s="290"/>
      <c r="M95" s="285"/>
      <c r="N95" s="92"/>
      <c r="O95" s="49"/>
      <c r="P95" s="115">
        <f t="shared" si="15"/>
        <v>0</v>
      </c>
      <c r="Q95" s="92"/>
      <c r="R95" s="49"/>
      <c r="S95" s="115">
        <f t="shared" si="16"/>
        <v>0</v>
      </c>
      <c r="T95" s="92"/>
      <c r="U95" s="49"/>
      <c r="V95" s="115">
        <f t="shared" si="17"/>
        <v>0</v>
      </c>
      <c r="W95" s="92"/>
      <c r="X95" s="49"/>
      <c r="Y95" s="115">
        <f t="shared" si="18"/>
        <v>0</v>
      </c>
      <c r="Z95" s="92"/>
      <c r="AA95" s="49"/>
      <c r="AB95" s="115">
        <f t="shared" si="19"/>
        <v>0</v>
      </c>
      <c r="AC95" s="92"/>
      <c r="AD95" s="49"/>
      <c r="AE95" s="115">
        <f t="shared" si="20"/>
        <v>0</v>
      </c>
      <c r="AF95" s="92"/>
      <c r="AG95" s="49"/>
      <c r="AH95" s="115">
        <f t="shared" si="21"/>
        <v>0</v>
      </c>
      <c r="AI95" s="92"/>
      <c r="AL95" s="92"/>
      <c r="AM95" s="92"/>
      <c r="AN95" s="92"/>
    </row>
    <row r="96" spans="3:40" x14ac:dyDescent="0.25">
      <c r="C96" s="100" t="str">
        <f>'MP Calculations'!D123</f>
        <v>2079-80</v>
      </c>
      <c r="D96" s="285" t="str">
        <f>IF(LEFT($C96,4)*1&lt;LEFT('General inputs'!$I$16,4)+'General inputs'!$H$38,SUM(G96,J96,M96,P96,S96,V96,Y96,AB96,AE96,AH96),"")</f>
        <v/>
      </c>
      <c r="E96" s="288"/>
      <c r="F96" s="289"/>
      <c r="G96" s="285"/>
      <c r="H96" s="288"/>
      <c r="I96" s="289"/>
      <c r="J96" s="285"/>
      <c r="K96" s="288"/>
      <c r="L96" s="290"/>
      <c r="M96" s="285"/>
      <c r="N96" s="92"/>
      <c r="O96" s="49"/>
      <c r="P96" s="115">
        <f t="shared" si="15"/>
        <v>0</v>
      </c>
      <c r="Q96" s="92"/>
      <c r="R96" s="49"/>
      <c r="S96" s="115">
        <f t="shared" si="16"/>
        <v>0</v>
      </c>
      <c r="T96" s="92"/>
      <c r="U96" s="49"/>
      <c r="V96" s="115">
        <f t="shared" si="17"/>
        <v>0</v>
      </c>
      <c r="W96" s="92"/>
      <c r="X96" s="49"/>
      <c r="Y96" s="115">
        <f t="shared" si="18"/>
        <v>0</v>
      </c>
      <c r="Z96" s="92"/>
      <c r="AA96" s="49"/>
      <c r="AB96" s="115">
        <f t="shared" si="19"/>
        <v>0</v>
      </c>
      <c r="AC96" s="92"/>
      <c r="AD96" s="49"/>
      <c r="AE96" s="115">
        <f t="shared" si="20"/>
        <v>0</v>
      </c>
      <c r="AF96" s="92"/>
      <c r="AG96" s="49"/>
      <c r="AH96" s="115">
        <f t="shared" si="21"/>
        <v>0</v>
      </c>
      <c r="AI96" s="92"/>
      <c r="AL96" s="92"/>
      <c r="AM96" s="92"/>
      <c r="AN96" s="92"/>
    </row>
    <row r="97" spans="3:40" x14ac:dyDescent="0.25">
      <c r="C97" s="100" t="str">
        <f>'MP Calculations'!D124</f>
        <v>2080-81</v>
      </c>
      <c r="D97" s="285" t="str">
        <f>IF(LEFT($C97,4)*1&lt;LEFT('General inputs'!$I$16,4)+'General inputs'!$H$38,SUM(G97,J97,M97,P97,S97,V97,Y97,AB97,AE97,AH97),"")</f>
        <v/>
      </c>
      <c r="E97" s="288"/>
      <c r="F97" s="289"/>
      <c r="G97" s="285"/>
      <c r="H97" s="288"/>
      <c r="I97" s="289"/>
      <c r="J97" s="285"/>
      <c r="K97" s="288"/>
      <c r="L97" s="290"/>
      <c r="M97" s="285"/>
      <c r="N97" s="92"/>
      <c r="O97" s="49"/>
      <c r="P97" s="115">
        <f t="shared" si="15"/>
        <v>0</v>
      </c>
      <c r="Q97" s="92"/>
      <c r="R97" s="49"/>
      <c r="S97" s="115">
        <f t="shared" si="16"/>
        <v>0</v>
      </c>
      <c r="T97" s="92"/>
      <c r="U97" s="49"/>
      <c r="V97" s="115">
        <f t="shared" si="17"/>
        <v>0</v>
      </c>
      <c r="W97" s="92"/>
      <c r="X97" s="49"/>
      <c r="Y97" s="115">
        <f t="shared" si="18"/>
        <v>0</v>
      </c>
      <c r="Z97" s="92"/>
      <c r="AA97" s="49"/>
      <c r="AB97" s="115">
        <f t="shared" si="19"/>
        <v>0</v>
      </c>
      <c r="AC97" s="92"/>
      <c r="AD97" s="49"/>
      <c r="AE97" s="115">
        <f t="shared" si="20"/>
        <v>0</v>
      </c>
      <c r="AF97" s="92"/>
      <c r="AG97" s="49"/>
      <c r="AH97" s="115">
        <f t="shared" si="21"/>
        <v>0</v>
      </c>
      <c r="AI97" s="92"/>
      <c r="AL97" s="92"/>
      <c r="AM97" s="92"/>
      <c r="AN97" s="92"/>
    </row>
    <row r="98" spans="3:40" x14ac:dyDescent="0.25">
      <c r="C98" s="100" t="str">
        <f>'MP Calculations'!D125</f>
        <v>2081-82</v>
      </c>
      <c r="D98" s="285" t="str">
        <f>IF(LEFT($C98,4)*1&lt;LEFT('General inputs'!$I$16,4)+'General inputs'!$H$38,SUM(G98,J98,M98,P98,S98,V98,Y98,AB98,AE98,AH98),"")</f>
        <v/>
      </c>
      <c r="E98" s="288"/>
      <c r="F98" s="289"/>
      <c r="G98" s="285"/>
      <c r="H98" s="288"/>
      <c r="I98" s="289"/>
      <c r="J98" s="285"/>
      <c r="K98" s="288"/>
      <c r="L98" s="290"/>
      <c r="M98" s="285"/>
      <c r="N98" s="92"/>
      <c r="O98" s="49"/>
      <c r="P98" s="115">
        <f t="shared" si="15"/>
        <v>0</v>
      </c>
      <c r="Q98" s="92"/>
      <c r="R98" s="49"/>
      <c r="S98" s="115">
        <f t="shared" si="16"/>
        <v>0</v>
      </c>
      <c r="T98" s="92"/>
      <c r="U98" s="49"/>
      <c r="V98" s="115">
        <f t="shared" si="17"/>
        <v>0</v>
      </c>
      <c r="W98" s="92"/>
      <c r="X98" s="49"/>
      <c r="Y98" s="115">
        <f t="shared" si="18"/>
        <v>0</v>
      </c>
      <c r="Z98" s="92"/>
      <c r="AA98" s="49"/>
      <c r="AB98" s="115">
        <f t="shared" si="19"/>
        <v>0</v>
      </c>
      <c r="AC98" s="92"/>
      <c r="AD98" s="49"/>
      <c r="AE98" s="115">
        <f t="shared" si="20"/>
        <v>0</v>
      </c>
      <c r="AF98" s="92"/>
      <c r="AG98" s="49"/>
      <c r="AH98" s="115">
        <f t="shared" si="21"/>
        <v>0</v>
      </c>
      <c r="AI98" s="92"/>
      <c r="AL98" s="92"/>
      <c r="AM98" s="92"/>
      <c r="AN98" s="92"/>
    </row>
    <row r="99" spans="3:40" x14ac:dyDescent="0.25">
      <c r="C99" s="100" t="str">
        <f>'MP Calculations'!D126</f>
        <v>2082-83</v>
      </c>
      <c r="D99" s="285" t="str">
        <f>IF(LEFT($C99,4)*1&lt;LEFT('General inputs'!$I$16,4)+'General inputs'!$H$38,SUM(G99,J99,M99,P99,S99,V99,Y99,AB99,AE99,AH99),"")</f>
        <v/>
      </c>
      <c r="E99" s="288"/>
      <c r="F99" s="289"/>
      <c r="G99" s="285"/>
      <c r="H99" s="288"/>
      <c r="I99" s="289"/>
      <c r="J99" s="285"/>
      <c r="K99" s="288"/>
      <c r="L99" s="290"/>
      <c r="M99" s="285"/>
      <c r="N99" s="92"/>
      <c r="O99" s="49"/>
      <c r="P99" s="115">
        <f t="shared" si="15"/>
        <v>0</v>
      </c>
      <c r="Q99" s="92"/>
      <c r="R99" s="49"/>
      <c r="S99" s="115">
        <f t="shared" si="16"/>
        <v>0</v>
      </c>
      <c r="T99" s="92"/>
      <c r="U99" s="49"/>
      <c r="V99" s="115">
        <f t="shared" si="17"/>
        <v>0</v>
      </c>
      <c r="W99" s="92"/>
      <c r="X99" s="49"/>
      <c r="Y99" s="115">
        <f t="shared" si="18"/>
        <v>0</v>
      </c>
      <c r="Z99" s="92"/>
      <c r="AA99" s="49"/>
      <c r="AB99" s="115">
        <f t="shared" si="19"/>
        <v>0</v>
      </c>
      <c r="AC99" s="92"/>
      <c r="AD99" s="49"/>
      <c r="AE99" s="115">
        <f t="shared" si="20"/>
        <v>0</v>
      </c>
      <c r="AF99" s="92"/>
      <c r="AG99" s="49"/>
      <c r="AH99" s="115">
        <f t="shared" si="21"/>
        <v>0</v>
      </c>
      <c r="AI99" s="92"/>
      <c r="AL99" s="92"/>
      <c r="AM99" s="92"/>
      <c r="AN99" s="92"/>
    </row>
    <row r="100" spans="3:40" x14ac:dyDescent="0.25">
      <c r="C100" s="100" t="str">
        <f>'MP Calculations'!D127</f>
        <v>2083-84</v>
      </c>
      <c r="D100" s="285" t="str">
        <f>IF(LEFT($C100,4)*1&lt;LEFT('General inputs'!$I$16,4)+'General inputs'!$H$38,SUM(G100,J100,M100,P100,S100,V100,Y100,AB100,AE100,AH100),"")</f>
        <v/>
      </c>
      <c r="E100" s="288"/>
      <c r="F100" s="289"/>
      <c r="G100" s="285"/>
      <c r="H100" s="288"/>
      <c r="I100" s="289"/>
      <c r="J100" s="285"/>
      <c r="K100" s="288"/>
      <c r="L100" s="290"/>
      <c r="M100" s="285"/>
      <c r="N100" s="92"/>
      <c r="O100" s="49"/>
      <c r="P100" s="115">
        <f t="shared" si="15"/>
        <v>0</v>
      </c>
      <c r="Q100" s="92"/>
      <c r="R100" s="49"/>
      <c r="S100" s="115">
        <f t="shared" si="16"/>
        <v>0</v>
      </c>
      <c r="T100" s="92"/>
      <c r="U100" s="49"/>
      <c r="V100" s="115">
        <f t="shared" si="17"/>
        <v>0</v>
      </c>
      <c r="W100" s="92"/>
      <c r="X100" s="49"/>
      <c r="Y100" s="115">
        <f t="shared" si="18"/>
        <v>0</v>
      </c>
      <c r="Z100" s="92"/>
      <c r="AA100" s="49"/>
      <c r="AB100" s="115">
        <f t="shared" si="19"/>
        <v>0</v>
      </c>
      <c r="AC100" s="92"/>
      <c r="AD100" s="49"/>
      <c r="AE100" s="115">
        <f t="shared" si="20"/>
        <v>0</v>
      </c>
      <c r="AF100" s="92"/>
      <c r="AG100" s="49"/>
      <c r="AH100" s="115">
        <f t="shared" si="21"/>
        <v>0</v>
      </c>
      <c r="AI100" s="92"/>
      <c r="AL100" s="92"/>
      <c r="AM100" s="92"/>
      <c r="AN100" s="92"/>
    </row>
    <row r="101" spans="3:40" x14ac:dyDescent="0.25">
      <c r="C101" s="100" t="str">
        <f>'MP Calculations'!D128</f>
        <v>2084-85</v>
      </c>
      <c r="D101" s="285" t="str">
        <f>IF(LEFT($C101,4)*1&lt;LEFT('General inputs'!$I$16,4)+'General inputs'!$H$38,SUM(G101,J101,M101,P101,S101,V101,Y101,AB101,AE101,AH101),"")</f>
        <v/>
      </c>
      <c r="E101" s="288"/>
      <c r="F101" s="289"/>
      <c r="G101" s="285"/>
      <c r="H101" s="288"/>
      <c r="I101" s="289"/>
      <c r="J101" s="285"/>
      <c r="K101" s="288"/>
      <c r="L101" s="290"/>
      <c r="M101" s="285"/>
      <c r="N101" s="92"/>
      <c r="O101" s="49"/>
      <c r="P101" s="115">
        <f t="shared" si="15"/>
        <v>0</v>
      </c>
      <c r="Q101" s="92"/>
      <c r="R101" s="49"/>
      <c r="S101" s="115">
        <f t="shared" si="16"/>
        <v>0</v>
      </c>
      <c r="T101" s="92"/>
      <c r="U101" s="49"/>
      <c r="V101" s="115">
        <f t="shared" si="17"/>
        <v>0</v>
      </c>
      <c r="W101" s="92"/>
      <c r="X101" s="49"/>
      <c r="Y101" s="115">
        <f t="shared" si="18"/>
        <v>0</v>
      </c>
      <c r="Z101" s="92"/>
      <c r="AA101" s="49"/>
      <c r="AB101" s="115">
        <f t="shared" si="19"/>
        <v>0</v>
      </c>
      <c r="AC101" s="92"/>
      <c r="AD101" s="49"/>
      <c r="AE101" s="115">
        <f t="shared" si="20"/>
        <v>0</v>
      </c>
      <c r="AF101" s="92"/>
      <c r="AG101" s="49"/>
      <c r="AH101" s="115">
        <f t="shared" si="21"/>
        <v>0</v>
      </c>
      <c r="AI101" s="92"/>
      <c r="AL101" s="92"/>
      <c r="AM101" s="92"/>
      <c r="AN101" s="92"/>
    </row>
    <row r="102" spans="3:40" x14ac:dyDescent="0.25">
      <c r="C102" s="100" t="str">
        <f>'MP Calculations'!D129</f>
        <v>2085-86</v>
      </c>
      <c r="D102" s="285" t="str">
        <f>IF(LEFT($C102,4)*1&lt;LEFT('General inputs'!$I$16,4)+'General inputs'!$H$38,SUM(G102,J102,M102,P102,S102,V102,Y102,AB102,AE102,AH102),"")</f>
        <v/>
      </c>
      <c r="E102" s="288"/>
      <c r="F102" s="289"/>
      <c r="G102" s="285"/>
      <c r="H102" s="288"/>
      <c r="I102" s="289"/>
      <c r="J102" s="285"/>
      <c r="K102" s="288"/>
      <c r="L102" s="290"/>
      <c r="M102" s="285"/>
      <c r="N102" s="92"/>
      <c r="O102" s="49"/>
      <c r="P102" s="115">
        <f t="shared" si="15"/>
        <v>0</v>
      </c>
      <c r="Q102" s="92"/>
      <c r="R102" s="49"/>
      <c r="S102" s="115">
        <f t="shared" si="16"/>
        <v>0</v>
      </c>
      <c r="T102" s="92"/>
      <c r="U102" s="49"/>
      <c r="V102" s="115">
        <f t="shared" si="17"/>
        <v>0</v>
      </c>
      <c r="W102" s="92"/>
      <c r="X102" s="49"/>
      <c r="Y102" s="115">
        <f t="shared" si="18"/>
        <v>0</v>
      </c>
      <c r="Z102" s="92"/>
      <c r="AA102" s="49"/>
      <c r="AB102" s="115">
        <f t="shared" si="19"/>
        <v>0</v>
      </c>
      <c r="AC102" s="92"/>
      <c r="AD102" s="49"/>
      <c r="AE102" s="115">
        <f t="shared" si="20"/>
        <v>0</v>
      </c>
      <c r="AF102" s="92"/>
      <c r="AG102" s="49"/>
      <c r="AH102" s="115">
        <f t="shared" si="21"/>
        <v>0</v>
      </c>
      <c r="AI102" s="92"/>
      <c r="AL102" s="92"/>
      <c r="AM102" s="92"/>
      <c r="AN102" s="92"/>
    </row>
    <row r="103" spans="3:40" x14ac:dyDescent="0.25">
      <c r="D103" s="55"/>
      <c r="E103" s="1"/>
      <c r="F103" s="55"/>
      <c r="G103" s="55"/>
      <c r="I103" s="55"/>
      <c r="J103" s="55"/>
      <c r="L103" s="68"/>
      <c r="M103" s="55"/>
      <c r="O103" s="55"/>
      <c r="P103" s="55"/>
      <c r="R103" s="55"/>
      <c r="S103" s="55"/>
      <c r="U103" s="55"/>
      <c r="V103" s="55"/>
      <c r="X103" s="55"/>
      <c r="Y103" s="55"/>
      <c r="AA103" s="55"/>
      <c r="AB103" s="55"/>
      <c r="AD103" s="55"/>
      <c r="AE103" s="55"/>
      <c r="AG103" s="55"/>
      <c r="AH103" s="55"/>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xr:uid="{00000000-0002-0000-0800-000000000000}">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U12:U102 X12:X102 AA12:AA102 AD12:AD102 AG12:AG102 O12:O102 R12:R102 F12:F102 I12:I102 L12:L102</xm:sqref>
        </x14:conditionalFormatting>
        <x14:conditionalFormatting xmlns:xm="http://schemas.microsoft.com/office/excel/2006/main">
          <x14:cfRule type="expression" priority="60" id="{9AED8FE6-1E3F-40FA-BC8D-6814ADDD04B9}">
            <xm:f>LEFT($C69,4)*1&gt;LEFT('General inputs'!$I$16,4)+'General inputs'!$H$38-1</xm:f>
            <x14:dxf>
              <fill>
                <patternFill>
                  <bgColor rgb="FFDDDDDD"/>
                </patternFill>
              </fill>
            </x14:dxf>
          </x14:cfRule>
          <xm:sqref>D69:D102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8F69DA90-AC59-4041-B980-9DBFFDA38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92686B-109C-4C2E-9EB9-58A7DA8EFFF0}">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37dbf6c8-2d13-4cc8-b9cc-158f7eeca08b"/>
    <ds:schemaRef ds:uri="adaf1f68-63ae-4574-8325-2993fa162e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McLennan</dc:creator>
  <cp:lastModifiedBy>Maria Tortura</cp:lastModifiedBy>
  <cp:lastPrinted>2016-12-23T00:30:19Z</cp:lastPrinted>
  <dcterms:created xsi:type="dcterms:W3CDTF">2014-05-19T07:21:06Z</dcterms:created>
  <dcterms:modified xsi:type="dcterms:W3CDTF">2023-11-30T23:54:31Z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